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5.xml" ContentType="application/vnd.openxmlformats-officedocument.spreadsheetml.comments+xml"/>
  <Override PartName="/xl/threadedComments/threadedComment1.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threadedComments/threadedComment2.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omments7.xml" ContentType="application/vnd.openxmlformats-officedocument.spreadsheetml.comments+xml"/>
  <Override PartName="/xl/threadedComments/threadedComment3.xml" ContentType="application/vnd.ms-excel.threaded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omments8.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19"/>
  <workbookPr/>
  <mc:AlternateContent xmlns:mc="http://schemas.openxmlformats.org/markup-compatibility/2006">
    <mc:Choice Requires="x15">
      <x15ac:absPath xmlns:x15ac="http://schemas.microsoft.com/office/spreadsheetml/2010/11/ac" url="https://pttgrp.sharepoint.com/sites/PJR-PTT-DigitalAllocationMode/Shared Documents/General/3. Requirement Development/Requirement ที่ป่านเก็บจาก User/P.1/"/>
    </mc:Choice>
  </mc:AlternateContent>
  <xr:revisionPtr revIDLastSave="1134" documentId="13_ncr:1_{B6B05812-9E39-9C49-9076-6819D6218062}" xr6:coauthVersionLast="47" xr6:coauthVersionMax="47" xr10:uidLastSave="{B595AC06-BB3D-45C2-BA9C-D53A6C4D41C2}"/>
  <bookViews>
    <workbookView minimized="1" xWindow="2610" yWindow="3660" windowWidth="21600" windowHeight="11385" tabRatio="966" firstSheet="6" activeTab="5" xr2:uid="{00000000-000D-0000-FFFF-FFFF00000000}"/>
  </bookViews>
  <sheets>
    <sheet name="C2 (2)" sheetId="131" r:id="rId1"/>
    <sheet name="C2 (Thann)" sheetId="132" r:id="rId2"/>
    <sheet name="C2" sheetId="129" r:id="rId3"/>
    <sheet name="LR monthly" sheetId="56" r:id="rId4"/>
    <sheet name="LR monthly (M.11)" sheetId="134" r:id="rId5"/>
    <sheet name="C3LPG (M.11)" sheetId="133" r:id="rId6"/>
    <sheet name="C3LPG" sheetId="50" r:id="rId7"/>
    <sheet name="NGL" sheetId="111" r:id="rId8"/>
    <sheet name="Pentane" sheetId="130"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d" localSheetId="2">'[1]ESSO-ESSO (incre.)'!#REF!</definedName>
    <definedName name="\d" localSheetId="0">'[1]ESSO-ESSO (incre.)'!#REF!</definedName>
    <definedName name="\d" localSheetId="1">'[1]ESSO-ESSO (incre.)'!#REF!</definedName>
    <definedName name="\d" localSheetId="6">'[1]ESSO-ESSO (incre.)'!#REF!</definedName>
    <definedName name="\d" localSheetId="7">'[1]ESSO-ESSO (incre.)'!#REF!</definedName>
    <definedName name="\d">'[1]ESSO-ESSO (incre.)'!#REF!</definedName>
    <definedName name="\e" localSheetId="2">'[1]ESSO-ESSO (incre.)'!#REF!</definedName>
    <definedName name="\e" localSheetId="0">'[1]ESSO-ESSO (incre.)'!#REF!</definedName>
    <definedName name="\e" localSheetId="1">'[1]ESSO-ESSO (incre.)'!#REF!</definedName>
    <definedName name="\e" localSheetId="6">'[1]ESSO-ESSO (incre.)'!#REF!</definedName>
    <definedName name="\e" localSheetId="7">'[1]ESSO-ESSO (incre.)'!#REF!</definedName>
    <definedName name="\e">'[1]ESSO-ESSO (incre.)'!#REF!</definedName>
    <definedName name="\f" localSheetId="2">'[1]ESSO-ESSO (incre.)'!#REF!</definedName>
    <definedName name="\f" localSheetId="0">'[1]ESSO-ESSO (incre.)'!#REF!</definedName>
    <definedName name="\f" localSheetId="1">'[1]ESSO-ESSO (incre.)'!#REF!</definedName>
    <definedName name="\f" localSheetId="6">'[1]ESSO-ESSO (incre.)'!#REF!</definedName>
    <definedName name="\f" localSheetId="7">'[1]ESSO-ESSO (incre.)'!#REF!</definedName>
    <definedName name="\f">'[1]ESSO-ESSO (incre.)'!#REF!</definedName>
    <definedName name="\O" localSheetId="2">#REF!</definedName>
    <definedName name="\O" localSheetId="0">#REF!</definedName>
    <definedName name="\O" localSheetId="1">#REF!</definedName>
    <definedName name="\O" localSheetId="6">#REF!</definedName>
    <definedName name="\O" localSheetId="7">#REF!</definedName>
    <definedName name="\O">#REF!</definedName>
    <definedName name="\P" localSheetId="2">#REF!</definedName>
    <definedName name="\P" localSheetId="0">#REF!</definedName>
    <definedName name="\P" localSheetId="1">#REF!</definedName>
    <definedName name="\P" localSheetId="6">#REF!</definedName>
    <definedName name="\P" localSheetId="7">#REF!</definedName>
    <definedName name="\P">#REF!</definedName>
    <definedName name="__123Graph_A" hidden="1">[2]AGP!$BI$93:$BO$93</definedName>
    <definedName name="__123Graph_B" hidden="1">[2]AGP!$BI$97:$BO$97</definedName>
    <definedName name="__123Graph_C" hidden="1">[2]AGP!$BI$98:$BO$98</definedName>
    <definedName name="__123Graph_D" hidden="1">[2]AGP!$BI$99:$BO$99</definedName>
    <definedName name="__123Graph_X" localSheetId="2" hidden="1">[2]AGP!#REF!</definedName>
    <definedName name="__123Graph_X" localSheetId="0" hidden="1">[2]AGP!#REF!</definedName>
    <definedName name="__123Graph_X" localSheetId="1" hidden="1">[2]AGP!#REF!</definedName>
    <definedName name="__123Graph_X" localSheetId="6" hidden="1">[2]AGP!#REF!</definedName>
    <definedName name="__123Graph_X" localSheetId="7" hidden="1">[2]AGP!#REF!</definedName>
    <definedName name="__123Graph_X" hidden="1">[2]AGP!#REF!</definedName>
    <definedName name="__SCR1" localSheetId="2">#REF!</definedName>
    <definedName name="__SCR1" localSheetId="0">#REF!</definedName>
    <definedName name="__SCR1" localSheetId="1">#REF!</definedName>
    <definedName name="__SCR1" localSheetId="6">#REF!</definedName>
    <definedName name="__SCR1" localSheetId="7">#REF!</definedName>
    <definedName name="__SCR1">#REF!</definedName>
    <definedName name="_1B" localSheetId="2">#REF!</definedName>
    <definedName name="_1B" localSheetId="0">#REF!</definedName>
    <definedName name="_1B" localSheetId="1">#REF!</definedName>
    <definedName name="_1B" localSheetId="6">#REF!</definedName>
    <definedName name="_1B" localSheetId="7">#REF!</definedName>
    <definedName name="_1B">#REF!</definedName>
    <definedName name="_1E" localSheetId="2">#REF!</definedName>
    <definedName name="_1E" localSheetId="0">#REF!</definedName>
    <definedName name="_1E" localSheetId="1">#REF!</definedName>
    <definedName name="_1E" localSheetId="6">#REF!</definedName>
    <definedName name="_1E" localSheetId="7">#REF!</definedName>
    <definedName name="_1E">#REF!</definedName>
    <definedName name="_1M" localSheetId="2">#REF!</definedName>
    <definedName name="_1M" localSheetId="0">#REF!</definedName>
    <definedName name="_1M" localSheetId="1">#REF!</definedName>
    <definedName name="_1M" localSheetId="6">#REF!</definedName>
    <definedName name="_1M" localSheetId="7">#REF!</definedName>
    <definedName name="_1M">#REF!</definedName>
    <definedName name="_1U" localSheetId="2">#REF!</definedName>
    <definedName name="_1U" localSheetId="0">#REF!</definedName>
    <definedName name="_1U" localSheetId="1">#REF!</definedName>
    <definedName name="_1U" localSheetId="6">#REF!</definedName>
    <definedName name="_1U" localSheetId="7">#REF!</definedName>
    <definedName name="_1U">#REF!</definedName>
    <definedName name="_2U" localSheetId="2">#REF!</definedName>
    <definedName name="_2U" localSheetId="0">#REF!</definedName>
    <definedName name="_2U" localSheetId="1">#REF!</definedName>
    <definedName name="_2U" localSheetId="6">#REF!</definedName>
    <definedName name="_2U" localSheetId="7">#REF!</definedName>
    <definedName name="_2U">#REF!</definedName>
    <definedName name="_3U" localSheetId="2">#REF!</definedName>
    <definedName name="_3U" localSheetId="0">#REF!</definedName>
    <definedName name="_3U" localSheetId="1">#REF!</definedName>
    <definedName name="_3U" localSheetId="6">#REF!</definedName>
    <definedName name="_3U" localSheetId="7">#REF!</definedName>
    <definedName name="_3U">#REF!</definedName>
    <definedName name="_4U" localSheetId="2">#REF!</definedName>
    <definedName name="_4U" localSheetId="0">#REF!</definedName>
    <definedName name="_4U" localSheetId="1">#REF!</definedName>
    <definedName name="_4U" localSheetId="6">#REF!</definedName>
    <definedName name="_4U" localSheetId="7">#REF!</definedName>
    <definedName name="_4U">#REF!</definedName>
    <definedName name="_Fill" localSheetId="2" hidden="1">#REF!</definedName>
    <definedName name="_Fill" localSheetId="0" hidden="1">#REF!</definedName>
    <definedName name="_Fill" localSheetId="1" hidden="1">#REF!</definedName>
    <definedName name="_Fill" localSheetId="6" hidden="1">#REF!</definedName>
    <definedName name="_Fill" localSheetId="7" hidden="1">#REF!</definedName>
    <definedName name="_Fill" hidden="1">#REF!</definedName>
    <definedName name="_MO1" localSheetId="2">#REF!</definedName>
    <definedName name="_MO1" localSheetId="0">#REF!</definedName>
    <definedName name="_MO1" localSheetId="1">#REF!</definedName>
    <definedName name="_MO1" localSheetId="6">#REF!</definedName>
    <definedName name="_MO1" localSheetId="7">#REF!</definedName>
    <definedName name="_MO1">#REF!</definedName>
    <definedName name="_MO10" localSheetId="2">#REF!</definedName>
    <definedName name="_MO10" localSheetId="0">#REF!</definedName>
    <definedName name="_MO10" localSheetId="1">#REF!</definedName>
    <definedName name="_MO10" localSheetId="6">#REF!</definedName>
    <definedName name="_MO10" localSheetId="7">#REF!</definedName>
    <definedName name="_MO10">#REF!</definedName>
    <definedName name="_MO11" localSheetId="2">#REF!</definedName>
    <definedName name="_MO11" localSheetId="0">#REF!</definedName>
    <definedName name="_MO11" localSheetId="1">#REF!</definedName>
    <definedName name="_MO11" localSheetId="6">#REF!</definedName>
    <definedName name="_MO11" localSheetId="7">#REF!</definedName>
    <definedName name="_MO11">#REF!</definedName>
    <definedName name="_MO12" localSheetId="2">#REF!</definedName>
    <definedName name="_MO12" localSheetId="0">#REF!</definedName>
    <definedName name="_MO12" localSheetId="1">#REF!</definedName>
    <definedName name="_MO12" localSheetId="6">#REF!</definedName>
    <definedName name="_MO12" localSheetId="7">#REF!</definedName>
    <definedName name="_MO12">#REF!</definedName>
    <definedName name="_MO2" localSheetId="2">#REF!</definedName>
    <definedName name="_MO2" localSheetId="0">#REF!</definedName>
    <definedName name="_MO2" localSheetId="1">#REF!</definedName>
    <definedName name="_MO2" localSheetId="6">#REF!</definedName>
    <definedName name="_MO2" localSheetId="7">#REF!</definedName>
    <definedName name="_MO2">#REF!</definedName>
    <definedName name="_MO3" localSheetId="2">#REF!</definedName>
    <definedName name="_MO3" localSheetId="0">#REF!</definedName>
    <definedName name="_MO3" localSheetId="1">#REF!</definedName>
    <definedName name="_MO3" localSheetId="6">#REF!</definedName>
    <definedName name="_MO3" localSheetId="7">#REF!</definedName>
    <definedName name="_MO3">#REF!</definedName>
    <definedName name="_MO4" localSheetId="2">#REF!</definedName>
    <definedName name="_MO4" localSheetId="0">#REF!</definedName>
    <definedName name="_MO4" localSheetId="1">#REF!</definedName>
    <definedName name="_MO4" localSheetId="6">#REF!</definedName>
    <definedName name="_MO4" localSheetId="7">#REF!</definedName>
    <definedName name="_MO4">#REF!</definedName>
    <definedName name="_MO5" localSheetId="2">#REF!</definedName>
    <definedName name="_MO5" localSheetId="0">#REF!</definedName>
    <definedName name="_MO5" localSheetId="1">#REF!</definedName>
    <definedName name="_MO5" localSheetId="6">#REF!</definedName>
    <definedName name="_MO5" localSheetId="7">#REF!</definedName>
    <definedName name="_MO5">#REF!</definedName>
    <definedName name="_MO6" localSheetId="2">#REF!</definedName>
    <definedName name="_MO6" localSheetId="0">#REF!</definedName>
    <definedName name="_MO6" localSheetId="1">#REF!</definedName>
    <definedName name="_MO6" localSheetId="6">#REF!</definedName>
    <definedName name="_MO6" localSheetId="7">#REF!</definedName>
    <definedName name="_MO6">#REF!</definedName>
    <definedName name="_MO7" localSheetId="2">#REF!</definedName>
    <definedName name="_MO7" localSheetId="0">#REF!</definedName>
    <definedName name="_MO7" localSheetId="1">#REF!</definedName>
    <definedName name="_MO7" localSheetId="6">#REF!</definedName>
    <definedName name="_MO7" localSheetId="7">#REF!</definedName>
    <definedName name="_MO7">#REF!</definedName>
    <definedName name="_MO8" localSheetId="2">#REF!</definedName>
    <definedName name="_MO8" localSheetId="0">#REF!</definedName>
    <definedName name="_MO8" localSheetId="1">#REF!</definedName>
    <definedName name="_MO8" localSheetId="6">#REF!</definedName>
    <definedName name="_MO8" localSheetId="7">#REF!</definedName>
    <definedName name="_MO8">#REF!</definedName>
    <definedName name="_MO9" localSheetId="2">#REF!</definedName>
    <definedName name="_MO9" localSheetId="0">#REF!</definedName>
    <definedName name="_MO9" localSheetId="1">#REF!</definedName>
    <definedName name="_MO9" localSheetId="6">#REF!</definedName>
    <definedName name="_MO9" localSheetId="7">#REF!</definedName>
    <definedName name="_MO9">#REF!</definedName>
    <definedName name="_SCR1" localSheetId="2">#REF!</definedName>
    <definedName name="_SCR1" localSheetId="0">#REF!</definedName>
    <definedName name="_SCR1" localSheetId="1">#REF!</definedName>
    <definedName name="_SCR1" localSheetId="6">#REF!</definedName>
    <definedName name="_SCR1" localSheetId="7">#REF!</definedName>
    <definedName name="_SCR1">#REF!</definedName>
    <definedName name="a" localSheetId="2">[3]Purchase!#REF!</definedName>
    <definedName name="a" localSheetId="0">[3]Purchase!#REF!</definedName>
    <definedName name="a" localSheetId="1">[3]Purchase!#REF!</definedName>
    <definedName name="a" localSheetId="6">[3]Purchase!#REF!</definedName>
    <definedName name="a" localSheetId="7">[3]Purchase!#REF!</definedName>
    <definedName name="a">[3]Purchase!#REF!</definedName>
    <definedName name="ALL_IDX" localSheetId="2">#REF!</definedName>
    <definedName name="ALL_IDX" localSheetId="0">#REF!</definedName>
    <definedName name="ALL_IDX" localSheetId="1">#REF!</definedName>
    <definedName name="ALL_IDX" localSheetId="6">#REF!</definedName>
    <definedName name="ALL_IDX" localSheetId="7">#REF!</definedName>
    <definedName name="ALL_IDX">#REF!</definedName>
    <definedName name="Apr" localSheetId="2">#REF!</definedName>
    <definedName name="Apr" localSheetId="0">#REF!</definedName>
    <definedName name="Apr" localSheetId="1">#REF!</definedName>
    <definedName name="Apr" localSheetId="6">#REF!</definedName>
    <definedName name="Apr" localSheetId="7">#REF!</definedName>
    <definedName name="Apr">#REF!</definedName>
    <definedName name="AprSun1" localSheetId="2">DATEVALUE("4/1/"&amp;'C2'!TheYear)-WEEKDAY(DATEVALUE("4/1/"&amp;'C2'!TheYear))+1</definedName>
    <definedName name="AprSun1" localSheetId="0">DATEVALUE("4/1/"&amp;'C2 (2)'!TheYear)-WEEKDAY(DATEVALUE("4/1/"&amp;'C2 (2)'!TheYear))+1</definedName>
    <definedName name="AprSun1" localSheetId="1">DATEVALUE("4/1/"&amp;'C2 (Thann)'!TheYear)-WEEKDAY(DATEVALUE("4/1/"&amp;'C2 (Thann)'!TheYear))+1</definedName>
    <definedName name="AprSun1" localSheetId="6">DATEVALUE("4/1/"&amp;'C3LPG'!TheYear)-WEEKDAY(DATEVALUE("4/1/"&amp;'C3LPG'!TheYear))+1</definedName>
    <definedName name="AprSun1" localSheetId="7">DATEVALUE("4/1/"&amp;NGL!TheYear)-WEEKDAY(DATEVALUE("4/1/"&amp;NGL!TheYear))+1</definedName>
    <definedName name="AprSun1">DATEVALUE("4/1/"&amp;TheYear)-WEEKDAY(DATEVALUE("4/1/"&amp;TheYear))+1</definedName>
    <definedName name="Aug" localSheetId="2">#REF!</definedName>
    <definedName name="Aug" localSheetId="0">#REF!</definedName>
    <definedName name="Aug" localSheetId="1">#REF!</definedName>
    <definedName name="Aug" localSheetId="6">#REF!</definedName>
    <definedName name="Aug" localSheetId="7">#REF!</definedName>
    <definedName name="Aug">#REF!</definedName>
    <definedName name="AugSun1" localSheetId="2">DATEVALUE("8/1/"&amp;'C2'!TheYear)-WEEKDAY(DATEVALUE("8/1/"&amp;'C2'!TheYear))+1</definedName>
    <definedName name="AugSun1" localSheetId="0">DATEVALUE("8/1/"&amp;'C2 (2)'!TheYear)-WEEKDAY(DATEVALUE("8/1/"&amp;'C2 (2)'!TheYear))+1</definedName>
    <definedName name="AugSun1" localSheetId="1">DATEVALUE("8/1/"&amp;'C2 (Thann)'!TheYear)-WEEKDAY(DATEVALUE("8/1/"&amp;'C2 (Thann)'!TheYear))+1</definedName>
    <definedName name="AugSun1" localSheetId="6">DATEVALUE("8/1/"&amp;'C3LPG'!TheYear)-WEEKDAY(DATEVALUE("8/1/"&amp;'C3LPG'!TheYear))+1</definedName>
    <definedName name="AugSun1" localSheetId="7">DATEVALUE("8/1/"&amp;NGL!TheYear)-WEEKDAY(DATEVALUE("8/1/"&amp;NGL!TheYear))+1</definedName>
    <definedName name="AugSun1">DATEVALUE("8/1/"&amp;TheYear)-WEEKDAY(DATEVALUE("8/1/"&amp;TheYear))+1</definedName>
    <definedName name="bb">[4]level_all!$E$3:$K$15</definedName>
    <definedName name="BLG">[4]level_all!$FH$2:$FQ$15</definedName>
    <definedName name="ca" localSheetId="2">[3]Purchase!#REF!</definedName>
    <definedName name="ca" localSheetId="0">[3]Purchase!#REF!</definedName>
    <definedName name="ca" localSheetId="1">[3]Purchase!#REF!</definedName>
    <definedName name="ca" localSheetId="6">[3]Purchase!#REF!</definedName>
    <definedName name="ca" localSheetId="7">[3]Purchase!#REF!</definedName>
    <definedName name="ca">[3]Purchase!#REF!</definedName>
    <definedName name="CASE2" localSheetId="2">#REF!</definedName>
    <definedName name="CASE2" localSheetId="0">#REF!</definedName>
    <definedName name="CASE2" localSheetId="1">#REF!</definedName>
    <definedName name="CASE2" localSheetId="6">#REF!</definedName>
    <definedName name="CASE2" localSheetId="7">#REF!</definedName>
    <definedName name="CASE2">#REF!</definedName>
    <definedName name="ccc" localSheetId="2">[3]Purchase!#REF!</definedName>
    <definedName name="ccc" localSheetId="0">[3]Purchase!#REF!</definedName>
    <definedName name="ccc" localSheetId="1">[3]Purchase!#REF!</definedName>
    <definedName name="ccc" localSheetId="6">[3]Purchase!#REF!</definedName>
    <definedName name="ccc" localSheetId="7">[3]Purchase!#REF!</definedName>
    <definedName name="ccc">[3]Purchase!#REF!</definedName>
    <definedName name="CLB">[4]level_all!$DQ$2:$DZ$15</definedName>
    <definedName name="CRUDE" localSheetId="2">#REF!</definedName>
    <definedName name="CRUDE" localSheetId="0">#REF!</definedName>
    <definedName name="CRUDE" localSheetId="1">#REF!</definedName>
    <definedName name="CRUDE" localSheetId="6">#REF!</definedName>
    <definedName name="CRUDE" localSheetId="7">#REF!</definedName>
    <definedName name="CRUDE">#REF!</definedName>
    <definedName name="Customercode">[5]Invent.!$B$7:$B$4500</definedName>
    <definedName name="DDD" localSheetId="2">#REF!</definedName>
    <definedName name="DDD" localSheetId="0">#REF!</definedName>
    <definedName name="DDD" localSheetId="1">#REF!</definedName>
    <definedName name="DDD" localSheetId="6">#REF!</definedName>
    <definedName name="DDD" localSheetId="7">#REF!</definedName>
    <definedName name="DDD">#REF!</definedName>
    <definedName name="Dec" localSheetId="2">#REF!</definedName>
    <definedName name="Dec" localSheetId="0">#REF!</definedName>
    <definedName name="Dec" localSheetId="1">#REF!</definedName>
    <definedName name="Dec" localSheetId="6">#REF!</definedName>
    <definedName name="Dec" localSheetId="7">#REF!</definedName>
    <definedName name="Dec">#REF!</definedName>
    <definedName name="DecSun1" localSheetId="2">DATEVALUE("12/1/"&amp;'C2'!TheYear)-WEEKDAY(DATEVALUE("12/1/"&amp;'C2'!TheYear))+1</definedName>
    <definedName name="DecSun1" localSheetId="0">DATEVALUE("12/1/"&amp;'C2 (2)'!TheYear)-WEEKDAY(DATEVALUE("12/1/"&amp;'C2 (2)'!TheYear))+1</definedName>
    <definedName name="DecSun1" localSheetId="1">DATEVALUE("12/1/"&amp;'C2 (Thann)'!TheYear)-WEEKDAY(DATEVALUE("12/1/"&amp;'C2 (Thann)'!TheYear))+1</definedName>
    <definedName name="DecSun1" localSheetId="6">DATEVALUE("12/1/"&amp;'C3LPG'!TheYear)-WEEKDAY(DATEVALUE("12/1/"&amp;'C3LPG'!TheYear))+1</definedName>
    <definedName name="DecSun1" localSheetId="7">DATEVALUE("12/1/"&amp;NGL!TheYear)-WEEKDAY(DATEVALUE("12/1/"&amp;NGL!TheYear))+1</definedName>
    <definedName name="DecSun1">DATEVALUE("12/1/"&amp;TheYear)-WEEKDAY(DATEVALUE("12/1/"&amp;TheYear))+1</definedName>
    <definedName name="Dry_Test" localSheetId="2">#REF!</definedName>
    <definedName name="Dry_Test" localSheetId="0">#REF!</definedName>
    <definedName name="Dry_Test" localSheetId="1">#REF!</definedName>
    <definedName name="Dry_Test" localSheetId="6">#REF!</definedName>
    <definedName name="Dry_Test" localSheetId="7">#REF!</definedName>
    <definedName name="Dry_Test">#REF!</definedName>
    <definedName name="dsfrgt" localSheetId="2">#REF!</definedName>
    <definedName name="dsfrgt" localSheetId="0">#REF!</definedName>
    <definedName name="dsfrgt" localSheetId="1">#REF!</definedName>
    <definedName name="dsfrgt" localSheetId="6">#REF!</definedName>
    <definedName name="dsfrgt" localSheetId="7">#REF!</definedName>
    <definedName name="dsfrgt">#REF!</definedName>
    <definedName name="Feb" localSheetId="2">#REF!</definedName>
    <definedName name="Feb" localSheetId="0">#REF!</definedName>
    <definedName name="Feb" localSheetId="1">#REF!</definedName>
    <definedName name="Feb" localSheetId="6">#REF!</definedName>
    <definedName name="Feb" localSheetId="7">#REF!</definedName>
    <definedName name="Feb">#REF!</definedName>
    <definedName name="FebSun1" localSheetId="2">DATEVALUE("2/1/"&amp;'C2'!TheYear)-WEEKDAY(DATEVALUE("2/1/"&amp;'C2'!TheYear))+1</definedName>
    <definedName name="FebSun1" localSheetId="0">DATEVALUE("2/1/"&amp;'C2 (2)'!TheYear)-WEEKDAY(DATEVALUE("2/1/"&amp;'C2 (2)'!TheYear))+1</definedName>
    <definedName name="FebSun1" localSheetId="1">DATEVALUE("2/1/"&amp;'C2 (Thann)'!TheYear)-WEEKDAY(DATEVALUE("2/1/"&amp;'C2 (Thann)'!TheYear))+1</definedName>
    <definedName name="FebSun1" localSheetId="6">DATEVALUE("2/1/"&amp;'C3LPG'!TheYear)-WEEKDAY(DATEVALUE("2/1/"&amp;'C3LPG'!TheYear))+1</definedName>
    <definedName name="FebSun1" localSheetId="7">DATEVALUE("2/1/"&amp;NGL!TheYear)-WEEKDAY(DATEVALUE("2/1/"&amp;NGL!TheYear))+1</definedName>
    <definedName name="FebSun1">DATEVALUE("2/1/"&amp;TheYear)-WEEKDAY(DATEVALUE("2/1/"&amp;TheYear))+1</definedName>
    <definedName name="GAS" localSheetId="2">#REF!</definedName>
    <definedName name="GAS" localSheetId="0">#REF!</definedName>
    <definedName name="GAS" localSheetId="1">#REF!</definedName>
    <definedName name="GAS" localSheetId="6">#REF!</definedName>
    <definedName name="GAS" localSheetId="7">#REF!</definedName>
    <definedName name="GAS">#REF!</definedName>
    <definedName name="GROWTH_Y_o_Y" localSheetId="2">#REF!</definedName>
    <definedName name="GROWTH_Y_o_Y" localSheetId="0">#REF!</definedName>
    <definedName name="GROWTH_Y_o_Y" localSheetId="1">#REF!</definedName>
    <definedName name="GROWTH_Y_o_Y" localSheetId="6">#REF!</definedName>
    <definedName name="GROWTH_Y_o_Y" localSheetId="7">#REF!</definedName>
    <definedName name="GROWTH_Y_o_Y">#REF!</definedName>
    <definedName name="HEAD" localSheetId="2">#REF!</definedName>
    <definedName name="HEAD" localSheetId="0">#REF!</definedName>
    <definedName name="HEAD" localSheetId="1">#REF!</definedName>
    <definedName name="HEAD" localSheetId="6">#REF!</definedName>
    <definedName name="HEAD" localSheetId="7">#REF!</definedName>
    <definedName name="HEAD">#REF!</definedName>
    <definedName name="I1U" localSheetId="2">#REF!</definedName>
    <definedName name="I1U" localSheetId="0">#REF!</definedName>
    <definedName name="I1U" localSheetId="1">#REF!</definedName>
    <definedName name="I1U" localSheetId="6">#REF!</definedName>
    <definedName name="I1U" localSheetId="7">#REF!</definedName>
    <definedName name="I1U">#REF!</definedName>
    <definedName name="I2U" localSheetId="2">#REF!</definedName>
    <definedName name="I2U" localSheetId="0">#REF!</definedName>
    <definedName name="I2U" localSheetId="1">#REF!</definedName>
    <definedName name="I2U" localSheetId="6">#REF!</definedName>
    <definedName name="I2U" localSheetId="7">#REF!</definedName>
    <definedName name="I2U">#REF!</definedName>
    <definedName name="IBK" localSheetId="2">#REF!</definedName>
    <definedName name="IBK" localSheetId="0">#REF!</definedName>
    <definedName name="IBK" localSheetId="1">#REF!</definedName>
    <definedName name="IBK" localSheetId="6">#REF!</definedName>
    <definedName name="IBK" localSheetId="7">#REF!</definedName>
    <definedName name="IBK">#REF!</definedName>
    <definedName name="IDX" localSheetId="2">#REF!</definedName>
    <definedName name="IDX" localSheetId="0">#REF!</definedName>
    <definedName name="IDX" localSheetId="1">#REF!</definedName>
    <definedName name="IDX" localSheetId="6">#REF!</definedName>
    <definedName name="IDX" localSheetId="7">#REF!</definedName>
    <definedName name="IDX">#REF!</definedName>
    <definedName name="IM" localSheetId="2">#REF!</definedName>
    <definedName name="IM" localSheetId="0">#REF!</definedName>
    <definedName name="IM" localSheetId="1">#REF!</definedName>
    <definedName name="IM" localSheetId="6">#REF!</definedName>
    <definedName name="IM" localSheetId="7">#REF!</definedName>
    <definedName name="IM">#REF!</definedName>
    <definedName name="Inputcode">[5]Invent.!$B$3:$BS$3</definedName>
    <definedName name="Jan" localSheetId="2">#REF!</definedName>
    <definedName name="Jan" localSheetId="0">#REF!</definedName>
    <definedName name="Jan" localSheetId="1">#REF!</definedName>
    <definedName name="Jan" localSheetId="6">#REF!</definedName>
    <definedName name="Jan" localSheetId="7">#REF!</definedName>
    <definedName name="Jan">#REF!</definedName>
    <definedName name="JanSun1" localSheetId="2">DATEVALUE("1/1/"&amp;'C2'!TheYear)-WEEKDAY(DATEVALUE("1/1/"&amp;'C2'!TheYear))+1</definedName>
    <definedName name="JanSun1" localSheetId="0">DATEVALUE("1/1/"&amp;'C2 (2)'!TheYear)-WEEKDAY(DATEVALUE("1/1/"&amp;'C2 (2)'!TheYear))+1</definedName>
    <definedName name="JanSun1" localSheetId="1">DATEVALUE("1/1/"&amp;'C2 (Thann)'!TheYear)-WEEKDAY(DATEVALUE("1/1/"&amp;'C2 (Thann)'!TheYear))+1</definedName>
    <definedName name="JanSun1" localSheetId="6">DATEVALUE("1/1/"&amp;'C3LPG'!TheYear)-WEEKDAY(DATEVALUE("1/1/"&amp;'C3LPG'!TheYear))+1</definedName>
    <definedName name="JanSun1" localSheetId="7">DATEVALUE("1/1/"&amp;NGL!TheYear)-WEEKDAY(DATEVALUE("1/1/"&amp;NGL!TheYear))+1</definedName>
    <definedName name="JanSun1">DATEVALUE("1/1/"&amp;TheYear)-WEEKDAY(DATEVALUE("1/1/"&amp;TheYear))+1</definedName>
    <definedName name="JDA" localSheetId="2">#REF!</definedName>
    <definedName name="JDA" localSheetId="0">#REF!</definedName>
    <definedName name="JDA" localSheetId="1">#REF!</definedName>
    <definedName name="JDA" localSheetId="6">#REF!</definedName>
    <definedName name="JDA" localSheetId="7">#REF!</definedName>
    <definedName name="JDA">#REF!</definedName>
    <definedName name="Jul" localSheetId="2">#REF!</definedName>
    <definedName name="Jul" localSheetId="0">#REF!</definedName>
    <definedName name="Jul" localSheetId="1">#REF!</definedName>
    <definedName name="Jul" localSheetId="6">#REF!</definedName>
    <definedName name="Jul" localSheetId="7">#REF!</definedName>
    <definedName name="Jul">#REF!</definedName>
    <definedName name="JulSun1" localSheetId="2">DATEVALUE("7/1/"&amp;'C2'!TheYear)-WEEKDAY(DATEVALUE("7/1/"&amp;'C2'!TheYear))+1</definedName>
    <definedName name="JulSun1" localSheetId="0">DATEVALUE("7/1/"&amp;'C2 (2)'!TheYear)-WEEKDAY(DATEVALUE("7/1/"&amp;'C2 (2)'!TheYear))+1</definedName>
    <definedName name="JulSun1" localSheetId="1">DATEVALUE("7/1/"&amp;'C2 (Thann)'!TheYear)-WEEKDAY(DATEVALUE("7/1/"&amp;'C2 (Thann)'!TheYear))+1</definedName>
    <definedName name="JulSun1" localSheetId="6">DATEVALUE("7/1/"&amp;'C3LPG'!TheYear)-WEEKDAY(DATEVALUE("7/1/"&amp;'C3LPG'!TheYear))+1</definedName>
    <definedName name="JulSun1" localSheetId="7">DATEVALUE("7/1/"&amp;NGL!TheYear)-WEEKDAY(DATEVALUE("7/1/"&amp;NGL!TheYear))+1</definedName>
    <definedName name="JulSun1">DATEVALUE("7/1/"&amp;TheYear)-WEEKDAY(DATEVALUE("7/1/"&amp;TheYear))+1</definedName>
    <definedName name="Jun" localSheetId="2">#REF!</definedName>
    <definedName name="Jun" localSheetId="0">#REF!</definedName>
    <definedName name="Jun" localSheetId="1">#REF!</definedName>
    <definedName name="Jun" localSheetId="6">#REF!</definedName>
    <definedName name="Jun" localSheetId="7">#REF!</definedName>
    <definedName name="Jun">#REF!</definedName>
    <definedName name="JunSun1" localSheetId="2">DATEVALUE("6/1/"&amp;'C2'!TheYear)-WEEKDAY(DATEVALUE("6/1/"&amp;'C2'!TheYear))+1</definedName>
    <definedName name="JunSun1" localSheetId="0">DATEVALUE("6/1/"&amp;'C2 (2)'!TheYear)-WEEKDAY(DATEVALUE("6/1/"&amp;'C2 (2)'!TheYear))+1</definedName>
    <definedName name="JunSun1" localSheetId="1">DATEVALUE("6/1/"&amp;'C2 (Thann)'!TheYear)-WEEKDAY(DATEVALUE("6/1/"&amp;'C2 (Thann)'!TheYear))+1</definedName>
    <definedName name="JunSun1" localSheetId="6">DATEVALUE("6/1/"&amp;'C3LPG'!TheYear)-WEEKDAY(DATEVALUE("6/1/"&amp;'C3LPG'!TheYear))+1</definedName>
    <definedName name="JunSun1" localSheetId="7">DATEVALUE("6/1/"&amp;NGL!TheYear)-WEEKDAY(DATEVALUE("6/1/"&amp;NGL!TheYear))+1</definedName>
    <definedName name="JunSun1">DATEVALUE("6/1/"&amp;TheYear)-WEEKDAY(DATEVALUE("6/1/"&amp;TheYear))+1</definedName>
    <definedName name="khl">[4]level_all!$BB$2:$BK$15</definedName>
    <definedName name="kkc">[4]level_all!$BO$2:$BX$15</definedName>
    <definedName name="krd">[4]level_all!$CC$2:$CL$15</definedName>
    <definedName name="Lost_seal" localSheetId="2">#REF!</definedName>
    <definedName name="Lost_seal" localSheetId="0">#REF!</definedName>
    <definedName name="Lost_seal" localSheetId="1">#REF!</definedName>
    <definedName name="Lost_seal" localSheetId="6">#REF!</definedName>
    <definedName name="Lost_seal" localSheetId="7">#REF!</definedName>
    <definedName name="Lost_seal">#REF!</definedName>
    <definedName name="Mar" localSheetId="2">#REF!</definedName>
    <definedName name="Mar" localSheetId="0">#REF!</definedName>
    <definedName name="Mar" localSheetId="1">#REF!</definedName>
    <definedName name="Mar" localSheetId="6">#REF!</definedName>
    <definedName name="Mar" localSheetId="7">#REF!</definedName>
    <definedName name="Mar">#REF!</definedName>
    <definedName name="MarSun1" localSheetId="2">DATEVALUE("3/1/"&amp;'C2'!TheYear)-WEEKDAY(DATEVALUE("3/1/"&amp;'C2'!TheYear))+1</definedName>
    <definedName name="MarSun1" localSheetId="0">DATEVALUE("3/1/"&amp;'C2 (2)'!TheYear)-WEEKDAY(DATEVALUE("3/1/"&amp;'C2 (2)'!TheYear))+1</definedName>
    <definedName name="MarSun1" localSheetId="1">DATEVALUE("3/1/"&amp;'C2 (Thann)'!TheYear)-WEEKDAY(DATEVALUE("3/1/"&amp;'C2 (Thann)'!TheYear))+1</definedName>
    <definedName name="MarSun1" localSheetId="6">DATEVALUE("3/1/"&amp;'C3LPG'!TheYear)-WEEKDAY(DATEVALUE("3/1/"&amp;'C3LPG'!TheYear))+1</definedName>
    <definedName name="MarSun1" localSheetId="7">DATEVALUE("3/1/"&amp;NGL!TheYear)-WEEKDAY(DATEVALUE("3/1/"&amp;NGL!TheYear))+1</definedName>
    <definedName name="MarSun1">DATEVALUE("3/1/"&amp;TheYear)-WEEKDAY(DATEVALUE("3/1/"&amp;TheYear))+1</definedName>
    <definedName name="May" localSheetId="2">#REF!</definedName>
    <definedName name="May" localSheetId="0">#REF!</definedName>
    <definedName name="May" localSheetId="1">#REF!</definedName>
    <definedName name="May" localSheetId="6">#REF!</definedName>
    <definedName name="May" localSheetId="7">#REF!</definedName>
    <definedName name="May">#REF!</definedName>
    <definedName name="MaySun1" localSheetId="2">DATEVALUE("5/1/"&amp;'C2'!TheYear)-WEEKDAY(DATEVALUE("5/1/"&amp;'C2'!TheYear))+1</definedName>
    <definedName name="MaySun1" localSheetId="0">DATEVALUE("5/1/"&amp;'C2 (2)'!TheYear)-WEEKDAY(DATEVALUE("5/1/"&amp;'C2 (2)'!TheYear))+1</definedName>
    <definedName name="MaySun1" localSheetId="1">DATEVALUE("5/1/"&amp;'C2 (Thann)'!TheYear)-WEEKDAY(DATEVALUE("5/1/"&amp;'C2 (Thann)'!TheYear))+1</definedName>
    <definedName name="MaySun1" localSheetId="6">DATEVALUE("5/1/"&amp;'C3LPG'!TheYear)-WEEKDAY(DATEVALUE("5/1/"&amp;'C3LPG'!TheYear))+1</definedName>
    <definedName name="MaySun1" localSheetId="7">DATEVALUE("5/1/"&amp;NGL!TheYear)-WEEKDAY(DATEVALUE("5/1/"&amp;NGL!TheYear))+1</definedName>
    <definedName name="MaySun1">DATEVALUE("5/1/"&amp;TheYear)-WEEKDAY(DATEVALUE("5/1/"&amp;TheYear))+1</definedName>
    <definedName name="mng">[4]level_all!$AC$2:$AL$15</definedName>
    <definedName name="MonRange" localSheetId="2">#REF!</definedName>
    <definedName name="MonRange" localSheetId="0">#REF!</definedName>
    <definedName name="MonRange" localSheetId="1">#REF!</definedName>
    <definedName name="MonRange" localSheetId="6">#REF!</definedName>
    <definedName name="MonRange" localSheetId="7">#REF!</definedName>
    <definedName name="MonRange">#REF!</definedName>
    <definedName name="Nov" localSheetId="2">#REF!</definedName>
    <definedName name="Nov" localSheetId="0">#REF!</definedName>
    <definedName name="Nov" localSheetId="1">#REF!</definedName>
    <definedName name="Nov" localSheetId="6">#REF!</definedName>
    <definedName name="Nov" localSheetId="7">#REF!</definedName>
    <definedName name="Nov">#REF!</definedName>
    <definedName name="NovSun1" localSheetId="2">DATEVALUE("11/1/"&amp;'C2'!TheYear)-WEEKDAY(DATEVALUE("11/1/"&amp;'C2'!TheYear))+1</definedName>
    <definedName name="NovSun1" localSheetId="0">DATEVALUE("11/1/"&amp;'C2 (2)'!TheYear)-WEEKDAY(DATEVALUE("11/1/"&amp;'C2 (2)'!TheYear))+1</definedName>
    <definedName name="NovSun1" localSheetId="1">DATEVALUE("11/1/"&amp;'C2 (Thann)'!TheYear)-WEEKDAY(DATEVALUE("11/1/"&amp;'C2 (Thann)'!TheYear))+1</definedName>
    <definedName name="NovSun1" localSheetId="6">DATEVALUE("11/1/"&amp;'C3LPG'!TheYear)-WEEKDAY(DATEVALUE("11/1/"&amp;'C3LPG'!TheYear))+1</definedName>
    <definedName name="NovSun1" localSheetId="7">DATEVALUE("11/1/"&amp;NGL!TheYear)-WEEKDAY(DATEVALUE("11/1/"&amp;NGL!TheYear))+1</definedName>
    <definedName name="NovSun1">DATEVALUE("11/1/"&amp;TheYear)-WEEKDAY(DATEVALUE("11/1/"&amp;TheYear))+1</definedName>
    <definedName name="NP">[4]level_all!$EG$2:$EP$15</definedName>
    <definedName name="Oct" localSheetId="2">#REF!</definedName>
    <definedName name="Oct" localSheetId="0">#REF!</definedName>
    <definedName name="Oct" localSheetId="1">#REF!</definedName>
    <definedName name="Oct" localSheetId="6">#REF!</definedName>
    <definedName name="Oct" localSheetId="7">#REF!</definedName>
    <definedName name="Oct">#REF!</definedName>
    <definedName name="OctSun1" localSheetId="2">DATEVALUE("10/1/"&amp;'C2'!TheYear)-WEEKDAY(DATEVALUE("10/1/"&amp;'C2'!TheYear))+1</definedName>
    <definedName name="OctSun1" localSheetId="0">DATEVALUE("10/1/"&amp;'C2 (2)'!TheYear)-WEEKDAY(DATEVALUE("10/1/"&amp;'C2 (2)'!TheYear))+1</definedName>
    <definedName name="OctSun1" localSheetId="1">DATEVALUE("10/1/"&amp;'C2 (Thann)'!TheYear)-WEEKDAY(DATEVALUE("10/1/"&amp;'C2 (Thann)'!TheYear))+1</definedName>
    <definedName name="OctSun1" localSheetId="6">DATEVALUE("10/1/"&amp;'C3LPG'!TheYear)-WEEKDAY(DATEVALUE("10/1/"&amp;'C3LPG'!TheYear))+1</definedName>
    <definedName name="OctSun1" localSheetId="7">DATEVALUE("10/1/"&amp;NGL!TheYear)-WEEKDAY(DATEVALUE("10/1/"&amp;NGL!TheYear))+1</definedName>
    <definedName name="OctSun1">DATEVALUE("10/1/"&amp;TheYear)-WEEKDAY(DATEVALUE("10/1/"&amp;TheYear))+1</definedName>
    <definedName name="OneStepChart" localSheetId="2">[6]!OneStepChart</definedName>
    <definedName name="OneStepChart" localSheetId="0">[6]!OneStepChart</definedName>
    <definedName name="OneStepChart" localSheetId="1">[6]!OneStepChart</definedName>
    <definedName name="OneStepChart" localSheetId="6">[6]!OneStepChart</definedName>
    <definedName name="OneStepChart" localSheetId="7">[6]!OneStepChart</definedName>
    <definedName name="OneStepChart">[6]!OneStepChart</definedName>
    <definedName name="outad" localSheetId="2">#REF!</definedName>
    <definedName name="outad" localSheetId="0">#REF!</definedName>
    <definedName name="outad" localSheetId="1">#REF!</definedName>
    <definedName name="outad" localSheetId="6">#REF!</definedName>
    <definedName name="outad" localSheetId="7">#REF!</definedName>
    <definedName name="outad">#REF!</definedName>
    <definedName name="PAGE2" localSheetId="2">#REF!</definedName>
    <definedName name="PAGE2" localSheetId="0">#REF!</definedName>
    <definedName name="PAGE2" localSheetId="1">#REF!</definedName>
    <definedName name="PAGE2" localSheetId="6">#REF!</definedName>
    <definedName name="PAGE2" localSheetId="7">#REF!</definedName>
    <definedName name="PAGE2">#REF!</definedName>
    <definedName name="pool3" localSheetId="2">[3]Purchase!#REF!</definedName>
    <definedName name="pool3" localSheetId="0">[3]Purchase!#REF!</definedName>
    <definedName name="pool3" localSheetId="1">[3]Purchase!#REF!</definedName>
    <definedName name="pool3" localSheetId="6">[3]Purchase!#REF!</definedName>
    <definedName name="pool3" localSheetId="7">[3]Purchase!#REF!</definedName>
    <definedName name="pool3">[3]Purchase!#REF!</definedName>
    <definedName name="Pressure_not_stabilized" localSheetId="2">#REF!</definedName>
    <definedName name="Pressure_not_stabilized" localSheetId="0">#REF!</definedName>
    <definedName name="Pressure_not_stabilized" localSheetId="1">#REF!</definedName>
    <definedName name="Pressure_not_stabilized" localSheetId="6">#REF!</definedName>
    <definedName name="Pressure_not_stabilized" localSheetId="7">#REF!</definedName>
    <definedName name="Pressure_not_stabilized">#REF!</definedName>
    <definedName name="_xlnm.Print_Area" localSheetId="2">#REF!</definedName>
    <definedName name="_xlnm.Print_Area" localSheetId="0">#REF!</definedName>
    <definedName name="_xlnm.Print_Area" localSheetId="1">#REF!</definedName>
    <definedName name="_xlnm.Print_Area" localSheetId="6">#REF!</definedName>
    <definedName name="_xlnm.Print_Area" localSheetId="7">#REF!</definedName>
    <definedName name="_xlnm.Print_Area">#REF!</definedName>
    <definedName name="PRINT_AREA_MI" localSheetId="2">#REF!</definedName>
    <definedName name="PRINT_AREA_MI" localSheetId="0">#REF!</definedName>
    <definedName name="PRINT_AREA_MI" localSheetId="1">#REF!</definedName>
    <definedName name="PRINT_AREA_MI" localSheetId="6">#REF!</definedName>
    <definedName name="PRINT_AREA_MI" localSheetId="7">#REF!</definedName>
    <definedName name="PRINT_AREA_MI">#REF!</definedName>
    <definedName name="Q" localSheetId="2">[3]Purchase!#REF!</definedName>
    <definedName name="Q" localSheetId="0">[3]Purchase!#REF!</definedName>
    <definedName name="Q" localSheetId="1">[3]Purchase!#REF!</definedName>
    <definedName name="Q" localSheetId="6">[3]Purchase!#REF!</definedName>
    <definedName name="Q" localSheetId="7">[3]Purchase!#REF!</definedName>
    <definedName name="Q">[3]Purchase!#REF!</definedName>
    <definedName name="RPB">[4]level_all!$ER$2:$EZ$15</definedName>
    <definedName name="S234gal." localSheetId="2">#REF!</definedName>
    <definedName name="S234gal." localSheetId="0">#REF!</definedName>
    <definedName name="S234gal." localSheetId="1">#REF!</definedName>
    <definedName name="S234gal." localSheetId="6">#REF!</definedName>
    <definedName name="S234gal." localSheetId="7">#REF!</definedName>
    <definedName name="S234gal.">#REF!</definedName>
    <definedName name="S6gal." localSheetId="2">#REF!</definedName>
    <definedName name="S6gal." localSheetId="0">#REF!</definedName>
    <definedName name="S6gal." localSheetId="1">#REF!</definedName>
    <definedName name="S6gal." localSheetId="6">#REF!</definedName>
    <definedName name="S6gal." localSheetId="7">#REF!</definedName>
    <definedName name="S6gal.">#REF!</definedName>
    <definedName name="SALES" localSheetId="2">#REF!</definedName>
    <definedName name="SALES" localSheetId="0">#REF!</definedName>
    <definedName name="SALES" localSheetId="1">#REF!</definedName>
    <definedName name="SALES" localSheetId="6">#REF!</definedName>
    <definedName name="SALES" localSheetId="7">#REF!</definedName>
    <definedName name="SALES">#REF!</definedName>
    <definedName name="Seal_Failure" localSheetId="2">#REF!</definedName>
    <definedName name="Seal_Failure" localSheetId="0">#REF!</definedName>
    <definedName name="Seal_Failure" localSheetId="1">#REF!</definedName>
    <definedName name="Seal_Failure" localSheetId="6">#REF!</definedName>
    <definedName name="Seal_Failure" localSheetId="7">#REF!</definedName>
    <definedName name="Seal_Failure">#REF!</definedName>
    <definedName name="Sep" localSheetId="2">#REF!</definedName>
    <definedName name="Sep" localSheetId="0">#REF!</definedName>
    <definedName name="Sep" localSheetId="1">#REF!</definedName>
    <definedName name="Sep" localSheetId="6">#REF!</definedName>
    <definedName name="Sep" localSheetId="7">#REF!</definedName>
    <definedName name="Sep">#REF!</definedName>
    <definedName name="SepSun1" localSheetId="2">DATEVALUE("9/1/"&amp;'C2'!TheYear)-WEEKDAY(DATEVALUE("9/1/"&amp;'C2'!TheYear))+1</definedName>
    <definedName name="SepSun1" localSheetId="0">DATEVALUE("9/1/"&amp;'C2 (2)'!TheYear)-WEEKDAY(DATEVALUE("9/1/"&amp;'C2 (2)'!TheYear))+1</definedName>
    <definedName name="SepSun1" localSheetId="1">DATEVALUE("9/1/"&amp;'C2 (Thann)'!TheYear)-WEEKDAY(DATEVALUE("9/1/"&amp;'C2 (Thann)'!TheYear))+1</definedName>
    <definedName name="SepSun1" localSheetId="6">DATEVALUE("9/1/"&amp;'C3LPG'!TheYear)-WEEKDAY(DATEVALUE("9/1/"&amp;'C3LPG'!TheYear))+1</definedName>
    <definedName name="SepSun1" localSheetId="7">DATEVALUE("9/1/"&amp;NGL!TheYear)-WEEKDAY(DATEVALUE("9/1/"&amp;NGL!TheYear))+1</definedName>
    <definedName name="SepSun1">DATEVALUE("9/1/"&amp;TheYear)-WEEKDAY(DATEVALUE("9/1/"&amp;TheYear))+1</definedName>
    <definedName name="sfsdfd" localSheetId="2">#REF!</definedName>
    <definedName name="sfsdfd" localSheetId="0">#REF!</definedName>
    <definedName name="sfsdfd" localSheetId="1">#REF!</definedName>
    <definedName name="sfsdfd" localSheetId="6">#REF!</definedName>
    <definedName name="sfsdfd" localSheetId="7">#REF!</definedName>
    <definedName name="sfsdfd">#REF!</definedName>
    <definedName name="sk">[4]level_all!$N$2:$U$15</definedName>
    <definedName name="SNR">[4]level_all!$AO$2:$AX$15</definedName>
    <definedName name="SRD">[4]level_all!$DD$2:$DM$15</definedName>
    <definedName name="su" localSheetId="2">#REF!</definedName>
    <definedName name="su" localSheetId="0">#REF!</definedName>
    <definedName name="su" localSheetId="1">#REF!</definedName>
    <definedName name="su" localSheetId="6">#REF!</definedName>
    <definedName name="su" localSheetId="7">#REF!</definedName>
    <definedName name="su">#REF!</definedName>
    <definedName name="Supercharged_?" localSheetId="2">#REF!</definedName>
    <definedName name="Supercharged_?" localSheetId="0">#REF!</definedName>
    <definedName name="Supercharged_?" localSheetId="1">#REF!</definedName>
    <definedName name="Supercharged_?" localSheetId="6">#REF!</definedName>
    <definedName name="Supercharged_?" localSheetId="7">#REF!</definedName>
    <definedName name="Supercharged_?">#REF!</definedName>
    <definedName name="suree" localSheetId="2">#REF!</definedName>
    <definedName name="suree" localSheetId="0">#REF!</definedName>
    <definedName name="suree" localSheetId="1">#REF!</definedName>
    <definedName name="suree" localSheetId="6">#REF!</definedName>
    <definedName name="suree" localSheetId="7">#REF!</definedName>
    <definedName name="suree">#REF!</definedName>
    <definedName name="TheYear" localSheetId="2">#REF!</definedName>
    <definedName name="TheYear" localSheetId="0">#REF!</definedName>
    <definedName name="TheYear" localSheetId="1">#REF!</definedName>
    <definedName name="TheYear" localSheetId="6">#REF!</definedName>
    <definedName name="TheYear" localSheetId="7">#REF!</definedName>
    <definedName name="TheYear">#REF!</definedName>
    <definedName name="UNIT__Bbtu" localSheetId="2">#REF!</definedName>
    <definedName name="UNIT__Bbtu" localSheetId="0">#REF!</definedName>
    <definedName name="UNIT__Bbtu" localSheetId="1">#REF!</definedName>
    <definedName name="UNIT__Bbtu" localSheetId="6">#REF!</definedName>
    <definedName name="UNIT__Bbtu" localSheetId="7">#REF!</definedName>
    <definedName name="UNIT__Bbtu">#REF!</definedName>
    <definedName name="UNIT__Bbtu_d" localSheetId="2">#REF!</definedName>
    <definedName name="UNIT__Bbtu_d" localSheetId="0">#REF!</definedName>
    <definedName name="UNIT__Bbtu_d" localSheetId="1">#REF!</definedName>
    <definedName name="UNIT__Bbtu_d" localSheetId="6">#REF!</definedName>
    <definedName name="UNIT__Bbtu_d" localSheetId="7">#REF!</definedName>
    <definedName name="UNIT__Bbtu_d">#REF!</definedName>
    <definedName name="UR">[4]level_all!$CP$2:$CY$15</definedName>
    <definedName name="VOLUME" localSheetId="2">#REF!</definedName>
    <definedName name="VOLUME" localSheetId="0">#REF!</definedName>
    <definedName name="VOLUME" localSheetId="1">#REF!</definedName>
    <definedName name="VOLUME" localSheetId="6">#REF!</definedName>
    <definedName name="VOLUME" localSheetId="7">#REF!</definedName>
    <definedName name="VOLUME">#REF!</definedName>
    <definedName name="WATER" localSheetId="2">#REF!</definedName>
    <definedName name="WATER" localSheetId="0">#REF!</definedName>
    <definedName name="WATER" localSheetId="1">#REF!</definedName>
    <definedName name="WATER" localSheetId="6">#REF!</definedName>
    <definedName name="WATER" localSheetId="7">#REF!</definedName>
    <definedName name="WATER">#REF!</definedName>
    <definedName name="WH" localSheetId="2">#REF!</definedName>
    <definedName name="WH" localSheetId="0">#REF!</definedName>
    <definedName name="WH" localSheetId="1">#REF!</definedName>
    <definedName name="WH" localSheetId="6">#REF!</definedName>
    <definedName name="WH" localSheetId="7">#REF!</definedName>
    <definedName name="WH">#REF!</definedName>
    <definedName name="wrn.A." hidden="1">{#N/A,#N/A,TRUE,"mng";#N/A,#N/A,TRUE,"snr";#N/A,#N/A,TRUE,"khl";#N/A,#N/A,TRUE,"kkc";#N/A,#N/A,TRUE,"krd";#N/A,#N/A,TRUE,"ur";#N/A,#N/A,TRUE,"srd";#N/A,#N/A,TRUE,"clb";#N/A,#N/A,TRUE,"np";#N/A,#N/A,TRUE,"rpb";#N/A,#N/A,TRUE,"blg"}</definedName>
    <definedName name="x" localSheetId="2">[3]Purchase!#REF!</definedName>
    <definedName name="x" localSheetId="0">[3]Purchase!#REF!</definedName>
    <definedName name="x" localSheetId="1">[3]Purchase!#REF!</definedName>
    <definedName name="x" localSheetId="6">[3]Purchase!#REF!</definedName>
    <definedName name="x" localSheetId="7">[3]Purchase!#REF!</definedName>
    <definedName name="x">[3]Purchase!#REF!</definedName>
    <definedName name="xxx" localSheetId="2">[3]Purchase!#REF!</definedName>
    <definedName name="xxx" localSheetId="0">[3]Purchase!#REF!</definedName>
    <definedName name="xxx" localSheetId="1">[3]Purchase!#REF!</definedName>
    <definedName name="xxx" localSheetId="6">[3]Purchase!#REF!</definedName>
    <definedName name="xxx" localSheetId="7">[3]Purchase!#REF!</definedName>
    <definedName name="xxx">[3]Purchase!#REF!</definedName>
    <definedName name="ZeroRef">[5]Invent.!$B$6</definedName>
    <definedName name="น้ำระบาย" localSheetId="2">#REF!</definedName>
    <definedName name="น้ำระบาย" localSheetId="0">#REF!</definedName>
    <definedName name="น้ำระบาย" localSheetId="1">#REF!</definedName>
    <definedName name="น้ำระบาย" localSheetId="6">#REF!</definedName>
    <definedName name="น้ำระบาย" localSheetId="7">#REF!</definedName>
    <definedName name="น้ำระบาย">#REF!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109" i="50" l="1"/>
  <c r="H23" i="129"/>
  <c r="S23" i="129"/>
  <c r="S16" i="129"/>
  <c r="H10" i="129"/>
  <c r="EA35" i="111"/>
  <c r="DZ35" i="111"/>
  <c r="BI35" i="111"/>
  <c r="BG35" i="111"/>
  <c r="BC35" i="111"/>
  <c r="BA35" i="111"/>
  <c r="P35" i="111"/>
  <c r="O35" i="111"/>
  <c r="K35" i="111"/>
  <c r="J35" i="111"/>
  <c r="I35" i="111"/>
  <c r="H35" i="111"/>
  <c r="G35" i="111"/>
  <c r="F35" i="111"/>
  <c r="E35" i="111"/>
  <c r="D35" i="111"/>
  <c r="C35" i="111"/>
  <c r="CA18" i="111"/>
  <c r="BV8" i="111"/>
  <c r="AG49" i="134"/>
  <c r="Z33" i="134"/>
  <c r="X33" i="134"/>
  <c r="Y29" i="134"/>
  <c r="AA33" i="134"/>
  <c r="AF29" i="134"/>
  <c r="AE29" i="134"/>
  <c r="AE28" i="134"/>
  <c r="AF27" i="134"/>
  <c r="AM28" i="134"/>
  <c r="AM27" i="134"/>
  <c r="AL27" i="134"/>
  <c r="AK27" i="134"/>
  <c r="AJ27" i="134"/>
  <c r="AI27" i="134"/>
  <c r="AH27" i="134"/>
  <c r="AE33" i="134"/>
  <c r="AL20" i="134"/>
  <c r="EB35" i="111" l="1"/>
  <c r="EC35" i="111" s="1"/>
  <c r="AK99" i="133" l="1"/>
  <c r="AK98" i="133"/>
  <c r="AH165" i="133"/>
  <c r="AH161" i="133"/>
  <c r="AI166" i="133"/>
  <c r="AM23" i="134" l="1"/>
  <c r="AH84" i="133"/>
  <c r="N16" i="129"/>
  <c r="M16" i="129"/>
  <c r="L16" i="129"/>
  <c r="K16" i="129"/>
  <c r="J16" i="129"/>
  <c r="AM50" i="134"/>
  <c r="AL50" i="134"/>
  <c r="AK50" i="134"/>
  <c r="AJ50" i="134"/>
  <c r="AI50" i="134"/>
  <c r="AH50" i="134"/>
  <c r="AG50" i="134"/>
  <c r="AF50" i="134"/>
  <c r="AM49" i="134"/>
  <c r="AL49" i="134"/>
  <c r="AK49" i="134"/>
  <c r="AJ49" i="134"/>
  <c r="AI49" i="134"/>
  <c r="AH49" i="134"/>
  <c r="AF49" i="134"/>
  <c r="AE49" i="134"/>
  <c r="AD49" i="134"/>
  <c r="AC49" i="134"/>
  <c r="AB49" i="134"/>
  <c r="AA49" i="134"/>
  <c r="Z49" i="134"/>
  <c r="Y49" i="134"/>
  <c r="X49" i="134"/>
  <c r="U44" i="134"/>
  <c r="T44" i="134"/>
  <c r="S44" i="134"/>
  <c r="R44" i="134"/>
  <c r="Q44" i="134"/>
  <c r="P44" i="134"/>
  <c r="U43" i="134"/>
  <c r="T43" i="134"/>
  <c r="S43" i="134"/>
  <c r="R43" i="134"/>
  <c r="Q43" i="134"/>
  <c r="P43" i="134"/>
  <c r="R42" i="134"/>
  <c r="Q42" i="134"/>
  <c r="P42" i="134"/>
  <c r="N42" i="134"/>
  <c r="M42" i="134"/>
  <c r="L42" i="134"/>
  <c r="K42" i="134"/>
  <c r="J42" i="134"/>
  <c r="I42" i="134"/>
  <c r="H42" i="134"/>
  <c r="G42" i="134"/>
  <c r="F42" i="134"/>
  <c r="E42" i="134"/>
  <c r="D42" i="134"/>
  <c r="AM39" i="134"/>
  <c r="AL39" i="134"/>
  <c r="AK39" i="134"/>
  <c r="AJ39" i="134"/>
  <c r="AI39" i="134"/>
  <c r="AH39" i="134"/>
  <c r="AG39" i="134"/>
  <c r="AF39" i="134"/>
  <c r="AE39" i="134"/>
  <c r="AD39" i="134"/>
  <c r="AC39" i="134"/>
  <c r="AB39" i="134"/>
  <c r="AA39" i="134"/>
  <c r="Z39" i="134"/>
  <c r="Y39" i="134"/>
  <c r="X39" i="134"/>
  <c r="W39" i="134"/>
  <c r="V39" i="134"/>
  <c r="U39" i="134"/>
  <c r="T39" i="134"/>
  <c r="S39" i="134"/>
  <c r="R39" i="134"/>
  <c r="Q39" i="134"/>
  <c r="P39" i="134"/>
  <c r="O39" i="134"/>
  <c r="N39" i="134"/>
  <c r="M39" i="134"/>
  <c r="L39" i="134"/>
  <c r="K39" i="134"/>
  <c r="J39" i="134"/>
  <c r="I39" i="134"/>
  <c r="H39" i="134"/>
  <c r="G39" i="134"/>
  <c r="F39" i="134"/>
  <c r="E39" i="134"/>
  <c r="D39" i="134"/>
  <c r="R37" i="134"/>
  <c r="Q37" i="134"/>
  <c r="P37" i="134"/>
  <c r="AM33" i="134"/>
  <c r="AL33" i="134"/>
  <c r="AK33" i="134"/>
  <c r="AJ33" i="134"/>
  <c r="AJ42" i="134" s="1"/>
  <c r="AI33" i="134"/>
  <c r="AI42" i="134" s="1"/>
  <c r="AH33" i="134"/>
  <c r="AH42" i="134" s="1"/>
  <c r="AG33" i="134"/>
  <c r="AG37" i="134" s="1"/>
  <c r="AF33" i="134"/>
  <c r="AF42" i="134" s="1"/>
  <c r="AE42" i="134"/>
  <c r="AD33" i="134"/>
  <c r="AD42" i="134" s="1"/>
  <c r="AC33" i="134"/>
  <c r="AC37" i="134" s="1"/>
  <c r="AB33" i="134"/>
  <c r="AB42" i="134" s="1"/>
  <c r="Z42" i="134"/>
  <c r="Y33" i="134"/>
  <c r="X42" i="134"/>
  <c r="W33" i="134"/>
  <c r="W42" i="134" s="1"/>
  <c r="V33" i="134"/>
  <c r="V37" i="134" s="1"/>
  <c r="U33" i="134"/>
  <c r="U37" i="134" s="1"/>
  <c r="T33" i="134"/>
  <c r="T42" i="134" s="1"/>
  <c r="S33" i="134"/>
  <c r="S42" i="134" s="1"/>
  <c r="O33" i="134"/>
  <c r="O42" i="134" s="1"/>
  <c r="AT32" i="134"/>
  <c r="AT31" i="134"/>
  <c r="AT30" i="134"/>
  <c r="Y30" i="134"/>
  <c r="Z30" i="134" s="1"/>
  <c r="AA30" i="134" s="1"/>
  <c r="AB30" i="134" s="1"/>
  <c r="AC30" i="134" s="1"/>
  <c r="AD30" i="134" s="1"/>
  <c r="AE30" i="134" s="1"/>
  <c r="AF30" i="134" s="1"/>
  <c r="AG30" i="134" s="1"/>
  <c r="AH30" i="134" s="1"/>
  <c r="AI30" i="134" s="1"/>
  <c r="AJ30" i="134" s="1"/>
  <c r="AK30" i="134" s="1"/>
  <c r="AL30" i="134" s="1"/>
  <c r="AM30" i="134" s="1"/>
  <c r="AT29" i="134"/>
  <c r="Z29" i="134"/>
  <c r="AA29" i="134" s="1"/>
  <c r="AB29" i="134" s="1"/>
  <c r="AC29" i="134" s="1"/>
  <c r="AD29" i="134" s="1"/>
  <c r="AG29" i="134" s="1"/>
  <c r="AH29" i="134" s="1"/>
  <c r="AI29" i="134" s="1"/>
  <c r="AJ29" i="134" s="1"/>
  <c r="AK29" i="134" s="1"/>
  <c r="AL29" i="134" s="1"/>
  <c r="AM29" i="134" s="1"/>
  <c r="AT28" i="134"/>
  <c r="Y28" i="134"/>
  <c r="Z28" i="134" s="1"/>
  <c r="AA28" i="134" s="1"/>
  <c r="AB28" i="134" s="1"/>
  <c r="AC28" i="134" s="1"/>
  <c r="AD28" i="134" s="1"/>
  <c r="AF28" i="134" s="1"/>
  <c r="AG28" i="134" s="1"/>
  <c r="AH28" i="134" s="1"/>
  <c r="AI28" i="134" s="1"/>
  <c r="AJ28" i="134" s="1"/>
  <c r="AK28" i="134" s="1"/>
  <c r="AL28" i="134" s="1"/>
  <c r="AT27" i="134"/>
  <c r="Y27" i="134"/>
  <c r="Z27" i="134" s="1"/>
  <c r="AA27" i="134" s="1"/>
  <c r="AB27" i="134" s="1"/>
  <c r="AC27" i="134" s="1"/>
  <c r="AD27" i="134" s="1"/>
  <c r="AE27" i="134" s="1"/>
  <c r="AG27" i="134" s="1"/>
  <c r="Y26" i="134"/>
  <c r="X26" i="134"/>
  <c r="W26" i="134"/>
  <c r="U26" i="134"/>
  <c r="U20" i="134" s="1"/>
  <c r="AA24" i="134"/>
  <c r="AA23" i="134" s="1"/>
  <c r="Z24" i="134"/>
  <c r="Z23" i="134" s="1"/>
  <c r="Y24" i="134"/>
  <c r="Y20" i="134" s="1"/>
  <c r="X24" i="134"/>
  <c r="W24" i="134"/>
  <c r="AL23" i="134"/>
  <c r="AK23" i="134"/>
  <c r="AJ23" i="134"/>
  <c r="AI23" i="134"/>
  <c r="AH23" i="134"/>
  <c r="AG23" i="134"/>
  <c r="AF23" i="134"/>
  <c r="AE23" i="134"/>
  <c r="AD23" i="134"/>
  <c r="AC23" i="134"/>
  <c r="AB23" i="134"/>
  <c r="V23" i="134"/>
  <c r="T23" i="134"/>
  <c r="S23" i="134"/>
  <c r="R23" i="134"/>
  <c r="Q23" i="134"/>
  <c r="P23" i="134"/>
  <c r="O23" i="134"/>
  <c r="N23" i="134"/>
  <c r="M23" i="134"/>
  <c r="L23" i="134"/>
  <c r="K23" i="134"/>
  <c r="J23" i="134"/>
  <c r="I23" i="134"/>
  <c r="H23" i="134"/>
  <c r="G23" i="134"/>
  <c r="F23" i="134"/>
  <c r="E23" i="134"/>
  <c r="D23" i="134"/>
  <c r="C23" i="134"/>
  <c r="C21" i="134" s="1"/>
  <c r="C22" i="134"/>
  <c r="AM20" i="134"/>
  <c r="AK20" i="134"/>
  <c r="AJ20" i="134"/>
  <c r="AI20" i="134"/>
  <c r="AH20" i="134"/>
  <c r="AG20" i="134"/>
  <c r="AF20" i="134"/>
  <c r="AE20" i="134"/>
  <c r="AD20" i="134"/>
  <c r="AC20" i="134"/>
  <c r="AB20" i="134"/>
  <c r="AA20" i="134"/>
  <c r="Z20" i="134"/>
  <c r="V20" i="134"/>
  <c r="T20" i="134"/>
  <c r="S20" i="134"/>
  <c r="R20" i="134"/>
  <c r="Q20" i="134"/>
  <c r="P20" i="134"/>
  <c r="O20" i="134"/>
  <c r="N20" i="134"/>
  <c r="M20" i="134"/>
  <c r="L20" i="134"/>
  <c r="K20" i="134"/>
  <c r="J20" i="134"/>
  <c r="I20" i="134"/>
  <c r="H20" i="134"/>
  <c r="G20" i="134"/>
  <c r="F20" i="134"/>
  <c r="E20" i="134"/>
  <c r="D20" i="134"/>
  <c r="C20" i="134"/>
  <c r="C18" i="134" s="1"/>
  <c r="C19" i="134"/>
  <c r="C17" i="134"/>
  <c r="AM14" i="134"/>
  <c r="AL14" i="134"/>
  <c r="AK14" i="134"/>
  <c r="AJ14" i="134"/>
  <c r="AI14" i="134"/>
  <c r="AH14" i="134"/>
  <c r="AG14" i="134"/>
  <c r="AF14" i="134"/>
  <c r="AE14" i="134"/>
  <c r="AD14" i="134"/>
  <c r="AC14" i="134"/>
  <c r="AB14" i="134"/>
  <c r="AA14" i="134"/>
  <c r="Z14" i="134"/>
  <c r="Y14" i="134"/>
  <c r="X14" i="134"/>
  <c r="X34" i="134" s="1"/>
  <c r="X40" i="134" s="1"/>
  <c r="W14" i="134"/>
  <c r="W34" i="134" s="1"/>
  <c r="W40" i="134" s="1"/>
  <c r="V14" i="134"/>
  <c r="V34" i="134" s="1"/>
  <c r="V40" i="134" s="1"/>
  <c r="U14" i="134"/>
  <c r="U34" i="134" s="1"/>
  <c r="U40" i="134" s="1"/>
  <c r="T14" i="134"/>
  <c r="T34" i="134" s="1"/>
  <c r="T40" i="134" s="1"/>
  <c r="S14" i="134"/>
  <c r="S34" i="134" s="1"/>
  <c r="S40" i="134" s="1"/>
  <c r="S41" i="134" s="1"/>
  <c r="R14" i="134"/>
  <c r="R34" i="134" s="1"/>
  <c r="R40" i="134" s="1"/>
  <c r="R41" i="134" s="1"/>
  <c r="Q14" i="134"/>
  <c r="Q34" i="134" s="1"/>
  <c r="Q40" i="134" s="1"/>
  <c r="Q41" i="134" s="1"/>
  <c r="P14" i="134"/>
  <c r="P34" i="134" s="1"/>
  <c r="P40" i="134" s="1"/>
  <c r="O14" i="134"/>
  <c r="O34" i="134" s="1"/>
  <c r="O40" i="134" s="1"/>
  <c r="O41" i="134" s="1"/>
  <c r="N14" i="134"/>
  <c r="N34" i="134" s="1"/>
  <c r="N40" i="134" s="1"/>
  <c r="N41" i="134" s="1"/>
  <c r="M14" i="134"/>
  <c r="M34" i="134" s="1"/>
  <c r="M40" i="134" s="1"/>
  <c r="L14" i="134"/>
  <c r="L34" i="134" s="1"/>
  <c r="L40" i="134" s="1"/>
  <c r="L41" i="134" s="1"/>
  <c r="K14" i="134"/>
  <c r="K34" i="134" s="1"/>
  <c r="K40" i="134" s="1"/>
  <c r="K41" i="134" s="1"/>
  <c r="J14" i="134"/>
  <c r="J34" i="134" s="1"/>
  <c r="J40" i="134" s="1"/>
  <c r="J41" i="134" s="1"/>
  <c r="I14" i="134"/>
  <c r="I34" i="134" s="1"/>
  <c r="I40" i="134" s="1"/>
  <c r="H14" i="134"/>
  <c r="H34" i="134" s="1"/>
  <c r="H40" i="134" s="1"/>
  <c r="H41" i="134" s="1"/>
  <c r="G14" i="134"/>
  <c r="G34" i="134" s="1"/>
  <c r="G40" i="134" s="1"/>
  <c r="G41" i="134" s="1"/>
  <c r="F14" i="134"/>
  <c r="F34" i="134" s="1"/>
  <c r="F40" i="134" s="1"/>
  <c r="F41" i="134" s="1"/>
  <c r="E14" i="134"/>
  <c r="E34" i="134" s="1"/>
  <c r="E40" i="134" s="1"/>
  <c r="D14" i="134"/>
  <c r="D34" i="134" s="1"/>
  <c r="D40" i="134" s="1"/>
  <c r="D41" i="134" s="1"/>
  <c r="AM13" i="134"/>
  <c r="AL13" i="134"/>
  <c r="AK13" i="134"/>
  <c r="AJ13" i="134"/>
  <c r="AI13" i="134"/>
  <c r="AH13" i="134"/>
  <c r="AG13" i="134"/>
  <c r="AF13" i="134"/>
  <c r="AE13" i="134"/>
  <c r="AD13" i="134"/>
  <c r="AC13" i="134"/>
  <c r="AB13" i="134"/>
  <c r="AA13" i="134"/>
  <c r="Z13" i="134"/>
  <c r="Y13" i="134"/>
  <c r="X13" i="134"/>
  <c r="W13" i="134"/>
  <c r="V13" i="134"/>
  <c r="U13" i="134"/>
  <c r="T13" i="134"/>
  <c r="S13" i="134"/>
  <c r="R13" i="134"/>
  <c r="Q13" i="134"/>
  <c r="P13" i="134"/>
  <c r="O13" i="134"/>
  <c r="N13" i="134"/>
  <c r="M13" i="134"/>
  <c r="L13" i="134"/>
  <c r="K13" i="134"/>
  <c r="J13" i="134"/>
  <c r="I13" i="134"/>
  <c r="H13" i="134"/>
  <c r="G13" i="134"/>
  <c r="F13" i="134"/>
  <c r="E13" i="134"/>
  <c r="D13" i="134"/>
  <c r="AM12" i="134"/>
  <c r="AL12" i="134"/>
  <c r="AK12" i="134"/>
  <c r="AJ12" i="134"/>
  <c r="AI12" i="134"/>
  <c r="AH12" i="134"/>
  <c r="AG12" i="134"/>
  <c r="AF12" i="134"/>
  <c r="AE12" i="134"/>
  <c r="AD12" i="134"/>
  <c r="AC12" i="134"/>
  <c r="AB12" i="134"/>
  <c r="AA12" i="134"/>
  <c r="Z12" i="134"/>
  <c r="Y12" i="134"/>
  <c r="X12" i="134"/>
  <c r="W12" i="134"/>
  <c r="V12" i="134"/>
  <c r="U12" i="134"/>
  <c r="T12" i="134"/>
  <c r="S12" i="134"/>
  <c r="R12" i="134"/>
  <c r="Q12" i="134"/>
  <c r="P12" i="134"/>
  <c r="O12" i="134"/>
  <c r="N12" i="134"/>
  <c r="M12" i="134"/>
  <c r="L12" i="134"/>
  <c r="K12" i="134"/>
  <c r="J12" i="134"/>
  <c r="I12" i="134"/>
  <c r="H12" i="134"/>
  <c r="G12" i="134"/>
  <c r="F12" i="134"/>
  <c r="E12" i="134"/>
  <c r="D12" i="134"/>
  <c r="AM11" i="134"/>
  <c r="AL11" i="134"/>
  <c r="AL17" i="134" s="1"/>
  <c r="AK11" i="134"/>
  <c r="AK22" i="134" s="1"/>
  <c r="AJ11" i="134"/>
  <c r="AJ22" i="134" s="1"/>
  <c r="AJ21" i="134" s="1"/>
  <c r="AI11" i="134"/>
  <c r="AI22" i="134" s="1"/>
  <c r="AI21" i="134" s="1"/>
  <c r="AH11" i="134"/>
  <c r="AH17" i="134" s="1"/>
  <c r="AG11" i="134"/>
  <c r="AG22" i="134" s="1"/>
  <c r="AF11" i="134"/>
  <c r="AF22" i="134" s="1"/>
  <c r="AF21" i="134" s="1"/>
  <c r="AE11" i="134"/>
  <c r="AE22" i="134" s="1"/>
  <c r="AE21" i="134" s="1"/>
  <c r="AD11" i="134"/>
  <c r="AC11" i="134"/>
  <c r="AC22" i="134" s="1"/>
  <c r="AB11" i="134"/>
  <c r="AB22" i="134" s="1"/>
  <c r="AB21" i="134" s="1"/>
  <c r="AA11" i="134"/>
  <c r="AA22" i="134" s="1"/>
  <c r="Z11" i="134"/>
  <c r="Z17" i="134" s="1"/>
  <c r="Y11" i="134"/>
  <c r="Y22" i="134" s="1"/>
  <c r="X11" i="134"/>
  <c r="X22" i="134" s="1"/>
  <c r="W11" i="134"/>
  <c r="W17" i="134" s="1"/>
  <c r="V11" i="134"/>
  <c r="V17" i="134" s="1"/>
  <c r="U11" i="134"/>
  <c r="U22" i="134" s="1"/>
  <c r="T11" i="134"/>
  <c r="T22" i="134" s="1"/>
  <c r="S11" i="134"/>
  <c r="S22" i="134" s="1"/>
  <c r="S21" i="134" s="1"/>
  <c r="R11" i="134"/>
  <c r="R17" i="134" s="1"/>
  <c r="Q11" i="134"/>
  <c r="Q22" i="134" s="1"/>
  <c r="Q21" i="134" s="1"/>
  <c r="P11" i="134"/>
  <c r="P17" i="134" s="1"/>
  <c r="O11" i="134"/>
  <c r="O22" i="134" s="1"/>
  <c r="O21" i="134" s="1"/>
  <c r="N11" i="134"/>
  <c r="M11" i="134"/>
  <c r="M22" i="134" s="1"/>
  <c r="M21" i="134" s="1"/>
  <c r="L11" i="134"/>
  <c r="L22" i="134" s="1"/>
  <c r="K11" i="134"/>
  <c r="K22" i="134" s="1"/>
  <c r="K21" i="134" s="1"/>
  <c r="J11" i="134"/>
  <c r="J17" i="134" s="1"/>
  <c r="I11" i="134"/>
  <c r="I22" i="134" s="1"/>
  <c r="I21" i="134" s="1"/>
  <c r="H11" i="134"/>
  <c r="H22" i="134" s="1"/>
  <c r="G11" i="134"/>
  <c r="G22" i="134" s="1"/>
  <c r="G21" i="134" s="1"/>
  <c r="F11" i="134"/>
  <c r="F17" i="134" s="1"/>
  <c r="E11" i="134"/>
  <c r="E22" i="134" s="1"/>
  <c r="E21" i="134" s="1"/>
  <c r="D11" i="134"/>
  <c r="D22" i="134" s="1"/>
  <c r="AM10" i="134"/>
  <c r="AL10" i="134"/>
  <c r="AK10" i="134"/>
  <c r="AJ10" i="134"/>
  <c r="AI10" i="134"/>
  <c r="AH10" i="134"/>
  <c r="AG10" i="134"/>
  <c r="AF10" i="134"/>
  <c r="AE10" i="134"/>
  <c r="AD10" i="134"/>
  <c r="AC10" i="134"/>
  <c r="AB10" i="134"/>
  <c r="AA10" i="134"/>
  <c r="Z10" i="134"/>
  <c r="Y10" i="134"/>
  <c r="X10" i="134"/>
  <c r="W10" i="134"/>
  <c r="V10" i="134"/>
  <c r="U10" i="134"/>
  <c r="T10" i="134"/>
  <c r="S10" i="134"/>
  <c r="R10" i="134"/>
  <c r="Q10" i="134"/>
  <c r="P10" i="134"/>
  <c r="O10" i="134"/>
  <c r="N10" i="134"/>
  <c r="M10" i="134"/>
  <c r="L10" i="134"/>
  <c r="K10" i="134"/>
  <c r="J10" i="134"/>
  <c r="I10" i="134"/>
  <c r="H10" i="134"/>
  <c r="H9" i="134" s="1"/>
  <c r="G10" i="134"/>
  <c r="F10" i="134"/>
  <c r="E10" i="134"/>
  <c r="E9" i="134" s="1"/>
  <c r="D10" i="134"/>
  <c r="AM9" i="134"/>
  <c r="AL9" i="134"/>
  <c r="AK9" i="134"/>
  <c r="AJ9" i="134"/>
  <c r="AI9" i="134"/>
  <c r="AH9" i="134"/>
  <c r="AG9" i="134"/>
  <c r="AF9" i="134"/>
  <c r="AE9" i="134"/>
  <c r="AD9" i="134"/>
  <c r="AC9" i="134"/>
  <c r="AB9" i="134"/>
  <c r="AA9" i="134"/>
  <c r="Z9" i="134"/>
  <c r="Y9" i="134"/>
  <c r="X9" i="134"/>
  <c r="W9" i="134"/>
  <c r="V9" i="134"/>
  <c r="U9" i="134"/>
  <c r="T9" i="134"/>
  <c r="S9" i="134"/>
  <c r="R9" i="134"/>
  <c r="Q9" i="134"/>
  <c r="P9" i="134"/>
  <c r="O9" i="134"/>
  <c r="N9" i="134"/>
  <c r="M9" i="134"/>
  <c r="L9" i="134"/>
  <c r="K9" i="134"/>
  <c r="J9" i="134"/>
  <c r="I9" i="134"/>
  <c r="G9" i="134"/>
  <c r="F9" i="134"/>
  <c r="D9" i="134"/>
  <c r="C9" i="134"/>
  <c r="C7" i="134" s="1"/>
  <c r="AM8" i="134"/>
  <c r="AL8" i="134"/>
  <c r="AK8" i="134"/>
  <c r="AJ8" i="134"/>
  <c r="AI8" i="134"/>
  <c r="AH8" i="134"/>
  <c r="AG8" i="134"/>
  <c r="AF8" i="134"/>
  <c r="AE8" i="134"/>
  <c r="AD8" i="134"/>
  <c r="AC8" i="134"/>
  <c r="AB8" i="134"/>
  <c r="AA8" i="134"/>
  <c r="Z8" i="134"/>
  <c r="Y8" i="134"/>
  <c r="X8" i="134"/>
  <c r="W8" i="134"/>
  <c r="V8" i="134"/>
  <c r="U8" i="134"/>
  <c r="T8" i="134"/>
  <c r="S8" i="134"/>
  <c r="R8" i="134"/>
  <c r="Q8" i="134"/>
  <c r="P8" i="134"/>
  <c r="O8" i="134"/>
  <c r="N8" i="134"/>
  <c r="M8" i="134"/>
  <c r="L8" i="134"/>
  <c r="K8" i="134"/>
  <c r="J8" i="134"/>
  <c r="I8" i="134"/>
  <c r="H8" i="134"/>
  <c r="G8" i="134"/>
  <c r="F8" i="134"/>
  <c r="E8" i="134"/>
  <c r="D8" i="134"/>
  <c r="AM6" i="134"/>
  <c r="AM19" i="134" s="1"/>
  <c r="AL6" i="134"/>
  <c r="AL19" i="134" s="1"/>
  <c r="AK6" i="134"/>
  <c r="AK19" i="134" s="1"/>
  <c r="AJ6" i="134"/>
  <c r="AJ19" i="134" s="1"/>
  <c r="AI6" i="134"/>
  <c r="AI19" i="134" s="1"/>
  <c r="AH6" i="134"/>
  <c r="AH19" i="134" s="1"/>
  <c r="AG6" i="134"/>
  <c r="AG19" i="134" s="1"/>
  <c r="AF6" i="134"/>
  <c r="AF19" i="134" s="1"/>
  <c r="AE6" i="134"/>
  <c r="AE19" i="134" s="1"/>
  <c r="AD6" i="134"/>
  <c r="AD19" i="134" s="1"/>
  <c r="AC6" i="134"/>
  <c r="AC19" i="134" s="1"/>
  <c r="AB6" i="134"/>
  <c r="AB19" i="134" s="1"/>
  <c r="AA6" i="134"/>
  <c r="AA19" i="134" s="1"/>
  <c r="Z6" i="134"/>
  <c r="Z19" i="134" s="1"/>
  <c r="Y6" i="134"/>
  <c r="Y19" i="134" s="1"/>
  <c r="X6" i="134"/>
  <c r="X19" i="134" s="1"/>
  <c r="W6" i="134"/>
  <c r="W19" i="134" s="1"/>
  <c r="V6" i="134"/>
  <c r="V19" i="134" s="1"/>
  <c r="V18" i="134" s="1"/>
  <c r="U6" i="134"/>
  <c r="U19" i="134" s="1"/>
  <c r="T6" i="134"/>
  <c r="T19" i="134" s="1"/>
  <c r="S6" i="134"/>
  <c r="S19" i="134" s="1"/>
  <c r="R6" i="134"/>
  <c r="R19" i="134" s="1"/>
  <c r="R18" i="134" s="1"/>
  <c r="Q6" i="134"/>
  <c r="Q19" i="134" s="1"/>
  <c r="P6" i="134"/>
  <c r="P19" i="134" s="1"/>
  <c r="O6" i="134"/>
  <c r="O19" i="134" s="1"/>
  <c r="N6" i="134"/>
  <c r="N19" i="134" s="1"/>
  <c r="N18" i="134" s="1"/>
  <c r="M6" i="134"/>
  <c r="M19" i="134" s="1"/>
  <c r="L6" i="134"/>
  <c r="L19" i="134" s="1"/>
  <c r="K6" i="134"/>
  <c r="K19" i="134" s="1"/>
  <c r="J6" i="134"/>
  <c r="J19" i="134" s="1"/>
  <c r="J18" i="134" s="1"/>
  <c r="I6" i="134"/>
  <c r="I19" i="134" s="1"/>
  <c r="H6" i="134"/>
  <c r="H19" i="134" s="1"/>
  <c r="G6" i="134"/>
  <c r="G19" i="134" s="1"/>
  <c r="F6" i="134"/>
  <c r="F19" i="134" s="1"/>
  <c r="F18" i="134" s="1"/>
  <c r="E6" i="134"/>
  <c r="E19" i="134" s="1"/>
  <c r="D6" i="134"/>
  <c r="D19" i="134" s="1"/>
  <c r="AM5" i="134"/>
  <c r="AL5" i="134"/>
  <c r="AK5" i="134"/>
  <c r="AJ5" i="134"/>
  <c r="AI5" i="134"/>
  <c r="AH5" i="134"/>
  <c r="AG5" i="134"/>
  <c r="AF5" i="134"/>
  <c r="AE5" i="134"/>
  <c r="AD5" i="134"/>
  <c r="AC5" i="134"/>
  <c r="AB5" i="134"/>
  <c r="AA5" i="134"/>
  <c r="Z5" i="134"/>
  <c r="Y5" i="134"/>
  <c r="X5" i="134"/>
  <c r="W5" i="134"/>
  <c r="V5" i="134"/>
  <c r="U5" i="134"/>
  <c r="T5" i="134"/>
  <c r="S5" i="134"/>
  <c r="R5" i="134"/>
  <c r="Q5" i="134"/>
  <c r="P5" i="134"/>
  <c r="O5" i="134"/>
  <c r="N5" i="134"/>
  <c r="M5" i="134"/>
  <c r="L5" i="134"/>
  <c r="K5" i="134"/>
  <c r="J5" i="134"/>
  <c r="I5" i="134"/>
  <c r="H5" i="134"/>
  <c r="G5" i="134"/>
  <c r="F5" i="134"/>
  <c r="E5" i="134"/>
  <c r="D5" i="134"/>
  <c r="AM4" i="134"/>
  <c r="AM3" i="134" s="1"/>
  <c r="AL4" i="134"/>
  <c r="AL3" i="134" s="1"/>
  <c r="AK4" i="134"/>
  <c r="AK3" i="134" s="1"/>
  <c r="AJ4" i="134"/>
  <c r="AI4" i="134"/>
  <c r="AH4" i="134"/>
  <c r="AH3" i="134" s="1"/>
  <c r="AG4" i="134"/>
  <c r="AG3" i="134" s="1"/>
  <c r="AF4" i="134"/>
  <c r="AE4" i="134"/>
  <c r="AE3" i="134" s="1"/>
  <c r="AD4" i="134"/>
  <c r="AD3" i="134" s="1"/>
  <c r="AC4" i="134"/>
  <c r="AC3" i="134" s="1"/>
  <c r="AB4" i="134"/>
  <c r="AA4" i="134"/>
  <c r="Z4" i="134"/>
  <c r="Z3" i="134" s="1"/>
  <c r="Y4" i="134"/>
  <c r="Y3" i="134" s="1"/>
  <c r="X4" i="134"/>
  <c r="W4" i="134"/>
  <c r="V4" i="134"/>
  <c r="V3" i="134" s="1"/>
  <c r="U4" i="134"/>
  <c r="U3" i="134" s="1"/>
  <c r="T4" i="134"/>
  <c r="S4" i="134"/>
  <c r="R4" i="134"/>
  <c r="R3" i="134" s="1"/>
  <c r="Q4" i="134"/>
  <c r="Q3" i="134" s="1"/>
  <c r="P4" i="134"/>
  <c r="O4" i="134"/>
  <c r="N4" i="134"/>
  <c r="N3" i="134" s="1"/>
  <c r="M4" i="134"/>
  <c r="M3" i="134" s="1"/>
  <c r="L4" i="134"/>
  <c r="K4" i="134"/>
  <c r="J4" i="134"/>
  <c r="J3" i="134" s="1"/>
  <c r="I4" i="134"/>
  <c r="I3" i="134" s="1"/>
  <c r="H4" i="134"/>
  <c r="G4" i="134"/>
  <c r="F4" i="134"/>
  <c r="F3" i="134" s="1"/>
  <c r="E4" i="134"/>
  <c r="E3" i="134" s="1"/>
  <c r="D4" i="134"/>
  <c r="AJ3" i="134"/>
  <c r="AI3" i="134"/>
  <c r="AF3" i="134"/>
  <c r="AB3" i="134"/>
  <c r="AA3" i="134"/>
  <c r="X3" i="134"/>
  <c r="W3" i="134"/>
  <c r="T3" i="134"/>
  <c r="S3" i="134"/>
  <c r="P3" i="134"/>
  <c r="O3" i="134"/>
  <c r="L3" i="134"/>
  <c r="K3" i="134"/>
  <c r="H3" i="134"/>
  <c r="G3" i="134"/>
  <c r="D3" i="134"/>
  <c r="C3" i="134"/>
  <c r="Y32" i="134" l="1"/>
  <c r="Z32" i="134" s="1"/>
  <c r="AK42" i="134"/>
  <c r="AK37" i="134"/>
  <c r="AM42" i="134"/>
  <c r="AM37" i="134"/>
  <c r="W41" i="134"/>
  <c r="H7" i="134"/>
  <c r="AM17" i="134"/>
  <c r="AM22" i="134"/>
  <c r="AM21" i="134" s="1"/>
  <c r="I7" i="134"/>
  <c r="Q7" i="134"/>
  <c r="Y7" i="134"/>
  <c r="AG7" i="134"/>
  <c r="E41" i="134"/>
  <c r="I41" i="134"/>
  <c r="M41" i="134"/>
  <c r="D7" i="134"/>
  <c r="L7" i="134"/>
  <c r="P7" i="134"/>
  <c r="T7" i="134"/>
  <c r="X7" i="134"/>
  <c r="AB7" i="134"/>
  <c r="AF7" i="134"/>
  <c r="AJ7" i="134"/>
  <c r="T41" i="134"/>
  <c r="X41" i="134"/>
  <c r="Y23" i="134"/>
  <c r="Y21" i="134" s="1"/>
  <c r="AD37" i="134"/>
  <c r="Z18" i="134"/>
  <c r="AD18" i="134"/>
  <c r="AH18" i="134"/>
  <c r="AH16" i="134" s="1"/>
  <c r="AL18" i="134"/>
  <c r="AL16" i="134" s="1"/>
  <c r="AC21" i="134"/>
  <c r="AG21" i="134"/>
  <c r="AK21" i="134"/>
  <c r="Y37" i="134"/>
  <c r="G18" i="134"/>
  <c r="K18" i="134"/>
  <c r="O18" i="134"/>
  <c r="S18" i="134"/>
  <c r="U18" i="134"/>
  <c r="P41" i="134"/>
  <c r="U23" i="134"/>
  <c r="U21" i="134" s="1"/>
  <c r="Y17" i="134"/>
  <c r="AA18" i="134"/>
  <c r="AE18" i="134"/>
  <c r="AI18" i="134"/>
  <c r="AM18" i="134"/>
  <c r="AM16" i="134" s="1"/>
  <c r="D18" i="134"/>
  <c r="H18" i="134"/>
  <c r="L18" i="134"/>
  <c r="P18" i="134"/>
  <c r="P16" i="134" s="1"/>
  <c r="T18" i="134"/>
  <c r="AB18" i="134"/>
  <c r="AF18" i="134"/>
  <c r="AJ18" i="134"/>
  <c r="G7" i="134"/>
  <c r="K7" i="134"/>
  <c r="O7" i="134"/>
  <c r="S7" i="134"/>
  <c r="W7" i="134"/>
  <c r="AA7" i="134"/>
  <c r="AE7" i="134"/>
  <c r="AI7" i="134"/>
  <c r="AM7" i="134"/>
  <c r="AA21" i="134"/>
  <c r="E18" i="134"/>
  <c r="I18" i="134"/>
  <c r="M18" i="134"/>
  <c r="Q18" i="134"/>
  <c r="Y18" i="134"/>
  <c r="AC18" i="134"/>
  <c r="AG18" i="134"/>
  <c r="AK18" i="134"/>
  <c r="E7" i="134"/>
  <c r="M7" i="134"/>
  <c r="U7" i="134"/>
  <c r="AC7" i="134"/>
  <c r="AK7" i="134"/>
  <c r="D21" i="134"/>
  <c r="H21" i="134"/>
  <c r="L21" i="134"/>
  <c r="T21" i="134"/>
  <c r="C16" i="134"/>
  <c r="Y34" i="134"/>
  <c r="Y40" i="134" s="1"/>
  <c r="AG17" i="134"/>
  <c r="I17" i="134"/>
  <c r="F7" i="134"/>
  <c r="J7" i="134"/>
  <c r="N7" i="134"/>
  <c r="R7" i="134"/>
  <c r="V7" i="134"/>
  <c r="Z7" i="134"/>
  <c r="AD7" i="134"/>
  <c r="AH7" i="134"/>
  <c r="AL7" i="134"/>
  <c r="F16" i="134"/>
  <c r="J16" i="134"/>
  <c r="R16" i="134"/>
  <c r="V16" i="134"/>
  <c r="Z16" i="134"/>
  <c r="Q17" i="134"/>
  <c r="Q16" i="134" s="1"/>
  <c r="D17" i="134"/>
  <c r="O17" i="134"/>
  <c r="T17" i="134"/>
  <c r="T16" i="134" s="1"/>
  <c r="AE17" i="134"/>
  <c r="AE16" i="134" s="1"/>
  <c r="AJ17" i="134"/>
  <c r="J22" i="134"/>
  <c r="J21" i="134" s="1"/>
  <c r="P22" i="134"/>
  <c r="P21" i="134" s="1"/>
  <c r="W22" i="134"/>
  <c r="AL22" i="134"/>
  <c r="AL21" i="134" s="1"/>
  <c r="W37" i="134"/>
  <c r="Y42" i="134"/>
  <c r="E17" i="134"/>
  <c r="E16" i="134" s="1"/>
  <c r="K17" i="134"/>
  <c r="K16" i="134" s="1"/>
  <c r="U17" i="134"/>
  <c r="AA17" i="134"/>
  <c r="AF17" i="134"/>
  <c r="AF16" i="134" s="1"/>
  <c r="AK17" i="134"/>
  <c r="R22" i="134"/>
  <c r="R21" i="134" s="1"/>
  <c r="Z22" i="134"/>
  <c r="Z21" i="134" s="1"/>
  <c r="AL42" i="134"/>
  <c r="AL37" i="134"/>
  <c r="AE37" i="134"/>
  <c r="AC42" i="134"/>
  <c r="N22" i="134"/>
  <c r="N21" i="134" s="1"/>
  <c r="N17" i="134"/>
  <c r="N16" i="134" s="1"/>
  <c r="AD22" i="134"/>
  <c r="AD21" i="134" s="1"/>
  <c r="AD17" i="134"/>
  <c r="G17" i="134"/>
  <c r="L17" i="134"/>
  <c r="L16" i="134" s="1"/>
  <c r="AB17" i="134"/>
  <c r="AB16" i="134" s="1"/>
  <c r="F22" i="134"/>
  <c r="F21" i="134" s="1"/>
  <c r="AH22" i="134"/>
  <c r="AH21" i="134" s="1"/>
  <c r="X23" i="134"/>
  <c r="X21" i="134" s="1"/>
  <c r="X20" i="134"/>
  <c r="X18" i="134" s="1"/>
  <c r="AA42" i="134"/>
  <c r="AA37" i="134"/>
  <c r="S37" i="134"/>
  <c r="Z37" i="134"/>
  <c r="AH37" i="134"/>
  <c r="U42" i="134"/>
  <c r="U41" i="134" s="1"/>
  <c r="H17" i="134"/>
  <c r="H16" i="134" s="1"/>
  <c r="M17" i="134"/>
  <c r="S17" i="134"/>
  <c r="X17" i="134"/>
  <c r="AC17" i="134"/>
  <c r="AI17" i="134"/>
  <c r="AI16" i="134" s="1"/>
  <c r="V22" i="134"/>
  <c r="V21" i="134" s="1"/>
  <c r="W20" i="134"/>
  <c r="W18" i="134" s="1"/>
  <c r="W16" i="134" s="1"/>
  <c r="W23" i="134"/>
  <c r="AI37" i="134"/>
  <c r="V42" i="134"/>
  <c r="V41" i="134" s="1"/>
  <c r="AG42" i="134"/>
  <c r="T37" i="134"/>
  <c r="X37" i="134"/>
  <c r="AB37" i="134"/>
  <c r="AF37" i="134"/>
  <c r="AJ37" i="134"/>
  <c r="Y41" i="134" l="1"/>
  <c r="O16" i="134"/>
  <c r="M16" i="134"/>
  <c r="AA16" i="134"/>
  <c r="AG16" i="134"/>
  <c r="AA32" i="134"/>
  <c r="AD16" i="134"/>
  <c r="D16" i="134"/>
  <c r="I16" i="134"/>
  <c r="G16" i="134"/>
  <c r="U16" i="134"/>
  <c r="S16" i="134"/>
  <c r="AK16" i="134"/>
  <c r="Y16" i="134"/>
  <c r="AC16" i="134"/>
  <c r="AJ16" i="134"/>
  <c r="Z34" i="134"/>
  <c r="Z40" i="134" s="1"/>
  <c r="Z41" i="134" s="1"/>
  <c r="X16" i="134"/>
  <c r="W21" i="134"/>
  <c r="AB32" i="134" l="1"/>
  <c r="AA34" i="134"/>
  <c r="AA40" i="134" s="1"/>
  <c r="AA41" i="134" s="1"/>
  <c r="AN93" i="133"/>
  <c r="AH93" i="133"/>
  <c r="AV190" i="133"/>
  <c r="AR174" i="133"/>
  <c r="AV174" i="133"/>
  <c r="AH174" i="133"/>
  <c r="AR208" i="133"/>
  <c r="AE208" i="133"/>
  <c r="AD208" i="133"/>
  <c r="AV207" i="133"/>
  <c r="AU207" i="133"/>
  <c r="AT207" i="133"/>
  <c r="AS207" i="133"/>
  <c r="AR207" i="133"/>
  <c r="AQ207" i="133"/>
  <c r="AP207" i="133"/>
  <c r="AO207" i="133"/>
  <c r="AN207" i="133"/>
  <c r="AM207" i="133"/>
  <c r="AL207" i="133"/>
  <c r="AK207" i="133"/>
  <c r="AJ207" i="133"/>
  <c r="AI207" i="133"/>
  <c r="AH207" i="133"/>
  <c r="AG207" i="133"/>
  <c r="AF207" i="133"/>
  <c r="AE207" i="133"/>
  <c r="C207" i="133"/>
  <c r="AV206" i="133"/>
  <c r="AU206" i="133"/>
  <c r="AT206" i="133"/>
  <c r="AS206" i="133"/>
  <c r="AR206" i="133"/>
  <c r="AQ206" i="133"/>
  <c r="AP206" i="133"/>
  <c r="AO206" i="133"/>
  <c r="AN206" i="133"/>
  <c r="AM206" i="133"/>
  <c r="AL206" i="133"/>
  <c r="AK206" i="133"/>
  <c r="AJ206" i="133"/>
  <c r="AI206" i="133"/>
  <c r="AG206" i="133"/>
  <c r="AF206" i="133"/>
  <c r="AE206" i="133"/>
  <c r="AD206" i="133"/>
  <c r="C206" i="133"/>
  <c r="AV205" i="133"/>
  <c r="AU205" i="133"/>
  <c r="AT205" i="133"/>
  <c r="AS205" i="133"/>
  <c r="AR205" i="133"/>
  <c r="AQ205" i="133"/>
  <c r="AP205" i="133"/>
  <c r="AO205" i="133"/>
  <c r="AN205" i="133"/>
  <c r="AM205" i="133"/>
  <c r="AL205" i="133"/>
  <c r="AK205" i="133"/>
  <c r="AJ205" i="133"/>
  <c r="AI205" i="133"/>
  <c r="AG205" i="133"/>
  <c r="AF205" i="133"/>
  <c r="C205" i="133"/>
  <c r="AV204" i="133"/>
  <c r="AU204" i="133"/>
  <c r="AT204" i="133"/>
  <c r="AS204" i="133"/>
  <c r="AR204" i="133"/>
  <c r="AQ204" i="133"/>
  <c r="AP204" i="133"/>
  <c r="AO204" i="133"/>
  <c r="AN204" i="133"/>
  <c r="AM204" i="133"/>
  <c r="AL204" i="133"/>
  <c r="AK204" i="133"/>
  <c r="AJ204" i="133"/>
  <c r="AI204" i="133"/>
  <c r="AH204" i="133"/>
  <c r="AG204" i="133"/>
  <c r="AF204" i="133"/>
  <c r="AE204" i="133"/>
  <c r="AD204" i="133"/>
  <c r="C204" i="133"/>
  <c r="AV203" i="133"/>
  <c r="AU203" i="133"/>
  <c r="AT203" i="133"/>
  <c r="AS203" i="133"/>
  <c r="AR203" i="133"/>
  <c r="AQ203" i="133"/>
  <c r="AP203" i="133"/>
  <c r="AO203" i="133"/>
  <c r="AN203" i="133"/>
  <c r="AM203" i="133"/>
  <c r="AL203" i="133"/>
  <c r="AK203" i="133"/>
  <c r="AJ203" i="133"/>
  <c r="AI203" i="133"/>
  <c r="AH203" i="133"/>
  <c r="AG203" i="133"/>
  <c r="AF203" i="133"/>
  <c r="AE203" i="133"/>
  <c r="AD203" i="133"/>
  <c r="C203" i="133"/>
  <c r="AV202" i="133"/>
  <c r="AU202" i="133"/>
  <c r="AT202" i="133"/>
  <c r="AS202" i="133"/>
  <c r="AR202" i="133"/>
  <c r="AQ202" i="133"/>
  <c r="AP202" i="133"/>
  <c r="AO202" i="133"/>
  <c r="AN202" i="133"/>
  <c r="AM202" i="133"/>
  <c r="AL202" i="133"/>
  <c r="AK202" i="133"/>
  <c r="AJ202" i="133"/>
  <c r="AI202" i="133"/>
  <c r="AH202" i="133"/>
  <c r="AG202" i="133"/>
  <c r="AF202" i="133"/>
  <c r="AE202" i="133"/>
  <c r="AD202" i="133"/>
  <c r="AV201" i="133"/>
  <c r="AU201" i="133"/>
  <c r="AT201" i="133"/>
  <c r="AS201" i="133"/>
  <c r="AR201" i="133"/>
  <c r="AQ201" i="133"/>
  <c r="AP201" i="133"/>
  <c r="AO201" i="133"/>
  <c r="AN201" i="133"/>
  <c r="AM201" i="133"/>
  <c r="AL201" i="133"/>
  <c r="AK201" i="133"/>
  <c r="AJ201" i="133"/>
  <c r="AI201" i="133"/>
  <c r="AH201" i="133"/>
  <c r="AG201" i="133"/>
  <c r="AF201" i="133"/>
  <c r="AE201" i="133"/>
  <c r="AD201" i="133"/>
  <c r="AV200" i="133"/>
  <c r="AU200" i="133"/>
  <c r="AT200" i="133"/>
  <c r="AS200" i="133"/>
  <c r="AR200" i="133"/>
  <c r="AQ200" i="133"/>
  <c r="AP200" i="133"/>
  <c r="AO200" i="133"/>
  <c r="AN200" i="133"/>
  <c r="AM200" i="133"/>
  <c r="AL200" i="133"/>
  <c r="AK200" i="133"/>
  <c r="AJ200" i="133"/>
  <c r="AI200" i="133"/>
  <c r="AH200" i="133"/>
  <c r="AG200" i="133"/>
  <c r="AF200" i="133"/>
  <c r="AE200" i="133"/>
  <c r="AD200" i="133"/>
  <c r="AV198" i="133"/>
  <c r="AU198" i="133"/>
  <c r="AT198" i="133"/>
  <c r="AS198" i="133"/>
  <c r="AR198" i="133"/>
  <c r="AQ198" i="133"/>
  <c r="AP198" i="133"/>
  <c r="AO198" i="133"/>
  <c r="AN198" i="133"/>
  <c r="AM198" i="133"/>
  <c r="AL198" i="133"/>
  <c r="AK198" i="133"/>
  <c r="AJ198" i="133"/>
  <c r="AI198" i="133"/>
  <c r="AH198" i="133"/>
  <c r="AG198" i="133"/>
  <c r="AF198" i="133"/>
  <c r="AE198" i="133"/>
  <c r="AD198" i="133"/>
  <c r="C198" i="133"/>
  <c r="O191" i="133"/>
  <c r="F190" i="133"/>
  <c r="E190" i="133"/>
  <c r="AV187" i="133"/>
  <c r="AU187" i="133"/>
  <c r="AT187" i="133"/>
  <c r="AS187" i="133"/>
  <c r="AR187" i="133"/>
  <c r="AQ187" i="133"/>
  <c r="AP187" i="133"/>
  <c r="AO187" i="133"/>
  <c r="AN187" i="133"/>
  <c r="AM187" i="133"/>
  <c r="AL187" i="133"/>
  <c r="AK187" i="133"/>
  <c r="AJ187" i="133"/>
  <c r="AI187" i="133"/>
  <c r="AH187" i="133"/>
  <c r="AG187" i="133"/>
  <c r="AF187" i="133"/>
  <c r="AE187" i="133"/>
  <c r="AD187" i="133"/>
  <c r="AC187" i="133"/>
  <c r="AB187" i="133"/>
  <c r="AA187" i="133"/>
  <c r="Z187" i="133"/>
  <c r="Y187" i="133"/>
  <c r="X187" i="133"/>
  <c r="W187" i="133"/>
  <c r="AV186" i="133"/>
  <c r="AU186" i="133"/>
  <c r="AT186" i="133"/>
  <c r="AS186" i="133"/>
  <c r="AR186" i="133"/>
  <c r="AQ186" i="133"/>
  <c r="AP186" i="133"/>
  <c r="AO186" i="133"/>
  <c r="AN186" i="133"/>
  <c r="AM186" i="133"/>
  <c r="AL186" i="133"/>
  <c r="AK186" i="133"/>
  <c r="AJ186" i="133"/>
  <c r="AI186" i="133"/>
  <c r="AH186" i="133"/>
  <c r="AG186" i="133"/>
  <c r="AF186" i="133"/>
  <c r="AE186" i="133"/>
  <c r="AD186" i="133"/>
  <c r="AC186" i="133"/>
  <c r="AB186" i="133"/>
  <c r="AA186" i="133"/>
  <c r="Z186" i="133"/>
  <c r="Y186" i="133"/>
  <c r="X186" i="133"/>
  <c r="W186" i="133"/>
  <c r="AV185" i="133"/>
  <c r="AU185" i="133"/>
  <c r="AT185" i="133"/>
  <c r="AS185" i="133"/>
  <c r="AR185" i="133"/>
  <c r="AQ185" i="133"/>
  <c r="AP185" i="133"/>
  <c r="AO185" i="133"/>
  <c r="AN185" i="133"/>
  <c r="AM185" i="133"/>
  <c r="AL185" i="133"/>
  <c r="AK185" i="133"/>
  <c r="AJ185" i="133"/>
  <c r="AI185" i="133"/>
  <c r="AH185" i="133"/>
  <c r="AG185" i="133"/>
  <c r="AF185" i="133"/>
  <c r="AE185" i="133"/>
  <c r="AD185" i="133"/>
  <c r="AC185" i="133"/>
  <c r="AB185" i="133"/>
  <c r="AA185" i="133"/>
  <c r="Z185" i="133"/>
  <c r="Y185" i="133"/>
  <c r="X185" i="133"/>
  <c r="W185" i="133"/>
  <c r="AV184" i="133"/>
  <c r="AU184" i="133"/>
  <c r="AT184" i="133"/>
  <c r="AS184" i="133"/>
  <c r="AR184" i="133"/>
  <c r="AQ184" i="133"/>
  <c r="AP184" i="133"/>
  <c r="AO184" i="133"/>
  <c r="AN184" i="133"/>
  <c r="AM184" i="133"/>
  <c r="AL184" i="133"/>
  <c r="AK184" i="133"/>
  <c r="AJ184" i="133"/>
  <c r="AI184" i="133"/>
  <c r="AH184" i="133"/>
  <c r="AG184" i="133"/>
  <c r="AF184" i="133"/>
  <c r="AE184" i="133"/>
  <c r="AD184" i="133"/>
  <c r="AC184" i="133"/>
  <c r="AB184" i="133"/>
  <c r="AA184" i="133"/>
  <c r="Z184" i="133"/>
  <c r="Y184" i="133"/>
  <c r="X184" i="133"/>
  <c r="W184" i="133"/>
  <c r="V184" i="133"/>
  <c r="U184" i="133"/>
  <c r="T184" i="133"/>
  <c r="AV183" i="133"/>
  <c r="AU183" i="133"/>
  <c r="AT183" i="133"/>
  <c r="AS183" i="133"/>
  <c r="AR183" i="133"/>
  <c r="AQ183" i="133"/>
  <c r="AP183" i="133"/>
  <c r="AO183" i="133"/>
  <c r="AN183" i="133"/>
  <c r="AM183" i="133"/>
  <c r="AL183" i="133"/>
  <c r="AK183" i="133"/>
  <c r="AJ183" i="133"/>
  <c r="AI183" i="133"/>
  <c r="AC183" i="133"/>
  <c r="AB183" i="133"/>
  <c r="Y183" i="133"/>
  <c r="V183" i="133"/>
  <c r="U183" i="133"/>
  <c r="T183" i="133"/>
  <c r="R183" i="133"/>
  <c r="Q183" i="133"/>
  <c r="P183" i="133"/>
  <c r="O183" i="133"/>
  <c r="L183" i="133"/>
  <c r="K183" i="133"/>
  <c r="J183" i="133"/>
  <c r="I183" i="133"/>
  <c r="AV182" i="133"/>
  <c r="AU182" i="133"/>
  <c r="AT182" i="133"/>
  <c r="AS182" i="133"/>
  <c r="AR182" i="133"/>
  <c r="AQ182" i="133"/>
  <c r="AP182" i="133"/>
  <c r="AO182" i="133"/>
  <c r="AN182" i="133"/>
  <c r="AM182" i="133"/>
  <c r="AL182" i="133"/>
  <c r="AK182" i="133"/>
  <c r="AJ182" i="133"/>
  <c r="AI182" i="133"/>
  <c r="AH182" i="133"/>
  <c r="AG182" i="133"/>
  <c r="AF182" i="133"/>
  <c r="AE182" i="133"/>
  <c r="AD182" i="133"/>
  <c r="AC182" i="133"/>
  <c r="AB182" i="133"/>
  <c r="AA182" i="133"/>
  <c r="Z182" i="133"/>
  <c r="Y182" i="133"/>
  <c r="X182" i="133"/>
  <c r="W182" i="133"/>
  <c r="V182" i="133"/>
  <c r="U182" i="133"/>
  <c r="T182" i="133"/>
  <c r="S182" i="133"/>
  <c r="R182" i="133"/>
  <c r="Q182" i="133"/>
  <c r="P182" i="133"/>
  <c r="O182" i="133"/>
  <c r="N182" i="133"/>
  <c r="M182" i="133"/>
  <c r="L182" i="133"/>
  <c r="K182" i="133"/>
  <c r="J182" i="133"/>
  <c r="I182" i="133"/>
  <c r="AV181" i="133"/>
  <c r="AU181" i="133"/>
  <c r="AT181" i="133"/>
  <c r="AS181" i="133"/>
  <c r="AR181" i="133"/>
  <c r="AQ181" i="133"/>
  <c r="AP181" i="133"/>
  <c r="AO181" i="133"/>
  <c r="AN181" i="133"/>
  <c r="AM181" i="133"/>
  <c r="AL181" i="133"/>
  <c r="AK181" i="133"/>
  <c r="AJ181" i="133"/>
  <c r="AI181" i="133"/>
  <c r="AG181" i="133"/>
  <c r="AF181" i="133"/>
  <c r="AE181" i="133"/>
  <c r="AC181" i="133"/>
  <c r="AB181" i="133"/>
  <c r="AA181" i="133"/>
  <c r="Y181" i="133"/>
  <c r="X181" i="133"/>
  <c r="W181" i="133"/>
  <c r="V181" i="133"/>
  <c r="U181" i="133"/>
  <c r="T181" i="133"/>
  <c r="S181" i="133"/>
  <c r="R181" i="133"/>
  <c r="Q181" i="133"/>
  <c r="P181" i="133"/>
  <c r="O181" i="133"/>
  <c r="N181" i="133"/>
  <c r="M181" i="133"/>
  <c r="L181" i="133"/>
  <c r="K181" i="133"/>
  <c r="J181" i="133"/>
  <c r="I181" i="133"/>
  <c r="BA179" i="133"/>
  <c r="BA180" i="133" s="1"/>
  <c r="AV178" i="133"/>
  <c r="AU178" i="133"/>
  <c r="AT178" i="133"/>
  <c r="AS178" i="133"/>
  <c r="AR178" i="133"/>
  <c r="AQ178" i="133"/>
  <c r="AP178" i="133"/>
  <c r="AO178" i="133"/>
  <c r="AN178" i="133"/>
  <c r="AM178" i="133"/>
  <c r="AL178" i="133"/>
  <c r="AK178" i="133"/>
  <c r="AJ178" i="133"/>
  <c r="AI178" i="133"/>
  <c r="AC178" i="133"/>
  <c r="AB178" i="133"/>
  <c r="U178" i="133"/>
  <c r="T178" i="133"/>
  <c r="S178" i="133"/>
  <c r="R178" i="133"/>
  <c r="Q178" i="133"/>
  <c r="P178" i="133"/>
  <c r="O178" i="133"/>
  <c r="L178" i="133"/>
  <c r="K178" i="133"/>
  <c r="J178" i="133"/>
  <c r="I178" i="133"/>
  <c r="E178" i="133"/>
  <c r="AU174" i="133"/>
  <c r="AT174" i="133"/>
  <c r="AS174" i="133"/>
  <c r="AQ174" i="133"/>
  <c r="AP174" i="133"/>
  <c r="AO174" i="133"/>
  <c r="AN174" i="133"/>
  <c r="AM174" i="133"/>
  <c r="AL174" i="133"/>
  <c r="AK174" i="133"/>
  <c r="AJ174" i="133"/>
  <c r="AI174" i="133"/>
  <c r="AD174" i="133"/>
  <c r="AC174" i="133"/>
  <c r="AB174" i="133"/>
  <c r="AA174" i="133"/>
  <c r="Z174" i="133"/>
  <c r="Y174" i="133"/>
  <c r="X174" i="133"/>
  <c r="W174" i="133"/>
  <c r="V174" i="133"/>
  <c r="U174" i="133"/>
  <c r="T174" i="133"/>
  <c r="S174" i="133"/>
  <c r="R174" i="133"/>
  <c r="Q174" i="133"/>
  <c r="P174" i="133"/>
  <c r="O174" i="133"/>
  <c r="N174" i="133"/>
  <c r="M174" i="133"/>
  <c r="L174" i="133"/>
  <c r="K174" i="133"/>
  <c r="J174" i="133"/>
  <c r="I174" i="133"/>
  <c r="AV172" i="133"/>
  <c r="AU172" i="133"/>
  <c r="AT172" i="133"/>
  <c r="AS172" i="133"/>
  <c r="AR172" i="133"/>
  <c r="AQ172" i="133"/>
  <c r="AP172" i="133"/>
  <c r="AO172" i="133"/>
  <c r="AN172" i="133"/>
  <c r="AM172" i="133"/>
  <c r="AL172" i="133"/>
  <c r="AK172" i="133"/>
  <c r="AJ172" i="133"/>
  <c r="AI172" i="133"/>
  <c r="AC172" i="133"/>
  <c r="AB172" i="133"/>
  <c r="Y172" i="133"/>
  <c r="U172" i="133"/>
  <c r="T172" i="133"/>
  <c r="R172" i="133"/>
  <c r="Q172" i="133"/>
  <c r="P172" i="133"/>
  <c r="O172" i="133"/>
  <c r="N172" i="133"/>
  <c r="L172" i="133"/>
  <c r="K172" i="133"/>
  <c r="J172" i="133"/>
  <c r="I172" i="133"/>
  <c r="AR170" i="133"/>
  <c r="AD170" i="133"/>
  <c r="AC170" i="133"/>
  <c r="U170" i="133"/>
  <c r="T170" i="133"/>
  <c r="S170" i="133"/>
  <c r="R170" i="133"/>
  <c r="Q170" i="133"/>
  <c r="P170" i="133"/>
  <c r="M170" i="133"/>
  <c r="L170" i="133"/>
  <c r="K170" i="133"/>
  <c r="J170" i="133"/>
  <c r="I170" i="133"/>
  <c r="H170" i="133"/>
  <c r="F170" i="133"/>
  <c r="E170" i="133"/>
  <c r="AR169" i="133"/>
  <c r="N169" i="133"/>
  <c r="M169" i="133"/>
  <c r="J169" i="133"/>
  <c r="J168" i="133" s="1"/>
  <c r="E169" i="133"/>
  <c r="AV166" i="133"/>
  <c r="AU166" i="133"/>
  <c r="AU193" i="133" s="1"/>
  <c r="AT166" i="133"/>
  <c r="AT193" i="133" s="1"/>
  <c r="AS166" i="133"/>
  <c r="AS193" i="133" s="1"/>
  <c r="AR166" i="133"/>
  <c r="AQ166" i="133"/>
  <c r="AQ193" i="133" s="1"/>
  <c r="AP166" i="133"/>
  <c r="AO166" i="133"/>
  <c r="AO193" i="133" s="1"/>
  <c r="AN166" i="133"/>
  <c r="AM166" i="133"/>
  <c r="AM193" i="133" s="1"/>
  <c r="AL166" i="133"/>
  <c r="AK166" i="133"/>
  <c r="AK193" i="133" s="1"/>
  <c r="AJ166" i="133"/>
  <c r="AI193" i="133"/>
  <c r="AH166" i="133"/>
  <c r="AH193" i="133" s="1"/>
  <c r="AG166" i="133"/>
  <c r="AG193" i="133" s="1"/>
  <c r="AF166" i="133"/>
  <c r="AF193" i="133" s="1"/>
  <c r="AE166" i="133"/>
  <c r="AE193" i="133" s="1"/>
  <c r="AC166" i="133"/>
  <c r="AC193" i="133" s="1"/>
  <c r="AB166" i="133"/>
  <c r="AB193" i="133" s="1"/>
  <c r="AA166" i="133"/>
  <c r="AA193" i="133" s="1"/>
  <c r="Z166" i="133"/>
  <c r="Z193" i="133" s="1"/>
  <c r="Y166" i="133"/>
  <c r="Y193" i="133" s="1"/>
  <c r="X166" i="133"/>
  <c r="X193" i="133" s="1"/>
  <c r="W166" i="133"/>
  <c r="W193" i="133" s="1"/>
  <c r="V166" i="133"/>
  <c r="V193" i="133" s="1"/>
  <c r="U166" i="133"/>
  <c r="T166" i="133"/>
  <c r="T193" i="133" s="1"/>
  <c r="S166" i="133"/>
  <c r="S193" i="133" s="1"/>
  <c r="R166" i="133"/>
  <c r="R193" i="133" s="1"/>
  <c r="Q166" i="133"/>
  <c r="P166" i="133"/>
  <c r="P193" i="133" s="1"/>
  <c r="O166" i="133"/>
  <c r="O193" i="133" s="1"/>
  <c r="N166" i="133"/>
  <c r="N193" i="133" s="1"/>
  <c r="M166" i="133"/>
  <c r="M193" i="133" s="1"/>
  <c r="L166" i="133"/>
  <c r="L193" i="133" s="1"/>
  <c r="K166" i="133"/>
  <c r="K193" i="133" s="1"/>
  <c r="J166" i="133"/>
  <c r="J193" i="133" s="1"/>
  <c r="I166" i="133"/>
  <c r="I193" i="133" s="1"/>
  <c r="H166" i="133"/>
  <c r="H193" i="133" s="1"/>
  <c r="G166" i="133"/>
  <c r="G193" i="133" s="1"/>
  <c r="F166" i="133"/>
  <c r="F193" i="133" s="1"/>
  <c r="E166" i="133"/>
  <c r="E193" i="133" s="1"/>
  <c r="AV165" i="133"/>
  <c r="AV192" i="133" s="1"/>
  <c r="AU165" i="133"/>
  <c r="AU192" i="133" s="1"/>
  <c r="AT165" i="133"/>
  <c r="AT192" i="133" s="1"/>
  <c r="AS165" i="133"/>
  <c r="AS192" i="133" s="1"/>
  <c r="AR165" i="133"/>
  <c r="AR192" i="133" s="1"/>
  <c r="AQ165" i="133"/>
  <c r="AQ192" i="133" s="1"/>
  <c r="AP165" i="133"/>
  <c r="AP192" i="133" s="1"/>
  <c r="AO165" i="133"/>
  <c r="AO192" i="133" s="1"/>
  <c r="AN165" i="133"/>
  <c r="AN192" i="133" s="1"/>
  <c r="AM165" i="133"/>
  <c r="AM192" i="133" s="1"/>
  <c r="AL165" i="133"/>
  <c r="AL192" i="133" s="1"/>
  <c r="AK165" i="133"/>
  <c r="AK192" i="133" s="1"/>
  <c r="AJ165" i="133"/>
  <c r="AJ192" i="133" s="1"/>
  <c r="AI165" i="133"/>
  <c r="AI192" i="133" s="1"/>
  <c r="AG165" i="133"/>
  <c r="AG192" i="133" s="1"/>
  <c r="AF165" i="133"/>
  <c r="AF192" i="133" s="1"/>
  <c r="AE165" i="133"/>
  <c r="AE192" i="133" s="1"/>
  <c r="AD165" i="133"/>
  <c r="AD192" i="133" s="1"/>
  <c r="AC165" i="133"/>
  <c r="AC192" i="133" s="1"/>
  <c r="AB165" i="133"/>
  <c r="AB192" i="133" s="1"/>
  <c r="AA165" i="133"/>
  <c r="AA192" i="133" s="1"/>
  <c r="Z165" i="133"/>
  <c r="Z192" i="133" s="1"/>
  <c r="Y165" i="133"/>
  <c r="Y192" i="133" s="1"/>
  <c r="X165" i="133"/>
  <c r="X192" i="133" s="1"/>
  <c r="W165" i="133"/>
  <c r="W192" i="133" s="1"/>
  <c r="V165" i="133"/>
  <c r="V192" i="133" s="1"/>
  <c r="U165" i="133"/>
  <c r="U192" i="133" s="1"/>
  <c r="T165" i="133"/>
  <c r="T192" i="133" s="1"/>
  <c r="S165" i="133"/>
  <c r="S192" i="133" s="1"/>
  <c r="R165" i="133"/>
  <c r="R192" i="133" s="1"/>
  <c r="Q165" i="133"/>
  <c r="Q192" i="133" s="1"/>
  <c r="P165" i="133"/>
  <c r="P192" i="133" s="1"/>
  <c r="O165" i="133"/>
  <c r="O192" i="133" s="1"/>
  <c r="N165" i="133"/>
  <c r="N192" i="133" s="1"/>
  <c r="M165" i="133"/>
  <c r="M192" i="133" s="1"/>
  <c r="L165" i="133"/>
  <c r="L192" i="133" s="1"/>
  <c r="K165" i="133"/>
  <c r="K192" i="133" s="1"/>
  <c r="J165" i="133"/>
  <c r="J192" i="133" s="1"/>
  <c r="I165" i="133"/>
  <c r="I192" i="133" s="1"/>
  <c r="H165" i="133"/>
  <c r="H192" i="133" s="1"/>
  <c r="G165" i="133"/>
  <c r="G192" i="133" s="1"/>
  <c r="F165" i="133"/>
  <c r="F192" i="133" s="1"/>
  <c r="E165" i="133"/>
  <c r="E192" i="133" s="1"/>
  <c r="AH163" i="133"/>
  <c r="AE163" i="133"/>
  <c r="AD163" i="133"/>
  <c r="Z163" i="133"/>
  <c r="S163" i="133"/>
  <c r="N163" i="133"/>
  <c r="N191" i="133" s="1"/>
  <c r="M163" i="133"/>
  <c r="M191" i="133" s="1"/>
  <c r="AV161" i="133"/>
  <c r="AV191" i="133" s="1"/>
  <c r="AU161" i="133"/>
  <c r="AT161" i="133"/>
  <c r="AT191" i="133" s="1"/>
  <c r="AS161" i="133"/>
  <c r="AS191" i="133" s="1"/>
  <c r="AR161" i="133"/>
  <c r="AR191" i="133" s="1"/>
  <c r="AQ161" i="133"/>
  <c r="AP161" i="133"/>
  <c r="AP191" i="133" s="1"/>
  <c r="AO161" i="133"/>
  <c r="AO191" i="133" s="1"/>
  <c r="AN161" i="133"/>
  <c r="AN191" i="133" s="1"/>
  <c r="AM161" i="133"/>
  <c r="AL161" i="133"/>
  <c r="AL191" i="133" s="1"/>
  <c r="AK161" i="133"/>
  <c r="AK191" i="133" s="1"/>
  <c r="AJ161" i="133"/>
  <c r="AJ191" i="133" s="1"/>
  <c r="AI161" i="133"/>
  <c r="AG161" i="133"/>
  <c r="AG191" i="133" s="1"/>
  <c r="AF161" i="133"/>
  <c r="AF191" i="133" s="1"/>
  <c r="AC161" i="133"/>
  <c r="AC191" i="133" s="1"/>
  <c r="AB161" i="133"/>
  <c r="AB191" i="133" s="1"/>
  <c r="AA161" i="133"/>
  <c r="Y161" i="133"/>
  <c r="Y191" i="133" s="1"/>
  <c r="X161" i="133"/>
  <c r="X191" i="133" s="1"/>
  <c r="W161" i="133"/>
  <c r="U161" i="133"/>
  <c r="U191" i="133" s="1"/>
  <c r="T161" i="133"/>
  <c r="T191" i="133" s="1"/>
  <c r="R161" i="133"/>
  <c r="Q161" i="133"/>
  <c r="Q191" i="133" s="1"/>
  <c r="P161" i="133"/>
  <c r="P191" i="133" s="1"/>
  <c r="L161" i="133"/>
  <c r="L191" i="133" s="1"/>
  <c r="K161" i="133"/>
  <c r="J161" i="133"/>
  <c r="J191" i="133" s="1"/>
  <c r="I161" i="133"/>
  <c r="I191" i="133" s="1"/>
  <c r="H161" i="133"/>
  <c r="H191" i="133" s="1"/>
  <c r="G161" i="133"/>
  <c r="G191" i="133" s="1"/>
  <c r="F161" i="133"/>
  <c r="F191" i="133" s="1"/>
  <c r="E161" i="133"/>
  <c r="E191" i="133" s="1"/>
  <c r="X152" i="133"/>
  <c r="X143" i="133" s="1"/>
  <c r="S144" i="133"/>
  <c r="S172" i="133" s="1"/>
  <c r="AV143" i="133"/>
  <c r="AV90" i="133" s="1"/>
  <c r="AU143" i="133"/>
  <c r="AU190" i="133" s="1"/>
  <c r="AT143" i="133"/>
  <c r="AS143" i="133"/>
  <c r="AR143" i="133"/>
  <c r="AQ143" i="133"/>
  <c r="AQ190" i="133" s="1"/>
  <c r="AP143" i="133"/>
  <c r="AO143" i="133"/>
  <c r="AN143" i="133"/>
  <c r="AN90" i="133" s="1"/>
  <c r="AM143" i="133"/>
  <c r="AM190" i="133" s="1"/>
  <c r="AL143" i="133"/>
  <c r="AK143" i="133"/>
  <c r="AJ143" i="133"/>
  <c r="AJ173" i="133" s="1"/>
  <c r="AI143" i="133"/>
  <c r="AH143" i="133"/>
  <c r="AH190" i="133" s="1"/>
  <c r="AG143" i="133"/>
  <c r="AG190" i="133" s="1"/>
  <c r="AF143" i="133"/>
  <c r="AF190" i="133" s="1"/>
  <c r="AE143" i="133"/>
  <c r="AE190" i="133" s="1"/>
  <c r="AD143" i="133"/>
  <c r="AD190" i="133" s="1"/>
  <c r="AC143" i="133"/>
  <c r="AB143" i="133"/>
  <c r="AA143" i="133"/>
  <c r="AA93" i="133" s="1"/>
  <c r="Y143" i="133"/>
  <c r="Y190" i="133" s="1"/>
  <c r="W143" i="133"/>
  <c r="W93" i="133" s="1"/>
  <c r="V143" i="133"/>
  <c r="V190" i="133" s="1"/>
  <c r="U143" i="133"/>
  <c r="T143" i="133"/>
  <c r="R143" i="133"/>
  <c r="R93" i="133" s="1"/>
  <c r="Q143" i="133"/>
  <c r="P143" i="133"/>
  <c r="P173" i="133" s="1"/>
  <c r="O143" i="133"/>
  <c r="N143" i="133"/>
  <c r="N190" i="133" s="1"/>
  <c r="L143" i="133"/>
  <c r="K143" i="133"/>
  <c r="J143" i="133"/>
  <c r="I143" i="133"/>
  <c r="H143" i="133"/>
  <c r="H190" i="133" s="1"/>
  <c r="G143" i="133"/>
  <c r="G190" i="133" s="1"/>
  <c r="AA142" i="133"/>
  <c r="Y142" i="133"/>
  <c r="AG141" i="133"/>
  <c r="Z141" i="133"/>
  <c r="Z142" i="133" s="1"/>
  <c r="X141" i="133"/>
  <c r="O140" i="133"/>
  <c r="AF132" i="133"/>
  <c r="BE131" i="133"/>
  <c r="BE130" i="133"/>
  <c r="AH129" i="133"/>
  <c r="AG129" i="133"/>
  <c r="AG183" i="133" s="1"/>
  <c r="AF129" i="133"/>
  <c r="AE129" i="133"/>
  <c r="AD129" i="133"/>
  <c r="AD183" i="133" s="1"/>
  <c r="AA129" i="133"/>
  <c r="Z129" i="133"/>
  <c r="X129" i="133"/>
  <c r="W129" i="133"/>
  <c r="M129" i="133"/>
  <c r="BF126" i="133"/>
  <c r="BH124" i="133"/>
  <c r="BG124" i="133"/>
  <c r="BA124" i="133"/>
  <c r="BA126" i="133" s="1"/>
  <c r="BG123" i="133"/>
  <c r="BG122" i="133"/>
  <c r="BA120" i="133"/>
  <c r="AD120" i="133"/>
  <c r="AY120" i="133" s="1"/>
  <c r="AH119" i="133"/>
  <c r="AD119" i="133"/>
  <c r="Z119" i="133"/>
  <c r="Z181" i="133" s="1"/>
  <c r="AG118" i="133"/>
  <c r="AE118" i="133"/>
  <c r="AE172" i="133" s="1"/>
  <c r="AD118" i="133"/>
  <c r="AH117" i="133"/>
  <c r="AH172" i="133" s="1"/>
  <c r="AG117" i="133"/>
  <c r="AF117" i="133"/>
  <c r="AF172" i="133" s="1"/>
  <c r="AD117" i="133"/>
  <c r="V117" i="133"/>
  <c r="V172" i="133" s="1"/>
  <c r="AH116" i="133"/>
  <c r="AG116" i="133"/>
  <c r="AF116" i="133"/>
  <c r="AE116" i="133"/>
  <c r="AD116" i="133"/>
  <c r="H116" i="133"/>
  <c r="H178" i="133" s="1"/>
  <c r="AY115" i="133"/>
  <c r="AH115" i="133"/>
  <c r="AH90" i="133" s="1"/>
  <c r="AG115" i="133"/>
  <c r="AF115" i="133"/>
  <c r="AE115" i="133"/>
  <c r="AE84" i="133" s="1"/>
  <c r="AE85" i="133" s="1"/>
  <c r="AD115" i="133"/>
  <c r="AD84" i="133" s="1"/>
  <c r="AD85" i="133" s="1"/>
  <c r="AD88" i="133" s="1"/>
  <c r="Z115" i="133"/>
  <c r="Y115" i="133"/>
  <c r="Y93" i="133" s="1"/>
  <c r="V115" i="133"/>
  <c r="N115" i="133"/>
  <c r="N84" i="133" s="1"/>
  <c r="G115" i="133"/>
  <c r="G178" i="133" s="1"/>
  <c r="F115" i="133"/>
  <c r="F178" i="133" s="1"/>
  <c r="AE114" i="133"/>
  <c r="AG113" i="133"/>
  <c r="AG174" i="133" s="1"/>
  <c r="AF113" i="133"/>
  <c r="BC112" i="133"/>
  <c r="BD109" i="133" s="1"/>
  <c r="BA112" i="133"/>
  <c r="AI112" i="133"/>
  <c r="BB112" i="133" s="1"/>
  <c r="AH112" i="133"/>
  <c r="AG112" i="133"/>
  <c r="AB112" i="133"/>
  <c r="AA112" i="133"/>
  <c r="AV111" i="133"/>
  <c r="AV208" i="133" s="1"/>
  <c r="AU111" i="133"/>
  <c r="AT111" i="133"/>
  <c r="AT208" i="133" s="1"/>
  <c r="AQ111" i="133"/>
  <c r="AQ208" i="133" s="1"/>
  <c r="AP111" i="133"/>
  <c r="AP208" i="133" s="1"/>
  <c r="AO111" i="133"/>
  <c r="AO208" i="133" s="1"/>
  <c r="AN111" i="133"/>
  <c r="AN208" i="133" s="1"/>
  <c r="AM111" i="133"/>
  <c r="AM19" i="133" s="1"/>
  <c r="AL111" i="133"/>
  <c r="AK111" i="133"/>
  <c r="AK208" i="133" s="1"/>
  <c r="AJ111" i="133"/>
  <c r="AJ208" i="133" s="1"/>
  <c r="AI111" i="133"/>
  <c r="AH111" i="133"/>
  <c r="AF111" i="133"/>
  <c r="AF208" i="133" s="1"/>
  <c r="AB111" i="133"/>
  <c r="Z111" i="133"/>
  <c r="Z170" i="133" s="1"/>
  <c r="Y111" i="133"/>
  <c r="X111" i="133"/>
  <c r="X170" i="133" s="1"/>
  <c r="O111" i="133"/>
  <c r="O170" i="133" s="1"/>
  <c r="N111" i="133"/>
  <c r="N53" i="133" s="1"/>
  <c r="G111" i="133"/>
  <c r="G170" i="133" s="1"/>
  <c r="AN110" i="133"/>
  <c r="AK110" i="133"/>
  <c r="AJ110" i="133"/>
  <c r="AI110" i="133"/>
  <c r="AH110" i="133"/>
  <c r="AF110" i="133"/>
  <c r="AE110" i="133"/>
  <c r="AE170" i="133" s="1"/>
  <c r="AA110" i="133"/>
  <c r="Y110" i="133"/>
  <c r="Y170" i="133" s="1"/>
  <c r="W110" i="133"/>
  <c r="W170" i="133" s="1"/>
  <c r="V110" i="133"/>
  <c r="V19" i="133" s="1"/>
  <c r="BA109" i="133"/>
  <c r="AJ109" i="133"/>
  <c r="AI109" i="133"/>
  <c r="AH109" i="133"/>
  <c r="AG109" i="133"/>
  <c r="AF109" i="133"/>
  <c r="AD109" i="133"/>
  <c r="AB109" i="133"/>
  <c r="Z109" i="133"/>
  <c r="P109" i="133"/>
  <c r="O109" i="133"/>
  <c r="I109" i="133"/>
  <c r="H109" i="133"/>
  <c r="G109" i="133"/>
  <c r="G169" i="133" s="1"/>
  <c r="BA108" i="133"/>
  <c r="AI108" i="133"/>
  <c r="AF108" i="133"/>
  <c r="AV107" i="133"/>
  <c r="AV97" i="133" s="1"/>
  <c r="AU107" i="133"/>
  <c r="AU97" i="133" s="1"/>
  <c r="AT107" i="133"/>
  <c r="AT97" i="133" s="1"/>
  <c r="AS107" i="133"/>
  <c r="AQ107" i="133"/>
  <c r="AQ97" i="133" s="1"/>
  <c r="AP107" i="133"/>
  <c r="AP97" i="133" s="1"/>
  <c r="AO107" i="133"/>
  <c r="AO97" i="133" s="1"/>
  <c r="AN107" i="133"/>
  <c r="AM107" i="133"/>
  <c r="AL107" i="133"/>
  <c r="AK107" i="133"/>
  <c r="AK53" i="133" s="1"/>
  <c r="AJ107" i="133"/>
  <c r="AI107" i="133"/>
  <c r="AD107" i="133"/>
  <c r="AD19" i="133" s="1"/>
  <c r="Z107" i="133"/>
  <c r="Z97" i="133" s="1"/>
  <c r="BA106" i="133"/>
  <c r="AI106" i="133"/>
  <c r="AH106" i="133"/>
  <c r="AG106" i="133"/>
  <c r="AF106" i="133"/>
  <c r="AF103" i="133" s="1"/>
  <c r="AE106" i="133"/>
  <c r="AD106" i="133"/>
  <c r="AD103" i="133" s="1"/>
  <c r="AA106" i="133"/>
  <c r="Z106" i="133"/>
  <c r="Y106" i="133"/>
  <c r="T106" i="133"/>
  <c r="T103" i="133" s="1"/>
  <c r="S106" i="133"/>
  <c r="AJ105" i="133"/>
  <c r="AJ103" i="133" s="1"/>
  <c r="AI105" i="133"/>
  <c r="AH105" i="133"/>
  <c r="AG105" i="133"/>
  <c r="AA105" i="133"/>
  <c r="Z105" i="133"/>
  <c r="Y105" i="133"/>
  <c r="W105" i="133"/>
  <c r="W103" i="133" s="1"/>
  <c r="W169" i="133" s="1"/>
  <c r="AV104" i="133"/>
  <c r="AU104" i="133"/>
  <c r="AT104" i="133"/>
  <c r="AS104" i="133"/>
  <c r="AR104" i="133"/>
  <c r="AQ104" i="133"/>
  <c r="AP104" i="133"/>
  <c r="AO104" i="133"/>
  <c r="AN104" i="133"/>
  <c r="AM104" i="133"/>
  <c r="AL104" i="133"/>
  <c r="AK104" i="133"/>
  <c r="AJ104" i="133"/>
  <c r="AI104" i="133"/>
  <c r="AH104" i="133"/>
  <c r="AG104" i="133"/>
  <c r="AF104" i="133"/>
  <c r="AE104" i="133"/>
  <c r="AD104" i="133"/>
  <c r="AC104" i="133"/>
  <c r="AB104" i="133"/>
  <c r="AA104" i="133"/>
  <c r="Z104" i="133"/>
  <c r="Y104" i="133"/>
  <c r="X104" i="133"/>
  <c r="W104" i="133"/>
  <c r="V104" i="133"/>
  <c r="U104" i="133"/>
  <c r="T104" i="133"/>
  <c r="S104" i="133"/>
  <c r="R104" i="133"/>
  <c r="Q104" i="133"/>
  <c r="P104" i="133"/>
  <c r="O104" i="133"/>
  <c r="N104" i="133"/>
  <c r="M104" i="133"/>
  <c r="L104" i="133"/>
  <c r="K104" i="133"/>
  <c r="J104" i="133"/>
  <c r="I104" i="133"/>
  <c r="H104" i="133"/>
  <c r="G104" i="133"/>
  <c r="F104" i="133"/>
  <c r="E104" i="133"/>
  <c r="AV103" i="133"/>
  <c r="AU103" i="133"/>
  <c r="AR103" i="133"/>
  <c r="AN103" i="133"/>
  <c r="AN53" i="133" s="1"/>
  <c r="AM103" i="133"/>
  <c r="AL103" i="133"/>
  <c r="AK103" i="133"/>
  <c r="AH103" i="133"/>
  <c r="AC103" i="133"/>
  <c r="AB103" i="133"/>
  <c r="X103" i="133"/>
  <c r="X169" i="133" s="1"/>
  <c r="V103" i="133"/>
  <c r="U103" i="133"/>
  <c r="U169" i="133" s="1"/>
  <c r="U168" i="133" s="1"/>
  <c r="R103" i="133"/>
  <c r="R169" i="133" s="1"/>
  <c r="R168" i="133" s="1"/>
  <c r="Q103" i="133"/>
  <c r="P103" i="133"/>
  <c r="L103" i="133"/>
  <c r="L169" i="133" s="1"/>
  <c r="L168" i="133" s="1"/>
  <c r="K103" i="133"/>
  <c r="K169" i="133" s="1"/>
  <c r="K168" i="133" s="1"/>
  <c r="I103" i="133"/>
  <c r="H103" i="133"/>
  <c r="F103" i="133"/>
  <c r="AL99" i="133"/>
  <c r="AV98" i="133"/>
  <c r="AV99" i="133" s="1"/>
  <c r="AU98" i="133"/>
  <c r="AT98" i="133"/>
  <c r="AT99" i="133" s="1"/>
  <c r="AS98" i="133"/>
  <c r="AR98" i="133"/>
  <c r="AR99" i="133" s="1"/>
  <c r="AQ98" i="133"/>
  <c r="AP98" i="133"/>
  <c r="AP99" i="133" s="1"/>
  <c r="AO98" i="133"/>
  <c r="AO99" i="133" s="1"/>
  <c r="AN98" i="133"/>
  <c r="AM98" i="133"/>
  <c r="AL98" i="133"/>
  <c r="AS97" i="133"/>
  <c r="AJ97" i="133"/>
  <c r="AH97" i="133"/>
  <c r="AG97" i="133"/>
  <c r="AF97" i="133"/>
  <c r="AB97" i="133"/>
  <c r="AA97" i="133"/>
  <c r="Y97" i="133"/>
  <c r="BA96" i="133"/>
  <c r="AR95" i="133"/>
  <c r="BA95" i="133" s="1"/>
  <c r="AK94" i="133"/>
  <c r="BA94" i="133" s="1"/>
  <c r="AC94" i="133"/>
  <c r="AY94" i="133" s="1"/>
  <c r="AT93" i="133"/>
  <c r="AC93" i="133"/>
  <c r="P93" i="133"/>
  <c r="O93" i="133"/>
  <c r="AT92" i="133"/>
  <c r="AS92" i="133"/>
  <c r="AP92" i="133"/>
  <c r="AO92" i="133"/>
  <c r="AL92" i="133"/>
  <c r="AK92" i="133"/>
  <c r="AC92" i="133"/>
  <c r="U92" i="133"/>
  <c r="T92" i="133"/>
  <c r="Q92" i="133"/>
  <c r="P92" i="133"/>
  <c r="K92" i="133"/>
  <c r="AT90" i="133"/>
  <c r="AS90" i="133"/>
  <c r="AR90" i="133"/>
  <c r="AP90" i="133"/>
  <c r="AO90" i="133"/>
  <c r="AL90" i="133"/>
  <c r="AK90" i="133"/>
  <c r="AC90" i="133"/>
  <c r="U90" i="133"/>
  <c r="T90" i="133"/>
  <c r="Q90" i="133"/>
  <c r="P90" i="133"/>
  <c r="K90" i="133"/>
  <c r="AV84" i="133"/>
  <c r="AU84" i="133"/>
  <c r="AU85" i="133" s="1"/>
  <c r="AT84" i="133"/>
  <c r="AT85" i="133" s="1"/>
  <c r="AS84" i="133"/>
  <c r="AS87" i="133" s="1"/>
  <c r="AR84" i="133"/>
  <c r="AQ84" i="133"/>
  <c r="AQ85" i="133" s="1"/>
  <c r="AP84" i="133"/>
  <c r="AO84" i="133"/>
  <c r="AN84" i="133"/>
  <c r="AM84" i="133"/>
  <c r="AM85" i="133" s="1"/>
  <c r="AL84" i="133"/>
  <c r="AL85" i="133" s="1"/>
  <c r="AL88" i="133" s="1"/>
  <c r="AK84" i="133"/>
  <c r="AK85" i="133" s="1"/>
  <c r="AJ84" i="133"/>
  <c r="AI84" i="133"/>
  <c r="AI85" i="133" s="1"/>
  <c r="AG84" i="133"/>
  <c r="AG87" i="133" s="1"/>
  <c r="AC84" i="133"/>
  <c r="AC87" i="133" s="1"/>
  <c r="AA84" i="133"/>
  <c r="AA85" i="133" s="1"/>
  <c r="Z84" i="133"/>
  <c r="X84" i="133"/>
  <c r="V84" i="133"/>
  <c r="U84" i="133"/>
  <c r="T84" i="133"/>
  <c r="Q84" i="133"/>
  <c r="P84" i="133"/>
  <c r="O84" i="133"/>
  <c r="M84" i="133"/>
  <c r="K84" i="133"/>
  <c r="AV81" i="133"/>
  <c r="AV78" i="133"/>
  <c r="AV79" i="133" s="1"/>
  <c r="AV82" i="133" s="1"/>
  <c r="AU78" i="133"/>
  <c r="AU79" i="133" s="1"/>
  <c r="AU82" i="133" s="1"/>
  <c r="AT78" i="133"/>
  <c r="AT81" i="133" s="1"/>
  <c r="AS78" i="133"/>
  <c r="AR78" i="133"/>
  <c r="AR79" i="133" s="1"/>
  <c r="AR82" i="133" s="1"/>
  <c r="AQ78" i="133"/>
  <c r="AP78" i="133"/>
  <c r="AO78" i="133"/>
  <c r="AN78" i="133"/>
  <c r="AN79" i="133" s="1"/>
  <c r="AN82" i="133" s="1"/>
  <c r="AM78" i="133"/>
  <c r="AM79" i="133" s="1"/>
  <c r="AM82" i="133" s="1"/>
  <c r="AL78" i="133"/>
  <c r="AK78" i="133"/>
  <c r="AJ78" i="133"/>
  <c r="AJ79" i="133" s="1"/>
  <c r="AJ82" i="133" s="1"/>
  <c r="AI78" i="133"/>
  <c r="AG78" i="133"/>
  <c r="AE78" i="133"/>
  <c r="AE79" i="133" s="1"/>
  <c r="AE82" i="133" s="1"/>
  <c r="AC78" i="133"/>
  <c r="AA78" i="133"/>
  <c r="AA79" i="133" s="1"/>
  <c r="AA82" i="133" s="1"/>
  <c r="Z78" i="133"/>
  <c r="AV76" i="133"/>
  <c r="AU76" i="133"/>
  <c r="AT76" i="133"/>
  <c r="AS76" i="133"/>
  <c r="AR76" i="133"/>
  <c r="AQ76" i="133"/>
  <c r="AP76" i="133"/>
  <c r="AO76" i="133"/>
  <c r="AN76" i="133"/>
  <c r="AM76" i="133"/>
  <c r="AL76" i="133"/>
  <c r="AK76" i="133"/>
  <c r="AJ76" i="133"/>
  <c r="AI76" i="133"/>
  <c r="AH76" i="133"/>
  <c r="AG76" i="133"/>
  <c r="AF76" i="133"/>
  <c r="AE76" i="133"/>
  <c r="AC76" i="133"/>
  <c r="AB76" i="133"/>
  <c r="AA76" i="133"/>
  <c r="Z76" i="133"/>
  <c r="Y76" i="133"/>
  <c r="X76" i="133"/>
  <c r="W76" i="133"/>
  <c r="V76" i="133"/>
  <c r="U76" i="133"/>
  <c r="T76" i="133"/>
  <c r="S76" i="133"/>
  <c r="R76" i="133"/>
  <c r="Q76" i="133"/>
  <c r="P76" i="133"/>
  <c r="O76" i="133"/>
  <c r="N76" i="133"/>
  <c r="M76" i="133"/>
  <c r="L76" i="133"/>
  <c r="K76" i="133"/>
  <c r="J76" i="133"/>
  <c r="I76" i="133"/>
  <c r="H76" i="133"/>
  <c r="G76" i="133"/>
  <c r="F76" i="133"/>
  <c r="E76" i="133"/>
  <c r="AV75" i="133"/>
  <c r="AU75" i="133"/>
  <c r="AT75" i="133"/>
  <c r="AS75" i="133"/>
  <c r="AR75" i="133"/>
  <c r="AQ75" i="133"/>
  <c r="AP75" i="133"/>
  <c r="AO75" i="133"/>
  <c r="AN75" i="133"/>
  <c r="AM75" i="133"/>
  <c r="AL75" i="133"/>
  <c r="AK75" i="133"/>
  <c r="AJ75" i="133"/>
  <c r="AI75" i="133"/>
  <c r="AG75" i="133"/>
  <c r="AF75" i="133"/>
  <c r="AE75" i="133"/>
  <c r="AD75" i="133"/>
  <c r="AC75" i="133"/>
  <c r="AB75" i="133"/>
  <c r="AA75" i="133"/>
  <c r="Z75" i="133"/>
  <c r="Y75" i="133"/>
  <c r="X75" i="133"/>
  <c r="W75" i="133"/>
  <c r="V75" i="133"/>
  <c r="U75" i="133"/>
  <c r="T75" i="133"/>
  <c r="S75" i="133"/>
  <c r="R75" i="133"/>
  <c r="Q75" i="133"/>
  <c r="P75" i="133"/>
  <c r="O75" i="133"/>
  <c r="N75" i="133"/>
  <c r="M75" i="133"/>
  <c r="L75" i="133"/>
  <c r="K75" i="133"/>
  <c r="J75" i="133"/>
  <c r="I75" i="133"/>
  <c r="H75" i="133"/>
  <c r="G75" i="133"/>
  <c r="F75" i="133"/>
  <c r="E75" i="133"/>
  <c r="AV74" i="133"/>
  <c r="AU74" i="133"/>
  <c r="AT74" i="133"/>
  <c r="AS74" i="133"/>
  <c r="AR74" i="133"/>
  <c r="AQ74" i="133"/>
  <c r="AP74" i="133"/>
  <c r="AO74" i="133"/>
  <c r="AN74" i="133"/>
  <c r="AM74" i="133"/>
  <c r="AL74" i="133"/>
  <c r="AK74" i="133"/>
  <c r="AJ74" i="133"/>
  <c r="AI74" i="133"/>
  <c r="AG74" i="133"/>
  <c r="AF74" i="133"/>
  <c r="AC74" i="133"/>
  <c r="AB74" i="133"/>
  <c r="AA74" i="133"/>
  <c r="Y74" i="133"/>
  <c r="X74" i="133"/>
  <c r="W74" i="133"/>
  <c r="U74" i="133"/>
  <c r="T74" i="133"/>
  <c r="S74" i="133"/>
  <c r="R74" i="133"/>
  <c r="Q74" i="133"/>
  <c r="P74" i="133"/>
  <c r="O74" i="133"/>
  <c r="N74" i="133"/>
  <c r="M74" i="133"/>
  <c r="L74" i="133"/>
  <c r="K74" i="133"/>
  <c r="J74" i="133"/>
  <c r="I74" i="133"/>
  <c r="H74" i="133"/>
  <c r="G74" i="133"/>
  <c r="F74" i="133"/>
  <c r="E74" i="133"/>
  <c r="AV73" i="133"/>
  <c r="AU73" i="133"/>
  <c r="AT73" i="133"/>
  <c r="AS73" i="133"/>
  <c r="AR73" i="133"/>
  <c r="AQ73" i="133"/>
  <c r="AP73" i="133"/>
  <c r="AO73" i="133"/>
  <c r="AN73" i="133"/>
  <c r="AM73" i="133"/>
  <c r="AL73" i="133"/>
  <c r="AK73" i="133"/>
  <c r="AJ73" i="133"/>
  <c r="AI73" i="133"/>
  <c r="AH73" i="133"/>
  <c r="AG73" i="133"/>
  <c r="AF73" i="133"/>
  <c r="AE73" i="133"/>
  <c r="AD73" i="133"/>
  <c r="AC73" i="133"/>
  <c r="AB73" i="133"/>
  <c r="AA73" i="133"/>
  <c r="Y73" i="133"/>
  <c r="X73" i="133"/>
  <c r="W73" i="133"/>
  <c r="V73" i="133"/>
  <c r="U73" i="133"/>
  <c r="T73" i="133"/>
  <c r="S73" i="133"/>
  <c r="R73" i="133"/>
  <c r="Q73" i="133"/>
  <c r="P73" i="133"/>
  <c r="O73" i="133"/>
  <c r="N73" i="133"/>
  <c r="L73" i="133"/>
  <c r="K73" i="133"/>
  <c r="J73" i="133"/>
  <c r="I73" i="133"/>
  <c r="H73" i="133"/>
  <c r="G73" i="133"/>
  <c r="F73" i="133"/>
  <c r="E73" i="133"/>
  <c r="AV72" i="133"/>
  <c r="AU72" i="133"/>
  <c r="AT72" i="133"/>
  <c r="AS72" i="133"/>
  <c r="AR72" i="133"/>
  <c r="AQ72" i="133"/>
  <c r="AP72" i="133"/>
  <c r="AO72" i="133"/>
  <c r="AN72" i="133"/>
  <c r="AM72" i="133"/>
  <c r="AL72" i="133"/>
  <c r="AK72" i="133"/>
  <c r="AJ72" i="133"/>
  <c r="AI72" i="133"/>
  <c r="AH72" i="133"/>
  <c r="AG72" i="133"/>
  <c r="AF72" i="133"/>
  <c r="AE72" i="133"/>
  <c r="AD72" i="133"/>
  <c r="AC72" i="133"/>
  <c r="AB72" i="133"/>
  <c r="Z72" i="133"/>
  <c r="Y72" i="133"/>
  <c r="X72" i="133"/>
  <c r="W72" i="133"/>
  <c r="V72" i="133"/>
  <c r="U72" i="133"/>
  <c r="T72" i="133"/>
  <c r="R72" i="133"/>
  <c r="Q72" i="133"/>
  <c r="P72" i="133"/>
  <c r="O72" i="133"/>
  <c r="N72" i="133"/>
  <c r="M72" i="133"/>
  <c r="L72" i="133"/>
  <c r="K72" i="133"/>
  <c r="J72" i="133"/>
  <c r="I72" i="133"/>
  <c r="H72" i="133"/>
  <c r="G72" i="133"/>
  <c r="F72" i="133"/>
  <c r="E72" i="133"/>
  <c r="Q69" i="133"/>
  <c r="AV68" i="133"/>
  <c r="AU68" i="133"/>
  <c r="AT68" i="133"/>
  <c r="AS68" i="133"/>
  <c r="AR68" i="133"/>
  <c r="AQ68" i="133"/>
  <c r="AP68" i="133"/>
  <c r="AO68" i="133"/>
  <c r="AN68" i="133"/>
  <c r="AM68" i="133"/>
  <c r="AL68" i="133"/>
  <c r="AK68" i="133"/>
  <c r="AJ68" i="133"/>
  <c r="AI68" i="133"/>
  <c r="AH68" i="133"/>
  <c r="AG68" i="133"/>
  <c r="AF68" i="133"/>
  <c r="AE68" i="133"/>
  <c r="AD68" i="133"/>
  <c r="AC68" i="133"/>
  <c r="AB68" i="133"/>
  <c r="AA68" i="133"/>
  <c r="Z68" i="133"/>
  <c r="Y68" i="133"/>
  <c r="X68" i="133"/>
  <c r="W68" i="133"/>
  <c r="V68" i="133"/>
  <c r="U68" i="133"/>
  <c r="T68" i="133"/>
  <c r="S68" i="133"/>
  <c r="R68" i="133"/>
  <c r="Q68" i="133"/>
  <c r="AV67" i="133"/>
  <c r="AU67" i="133"/>
  <c r="AT67" i="133"/>
  <c r="AS67" i="133"/>
  <c r="AR67" i="133"/>
  <c r="AQ67" i="133"/>
  <c r="AP67" i="133"/>
  <c r="AO67" i="133"/>
  <c r="AN67" i="133"/>
  <c r="AM67" i="133"/>
  <c r="AL67" i="133"/>
  <c r="AK67" i="133"/>
  <c r="AJ67" i="133"/>
  <c r="AI67" i="133"/>
  <c r="AH67" i="133"/>
  <c r="AG67" i="133"/>
  <c r="AF67" i="133"/>
  <c r="AE67" i="133"/>
  <c r="AD67" i="133"/>
  <c r="AC67" i="133"/>
  <c r="AB67" i="133"/>
  <c r="AA67" i="133"/>
  <c r="Z67" i="133"/>
  <c r="Y67" i="133"/>
  <c r="X67" i="133"/>
  <c r="W67" i="133"/>
  <c r="V67" i="133"/>
  <c r="U67" i="133"/>
  <c r="T67" i="133"/>
  <c r="S67" i="133"/>
  <c r="R67" i="133"/>
  <c r="Q67" i="133"/>
  <c r="P67" i="133"/>
  <c r="O67" i="133"/>
  <c r="N67" i="133"/>
  <c r="M67" i="133"/>
  <c r="L67" i="133"/>
  <c r="K67" i="133"/>
  <c r="J67" i="133"/>
  <c r="I67" i="133"/>
  <c r="H67" i="133"/>
  <c r="G67" i="133"/>
  <c r="F67" i="133"/>
  <c r="E67" i="133"/>
  <c r="AV65" i="133"/>
  <c r="AU65" i="133"/>
  <c r="AT65" i="133"/>
  <c r="AS65" i="133"/>
  <c r="AR65" i="133"/>
  <c r="AQ65" i="133"/>
  <c r="AP65" i="133"/>
  <c r="AO65" i="133"/>
  <c r="AN65" i="133"/>
  <c r="AM65" i="133"/>
  <c r="AL65" i="133"/>
  <c r="AK65" i="133"/>
  <c r="AJ65" i="133"/>
  <c r="AI65" i="133"/>
  <c r="AG65" i="133"/>
  <c r="AF65" i="133"/>
  <c r="AC65" i="133"/>
  <c r="AB65" i="133"/>
  <c r="Y65" i="133"/>
  <c r="X65" i="133"/>
  <c r="W65" i="133"/>
  <c r="U65" i="133"/>
  <c r="T65" i="133"/>
  <c r="R65" i="133"/>
  <c r="Q65" i="133"/>
  <c r="P65" i="133"/>
  <c r="O65" i="133"/>
  <c r="N65" i="133"/>
  <c r="L65" i="133"/>
  <c r="K65" i="133"/>
  <c r="J65" i="133"/>
  <c r="I65" i="133"/>
  <c r="H65" i="133"/>
  <c r="G65" i="133"/>
  <c r="F65" i="133"/>
  <c r="E65" i="133"/>
  <c r="AD64" i="133"/>
  <c r="BB63" i="133"/>
  <c r="BB59" i="133" s="1"/>
  <c r="BA63" i="133"/>
  <c r="BA59" i="133" s="1"/>
  <c r="AH63" i="133"/>
  <c r="AH62" i="133"/>
  <c r="AE62" i="133"/>
  <c r="AE74" i="133" s="1"/>
  <c r="AD62" i="133"/>
  <c r="Z62" i="133"/>
  <c r="V62" i="133"/>
  <c r="Z61" i="133"/>
  <c r="M61" i="133"/>
  <c r="M143" i="133" s="1"/>
  <c r="M93" i="133" s="1"/>
  <c r="AZ59" i="133"/>
  <c r="AA59" i="133"/>
  <c r="AA65" i="133" s="1"/>
  <c r="S59" i="133"/>
  <c r="C59" i="133"/>
  <c r="C58" i="133"/>
  <c r="C57" i="133"/>
  <c r="AV56" i="133"/>
  <c r="AV199" i="133" s="1"/>
  <c r="AU56" i="133"/>
  <c r="AU199" i="133" s="1"/>
  <c r="AT56" i="133"/>
  <c r="AT199" i="133" s="1"/>
  <c r="AS56" i="133"/>
  <c r="AS199" i="133" s="1"/>
  <c r="AR56" i="133"/>
  <c r="AR199" i="133" s="1"/>
  <c r="AQ56" i="133"/>
  <c r="AQ199" i="133" s="1"/>
  <c r="AP56" i="133"/>
  <c r="AP199" i="133" s="1"/>
  <c r="AO56" i="133"/>
  <c r="AO199" i="133" s="1"/>
  <c r="AN56" i="133"/>
  <c r="AN199" i="133" s="1"/>
  <c r="AM56" i="133"/>
  <c r="AM199" i="133" s="1"/>
  <c r="AL56" i="133"/>
  <c r="AL199" i="133" s="1"/>
  <c r="AK56" i="133"/>
  <c r="AK199" i="133" s="1"/>
  <c r="AJ56" i="133"/>
  <c r="AJ199" i="133" s="1"/>
  <c r="AI56" i="133"/>
  <c r="AI199" i="133" s="1"/>
  <c r="AH56" i="133"/>
  <c r="AH199" i="133" s="1"/>
  <c r="AG56" i="133"/>
  <c r="AG199" i="133" s="1"/>
  <c r="AF56" i="133"/>
  <c r="AF199" i="133" s="1"/>
  <c r="AE56" i="133"/>
  <c r="AE199" i="133" s="1"/>
  <c r="AD56" i="133"/>
  <c r="AD199" i="133" s="1"/>
  <c r="AC56" i="133"/>
  <c r="AC69" i="133" s="1"/>
  <c r="AB56" i="133"/>
  <c r="AB69" i="133" s="1"/>
  <c r="Z56" i="133"/>
  <c r="Z69" i="133" s="1"/>
  <c r="Y56" i="133"/>
  <c r="Y69" i="133" s="1"/>
  <c r="X56" i="133"/>
  <c r="X69" i="133" s="1"/>
  <c r="W56" i="133"/>
  <c r="W69" i="133" s="1"/>
  <c r="V56" i="133"/>
  <c r="V69" i="133" s="1"/>
  <c r="U56" i="133"/>
  <c r="U69" i="133" s="1"/>
  <c r="T56" i="133"/>
  <c r="T69" i="133" s="1"/>
  <c r="R56" i="133"/>
  <c r="R69" i="133" s="1"/>
  <c r="C56" i="133"/>
  <c r="AY55" i="133"/>
  <c r="AV54" i="133"/>
  <c r="AU54" i="133"/>
  <c r="AT54" i="133"/>
  <c r="AS54" i="133"/>
  <c r="AR54" i="133"/>
  <c r="AQ54" i="133"/>
  <c r="AP54" i="133"/>
  <c r="AO54" i="133"/>
  <c r="AN54" i="133"/>
  <c r="AM54" i="133"/>
  <c r="AL54" i="133"/>
  <c r="AK54" i="133"/>
  <c r="AJ54" i="133"/>
  <c r="AI54" i="133"/>
  <c r="AH54" i="133"/>
  <c r="AG54" i="133"/>
  <c r="AF54" i="133"/>
  <c r="AE54" i="133"/>
  <c r="AD54" i="133"/>
  <c r="AC54" i="133"/>
  <c r="AB54" i="133"/>
  <c r="AA54" i="133"/>
  <c r="Z54" i="133"/>
  <c r="Y54" i="133"/>
  <c r="X54" i="133"/>
  <c r="W54" i="133"/>
  <c r="V54" i="133"/>
  <c r="U54" i="133"/>
  <c r="T54" i="133"/>
  <c r="S54" i="133"/>
  <c r="R54" i="133"/>
  <c r="Q54" i="133"/>
  <c r="P54" i="133"/>
  <c r="O54" i="133"/>
  <c r="N54" i="133"/>
  <c r="M54" i="133"/>
  <c r="L54" i="133"/>
  <c r="K54" i="133"/>
  <c r="J54" i="133"/>
  <c r="I54" i="133"/>
  <c r="H54" i="133"/>
  <c r="G54" i="133"/>
  <c r="F54" i="133"/>
  <c r="E54" i="133"/>
  <c r="AR53" i="133"/>
  <c r="AC53" i="133"/>
  <c r="U53" i="133"/>
  <c r="P53" i="133"/>
  <c r="O53" i="133"/>
  <c r="M53" i="133"/>
  <c r="AV52" i="133"/>
  <c r="AU52" i="133"/>
  <c r="AT52" i="133"/>
  <c r="AS52" i="133"/>
  <c r="AR52" i="133"/>
  <c r="AQ52" i="133"/>
  <c r="AP52" i="133"/>
  <c r="AO52" i="133"/>
  <c r="AN52" i="133"/>
  <c r="AM52" i="133"/>
  <c r="AL52" i="133"/>
  <c r="AK52" i="133"/>
  <c r="AJ52" i="133"/>
  <c r="AI52" i="133"/>
  <c r="AH52" i="133"/>
  <c r="AG52" i="133"/>
  <c r="AF52" i="133"/>
  <c r="AE52" i="133"/>
  <c r="AD52" i="133"/>
  <c r="AC52" i="133"/>
  <c r="AB52" i="133"/>
  <c r="AA52" i="133"/>
  <c r="Z52" i="133"/>
  <c r="Y52" i="133"/>
  <c r="X52" i="133"/>
  <c r="W52" i="133"/>
  <c r="V52" i="133"/>
  <c r="U52" i="133"/>
  <c r="T52" i="133"/>
  <c r="S52" i="133"/>
  <c r="R52" i="133"/>
  <c r="Q52" i="133"/>
  <c r="P52" i="133"/>
  <c r="O52" i="133"/>
  <c r="N52" i="133"/>
  <c r="M52" i="133"/>
  <c r="L52" i="133"/>
  <c r="K52" i="133"/>
  <c r="J52" i="133"/>
  <c r="I52" i="133"/>
  <c r="H52" i="133"/>
  <c r="G52" i="133"/>
  <c r="F52" i="133"/>
  <c r="E52" i="133"/>
  <c r="S43" i="133"/>
  <c r="AV41" i="133"/>
  <c r="AU41" i="133"/>
  <c r="AT41" i="133"/>
  <c r="AS41" i="133"/>
  <c r="AR41" i="133"/>
  <c r="AQ41" i="133"/>
  <c r="AP41" i="133"/>
  <c r="AO41" i="133"/>
  <c r="AN41" i="133"/>
  <c r="AM41" i="133"/>
  <c r="AL41" i="133"/>
  <c r="AK41" i="133"/>
  <c r="AJ41" i="133"/>
  <c r="AI41" i="133"/>
  <c r="AH41" i="133"/>
  <c r="AG41" i="133"/>
  <c r="AF41" i="133"/>
  <c r="AE41" i="133"/>
  <c r="AD41" i="133"/>
  <c r="AC41" i="133"/>
  <c r="AB41" i="133"/>
  <c r="AA41" i="133"/>
  <c r="Z41" i="133"/>
  <c r="Y41" i="133"/>
  <c r="X41" i="133"/>
  <c r="W41" i="133"/>
  <c r="V41" i="133"/>
  <c r="U41" i="133"/>
  <c r="T41" i="133"/>
  <c r="S41" i="133"/>
  <c r="R41" i="133"/>
  <c r="Q41" i="133"/>
  <c r="P41" i="133"/>
  <c r="O41" i="133"/>
  <c r="N41" i="133"/>
  <c r="M41" i="133"/>
  <c r="L41" i="133"/>
  <c r="K41" i="133"/>
  <c r="J41" i="133"/>
  <c r="I41" i="133"/>
  <c r="H41" i="133"/>
  <c r="G41" i="133"/>
  <c r="F41" i="133"/>
  <c r="E41" i="133"/>
  <c r="AG38" i="133"/>
  <c r="AC38" i="133"/>
  <c r="AB38" i="133"/>
  <c r="AA38" i="133"/>
  <c r="AV34" i="133"/>
  <c r="AU34" i="133"/>
  <c r="AT34" i="133"/>
  <c r="AS34" i="133"/>
  <c r="AR34" i="133"/>
  <c r="AQ34" i="133"/>
  <c r="AP34" i="133"/>
  <c r="AO34" i="133"/>
  <c r="AN34" i="133"/>
  <c r="AM34" i="133"/>
  <c r="AL34" i="133"/>
  <c r="AK34" i="133"/>
  <c r="AJ34" i="133"/>
  <c r="AI34" i="133"/>
  <c r="AH34" i="133"/>
  <c r="AG34" i="133"/>
  <c r="AF34" i="133"/>
  <c r="AE34" i="133"/>
  <c r="AD34" i="133"/>
  <c r="AC34" i="133"/>
  <c r="AB34" i="133"/>
  <c r="AA34" i="133"/>
  <c r="Z34" i="133"/>
  <c r="Q33" i="133"/>
  <c r="P33" i="133"/>
  <c r="O33" i="133"/>
  <c r="N33" i="133"/>
  <c r="M33" i="133"/>
  <c r="L33" i="133"/>
  <c r="AG32" i="133"/>
  <c r="AC32" i="133"/>
  <c r="AB32" i="133"/>
  <c r="AA32" i="133"/>
  <c r="AC31" i="133"/>
  <c r="AH30" i="133"/>
  <c r="AI30" i="133" s="1"/>
  <c r="Z30" i="133"/>
  <c r="Z32" i="133" s="1"/>
  <c r="AV27" i="133"/>
  <c r="AU27" i="133"/>
  <c r="AT27" i="133"/>
  <c r="AS27" i="133"/>
  <c r="AR27" i="133"/>
  <c r="AQ27" i="133"/>
  <c r="AP27" i="133"/>
  <c r="AO27" i="133"/>
  <c r="AN27" i="133"/>
  <c r="AM27" i="133"/>
  <c r="AL27" i="133"/>
  <c r="AK27" i="133"/>
  <c r="AJ27" i="133"/>
  <c r="AI27" i="133"/>
  <c r="AH27" i="133"/>
  <c r="AG27" i="133"/>
  <c r="AF27" i="133"/>
  <c r="AE27" i="133"/>
  <c r="AD27" i="133"/>
  <c r="AC27" i="133"/>
  <c r="AB27" i="133"/>
  <c r="AA27" i="133"/>
  <c r="Z27" i="133"/>
  <c r="Q26" i="133"/>
  <c r="P26" i="133"/>
  <c r="O26" i="133"/>
  <c r="N26" i="133"/>
  <c r="M26" i="133"/>
  <c r="L26" i="133"/>
  <c r="AG25" i="133"/>
  <c r="AF25" i="133"/>
  <c r="AC25" i="133"/>
  <c r="AB25" i="133"/>
  <c r="AA25" i="133"/>
  <c r="Y25" i="133"/>
  <c r="X25" i="133"/>
  <c r="W25" i="133"/>
  <c r="V25" i="133"/>
  <c r="U25" i="133"/>
  <c r="T25" i="133"/>
  <c r="Q25" i="133"/>
  <c r="P25" i="133"/>
  <c r="O25" i="133"/>
  <c r="N25" i="133"/>
  <c r="M25" i="133"/>
  <c r="L25" i="133"/>
  <c r="K25" i="133"/>
  <c r="J25" i="133"/>
  <c r="I25" i="133"/>
  <c r="H25" i="133"/>
  <c r="G25" i="133"/>
  <c r="F25" i="133"/>
  <c r="E25" i="133"/>
  <c r="S23" i="133"/>
  <c r="S25" i="133" s="1"/>
  <c r="R23" i="133"/>
  <c r="R25" i="133" s="1"/>
  <c r="AV21" i="133"/>
  <c r="AU21" i="133"/>
  <c r="AT21" i="133"/>
  <c r="AS21" i="133"/>
  <c r="AR21" i="133"/>
  <c r="AQ21" i="133"/>
  <c r="AP21" i="133"/>
  <c r="AO21" i="133"/>
  <c r="AN21" i="133"/>
  <c r="AM21" i="133"/>
  <c r="AL21" i="133"/>
  <c r="AK21" i="133"/>
  <c r="AJ21" i="133"/>
  <c r="AI21" i="133"/>
  <c r="AH21" i="133"/>
  <c r="AG21" i="133"/>
  <c r="AF21" i="133"/>
  <c r="AE21" i="133"/>
  <c r="AD21" i="133"/>
  <c r="AC21" i="133"/>
  <c r="AB21" i="133"/>
  <c r="AA21" i="133"/>
  <c r="Z21" i="133"/>
  <c r="Y21" i="133"/>
  <c r="Q20" i="133"/>
  <c r="P20" i="133"/>
  <c r="O20" i="133"/>
  <c r="N20" i="133"/>
  <c r="M20" i="133"/>
  <c r="L20" i="133"/>
  <c r="AV19" i="133"/>
  <c r="AR19" i="133"/>
  <c r="AL19" i="133"/>
  <c r="AH19" i="133"/>
  <c r="AE19" i="133"/>
  <c r="AC19" i="133"/>
  <c r="AA19" i="133"/>
  <c r="Y19" i="133"/>
  <c r="X19" i="133"/>
  <c r="W19" i="133"/>
  <c r="U19" i="133"/>
  <c r="T19" i="133"/>
  <c r="S19" i="133"/>
  <c r="R19" i="133"/>
  <c r="AG18" i="133"/>
  <c r="AF18" i="133"/>
  <c r="AE18" i="133"/>
  <c r="AD18" i="133"/>
  <c r="AC18" i="133"/>
  <c r="AB18" i="133"/>
  <c r="AA18" i="133"/>
  <c r="Y18" i="133"/>
  <c r="X18" i="133"/>
  <c r="W18" i="133"/>
  <c r="V18" i="133"/>
  <c r="U18" i="133"/>
  <c r="T18" i="133"/>
  <c r="S18" i="133"/>
  <c r="R18" i="133"/>
  <c r="Q18" i="133"/>
  <c r="P18" i="133"/>
  <c r="O18" i="133"/>
  <c r="N18" i="133"/>
  <c r="M18" i="133"/>
  <c r="L18" i="133"/>
  <c r="K18" i="133"/>
  <c r="J18" i="133"/>
  <c r="I18" i="133"/>
  <c r="H18" i="133"/>
  <c r="G18" i="133"/>
  <c r="F18" i="133"/>
  <c r="E18" i="133"/>
  <c r="AC17" i="133"/>
  <c r="AA17" i="133"/>
  <c r="AY17" i="133" s="1"/>
  <c r="AH16" i="133"/>
  <c r="AV13" i="133"/>
  <c r="AU13" i="133"/>
  <c r="AT13" i="133"/>
  <c r="AS13" i="133"/>
  <c r="AR13" i="133"/>
  <c r="AQ13" i="133"/>
  <c r="AP13" i="133"/>
  <c r="AO13" i="133"/>
  <c r="AN13" i="133"/>
  <c r="AM13" i="133"/>
  <c r="AL13" i="133"/>
  <c r="AK13" i="133"/>
  <c r="AJ13" i="133"/>
  <c r="AI13" i="133"/>
  <c r="AH13" i="133"/>
  <c r="AG13" i="133"/>
  <c r="AF13" i="133"/>
  <c r="AE13" i="133"/>
  <c r="AD13" i="133"/>
  <c r="AC13" i="133"/>
  <c r="AB13" i="133"/>
  <c r="AA13" i="133"/>
  <c r="Z13" i="133"/>
  <c r="Y13" i="133"/>
  <c r="Q12" i="133"/>
  <c r="P12" i="133"/>
  <c r="O12" i="133"/>
  <c r="N12" i="133"/>
  <c r="M12" i="133"/>
  <c r="L12" i="133"/>
  <c r="L9" i="133"/>
  <c r="AB8" i="133"/>
  <c r="AB84" i="133" s="1"/>
  <c r="Y8" i="133"/>
  <c r="Y92" i="133" s="1"/>
  <c r="W8" i="133"/>
  <c r="S8" i="133"/>
  <c r="R8" i="133"/>
  <c r="L8" i="133"/>
  <c r="L84" i="133" s="1"/>
  <c r="H8" i="133"/>
  <c r="AG7" i="133"/>
  <c r="AF7" i="133"/>
  <c r="AE7" i="133"/>
  <c r="AD7" i="133"/>
  <c r="AC7" i="133"/>
  <c r="AB7" i="133"/>
  <c r="AA7" i="133"/>
  <c r="Z7" i="133"/>
  <c r="Y7" i="133"/>
  <c r="X7" i="133"/>
  <c r="W7" i="133"/>
  <c r="V7" i="133"/>
  <c r="U7" i="133"/>
  <c r="T7" i="133"/>
  <c r="S7" i="133"/>
  <c r="R7" i="133"/>
  <c r="Q7" i="133"/>
  <c r="P7" i="133"/>
  <c r="O7" i="133"/>
  <c r="N7" i="133"/>
  <c r="M7" i="133"/>
  <c r="L7" i="133"/>
  <c r="K7" i="133"/>
  <c r="J7" i="133"/>
  <c r="I7" i="133"/>
  <c r="H7" i="133"/>
  <c r="G7" i="133"/>
  <c r="F7" i="133"/>
  <c r="E7" i="133"/>
  <c r="AG2" i="133"/>
  <c r="AF2" i="133"/>
  <c r="AE2" i="133"/>
  <c r="AD2" i="133"/>
  <c r="AC2" i="133"/>
  <c r="AB2" i="133"/>
  <c r="AA2" i="133"/>
  <c r="Z2" i="133"/>
  <c r="Y2" i="133"/>
  <c r="X2" i="133"/>
  <c r="W2" i="133"/>
  <c r="V2" i="133"/>
  <c r="U2" i="133"/>
  <c r="T2" i="133"/>
  <c r="S2" i="133"/>
  <c r="R2" i="133"/>
  <c r="Q2" i="133"/>
  <c r="P2" i="133"/>
  <c r="O2" i="133"/>
  <c r="N2" i="133"/>
  <c r="M2" i="133"/>
  <c r="L2" i="133"/>
  <c r="C1" i="133"/>
  <c r="AC32" i="134" l="1"/>
  <c r="AB34" i="134"/>
  <c r="AB40" i="134" s="1"/>
  <c r="AB41" i="134" s="1"/>
  <c r="X92" i="133"/>
  <c r="X90" i="133"/>
  <c r="AE81" i="133"/>
  <c r="AE80" i="133" s="1"/>
  <c r="AE83" i="133" s="1"/>
  <c r="AG19" i="133"/>
  <c r="AU81" i="133"/>
  <c r="AU80" i="133" s="1"/>
  <c r="AU83" i="133" s="1"/>
  <c r="Z85" i="133"/>
  <c r="Z88" i="133" s="1"/>
  <c r="AM53" i="133"/>
  <c r="AV53" i="133"/>
  <c r="AJ53" i="133"/>
  <c r="AH24" i="133"/>
  <c r="AI24" i="133" s="1"/>
  <c r="AI25" i="133" s="1"/>
  <c r="AL53" i="133"/>
  <c r="AF53" i="133"/>
  <c r="AK19" i="133"/>
  <c r="X183" i="133"/>
  <c r="AY182" i="133"/>
  <c r="AD53" i="133"/>
  <c r="U77" i="133"/>
  <c r="Y77" i="133"/>
  <c r="AL77" i="133"/>
  <c r="AP77" i="133"/>
  <c r="AT77" i="133"/>
  <c r="O77" i="133"/>
  <c r="AJ90" i="133"/>
  <c r="AH53" i="133"/>
  <c r="AI19" i="133"/>
  <c r="AI16" i="133"/>
  <c r="AI18" i="133" s="1"/>
  <c r="AD37" i="133"/>
  <c r="AD38" i="133" s="1"/>
  <c r="I169" i="133"/>
  <c r="I168" i="133" s="1"/>
  <c r="X168" i="133"/>
  <c r="BD105" i="133"/>
  <c r="AS105" i="133" s="1"/>
  <c r="AY108" i="133"/>
  <c r="BB110" i="133"/>
  <c r="M168" i="133"/>
  <c r="T169" i="133"/>
  <c r="T53" i="133"/>
  <c r="AG85" i="133"/>
  <c r="P188" i="133"/>
  <c r="V92" i="133"/>
  <c r="AD172" i="133"/>
  <c r="AE183" i="133"/>
  <c r="S143" i="133"/>
  <c r="S93" i="133" s="1"/>
  <c r="E168" i="133"/>
  <c r="AR97" i="133"/>
  <c r="AU53" i="133"/>
  <c r="AH78" i="133"/>
  <c r="AH81" i="133" s="1"/>
  <c r="AM93" i="133"/>
  <c r="R53" i="133"/>
  <c r="X53" i="133"/>
  <c r="N77" i="133"/>
  <c r="R77" i="133"/>
  <c r="AD78" i="133"/>
  <c r="AK87" i="133"/>
  <c r="T93" i="133"/>
  <c r="AO93" i="133"/>
  <c r="AL97" i="133"/>
  <c r="AH173" i="133"/>
  <c r="AD24" i="133"/>
  <c r="AD30" i="133"/>
  <c r="W53" i="133"/>
  <c r="AT79" i="133"/>
  <c r="AT82" i="133" s="1"/>
  <c r="AS85" i="133"/>
  <c r="V90" i="133"/>
  <c r="Z19" i="133"/>
  <c r="AU19" i="133"/>
  <c r="AC77" i="133"/>
  <c r="AK77" i="133"/>
  <c r="AO77" i="133"/>
  <c r="AS77" i="133"/>
  <c r="AE77" i="133"/>
  <c r="AN81" i="133"/>
  <c r="AL87" i="133"/>
  <c r="X93" i="133"/>
  <c r="AS93" i="133"/>
  <c r="BB105" i="133"/>
  <c r="AH18" i="133"/>
  <c r="M65" i="133"/>
  <c r="AN69" i="133"/>
  <c r="AD86" i="133"/>
  <c r="AD89" i="133" s="1"/>
  <c r="Z103" i="133"/>
  <c r="Z53" i="133" s="1"/>
  <c r="Z16" i="133"/>
  <c r="Z18" i="133" s="1"/>
  <c r="AT110" i="133"/>
  <c r="AT170" i="133" s="1"/>
  <c r="AS110" i="133"/>
  <c r="AP110" i="133"/>
  <c r="AP170" i="133" s="1"/>
  <c r="AF178" i="133"/>
  <c r="AF173" i="133"/>
  <c r="AF171" i="133"/>
  <c r="AF213" i="133" s="1"/>
  <c r="AF84" i="133"/>
  <c r="AF85" i="133" s="1"/>
  <c r="AF78" i="133"/>
  <c r="AG90" i="133"/>
  <c r="AG92" i="133"/>
  <c r="AH181" i="133"/>
  <c r="AH37" i="133"/>
  <c r="AH6" i="133"/>
  <c r="AH80" i="133"/>
  <c r="AH83" i="133" s="1"/>
  <c r="AL81" i="133"/>
  <c r="AL80" i="133" s="1"/>
  <c r="AL83" i="133" s="1"/>
  <c r="AL79" i="133"/>
  <c r="AL82" i="133" s="1"/>
  <c r="AP81" i="133"/>
  <c r="AP79" i="133"/>
  <c r="AP82" i="133" s="1"/>
  <c r="AT80" i="133"/>
  <c r="AT83" i="133" s="1"/>
  <c r="AH79" i="133"/>
  <c r="AH82" i="133" s="1"/>
  <c r="AO85" i="133"/>
  <c r="AO87" i="133"/>
  <c r="AC85" i="133"/>
  <c r="AC88" i="133" s="1"/>
  <c r="AG93" i="133"/>
  <c r="AN99" i="133"/>
  <c r="Q169" i="133"/>
  <c r="Q168" i="133" s="1"/>
  <c r="Q53" i="133"/>
  <c r="V169" i="133"/>
  <c r="V53" i="133"/>
  <c r="AF170" i="133"/>
  <c r="AF19" i="133"/>
  <c r="AF174" i="133"/>
  <c r="AY113" i="133"/>
  <c r="AI32" i="133"/>
  <c r="AJ30" i="133"/>
  <c r="AJ16" i="133"/>
  <c r="AJ18" i="133" s="1"/>
  <c r="AD25" i="133"/>
  <c r="AE24" i="133"/>
  <c r="AE25" i="133" s="1"/>
  <c r="F77" i="133"/>
  <c r="J77" i="133"/>
  <c r="L77" i="133"/>
  <c r="AI79" i="133"/>
  <c r="AI82" i="133" s="1"/>
  <c r="AI81" i="133"/>
  <c r="AQ79" i="133"/>
  <c r="AQ82" i="133" s="1"/>
  <c r="AQ81" i="133"/>
  <c r="AM81" i="133"/>
  <c r="AM80" i="133" s="1"/>
  <c r="AM83" i="133" s="1"/>
  <c r="AH85" i="133"/>
  <c r="AH88" i="133" s="1"/>
  <c r="AH87" i="133"/>
  <c r="AP85" i="133"/>
  <c r="AP88" i="133" s="1"/>
  <c r="AP87" i="133"/>
  <c r="AT88" i="133"/>
  <c r="AT86" i="133"/>
  <c r="AT89" i="133" s="1"/>
  <c r="AD87" i="133"/>
  <c r="AT87" i="133"/>
  <c r="AB170" i="133"/>
  <c r="AB53" i="133"/>
  <c r="AB19" i="133"/>
  <c r="AE37" i="133"/>
  <c r="AA56" i="133"/>
  <c r="AA69" i="133" s="1"/>
  <c r="AJ69" i="133"/>
  <c r="AG77" i="133"/>
  <c r="AI77" i="133"/>
  <c r="AM77" i="133"/>
  <c r="AQ77" i="133"/>
  <c r="AU77" i="133"/>
  <c r="X77" i="133"/>
  <c r="AN77" i="133"/>
  <c r="H77" i="133"/>
  <c r="Z81" i="133"/>
  <c r="Z79" i="133"/>
  <c r="Z82" i="133" s="1"/>
  <c r="AY105" i="133"/>
  <c r="AQ105" i="133"/>
  <c r="AQ169" i="133" s="1"/>
  <c r="AP105" i="133"/>
  <c r="AO105" i="133"/>
  <c r="AT105" i="133"/>
  <c r="AJ19" i="133"/>
  <c r="AN19" i="133"/>
  <c r="AN97" i="133"/>
  <c r="O90" i="133"/>
  <c r="O92" i="133"/>
  <c r="AB190" i="133"/>
  <c r="AB173" i="133"/>
  <c r="AJ190" i="133"/>
  <c r="AJ92" i="133"/>
  <c r="AN190" i="133"/>
  <c r="AN92" i="133"/>
  <c r="AN173" i="133"/>
  <c r="AR173" i="133"/>
  <c r="AR92" i="133"/>
  <c r="AV173" i="133"/>
  <c r="AV171" i="133"/>
  <c r="AV213" i="133" s="1"/>
  <c r="AV92" i="133"/>
  <c r="Q193" i="133"/>
  <c r="Q93" i="133"/>
  <c r="U193" i="133"/>
  <c r="U93" i="133"/>
  <c r="AL193" i="133"/>
  <c r="AL93" i="133"/>
  <c r="AP193" i="133"/>
  <c r="AP93" i="133"/>
  <c r="AM92" i="133"/>
  <c r="AQ92" i="133"/>
  <c r="AU92" i="133"/>
  <c r="AK93" i="133"/>
  <c r="AU93" i="133"/>
  <c r="AG103" i="133"/>
  <c r="AG53" i="133" s="1"/>
  <c r="AY109" i="133"/>
  <c r="AH170" i="133"/>
  <c r="AN170" i="133"/>
  <c r="BD110" i="133"/>
  <c r="AS111" i="133" s="1"/>
  <c r="AS208" i="133" s="1"/>
  <c r="P171" i="133"/>
  <c r="P177" i="133"/>
  <c r="AY184" i="133"/>
  <c r="AY186" i="133"/>
  <c r="W77" i="133"/>
  <c r="AB77" i="133"/>
  <c r="AF77" i="133"/>
  <c r="AJ77" i="133"/>
  <c r="AR77" i="133"/>
  <c r="AV77" i="133"/>
  <c r="T77" i="133"/>
  <c r="E77" i="133"/>
  <c r="I77" i="133"/>
  <c r="Q77" i="133"/>
  <c r="G77" i="133"/>
  <c r="K77" i="133"/>
  <c r="P77" i="133"/>
  <c r="AA81" i="133"/>
  <c r="AA80" i="133" s="1"/>
  <c r="AA83" i="133" s="1"/>
  <c r="AJ81" i="133"/>
  <c r="AR81" i="133"/>
  <c r="AR80" i="133" s="1"/>
  <c r="AR83" i="133" s="1"/>
  <c r="Z87" i="133"/>
  <c r="AM90" i="133"/>
  <c r="AQ90" i="133"/>
  <c r="AU90" i="133"/>
  <c r="AB93" i="133"/>
  <c r="AQ93" i="133"/>
  <c r="AM99" i="133"/>
  <c r="AQ99" i="133"/>
  <c r="T168" i="133"/>
  <c r="E188" i="133"/>
  <c r="W168" i="133"/>
  <c r="T188" i="133"/>
  <c r="I188" i="133"/>
  <c r="AA170" i="133"/>
  <c r="AI170" i="133"/>
  <c r="AV177" i="133"/>
  <c r="P169" i="133"/>
  <c r="P168" i="133" s="1"/>
  <c r="P189" i="133" s="1"/>
  <c r="AY106" i="133"/>
  <c r="AI208" i="133"/>
  <c r="AR168" i="133"/>
  <c r="AR194" i="133" s="1"/>
  <c r="X172" i="133"/>
  <c r="AY185" i="133"/>
  <c r="AY187" i="133"/>
  <c r="X188" i="133"/>
  <c r="AB87" i="133"/>
  <c r="AB85" i="133"/>
  <c r="AV80" i="133"/>
  <c r="AV83" i="133" s="1"/>
  <c r="AI86" i="133"/>
  <c r="AI89" i="133" s="1"/>
  <c r="AI88" i="133"/>
  <c r="AC81" i="133"/>
  <c r="AC79" i="133"/>
  <c r="AC82" i="133" s="1"/>
  <c r="AG81" i="133"/>
  <c r="AG79" i="133"/>
  <c r="AG82" i="133" s="1"/>
  <c r="AK81" i="133"/>
  <c r="AK79" i="133"/>
  <c r="AK82" i="133" s="1"/>
  <c r="AO81" i="133"/>
  <c r="AO79" i="133"/>
  <c r="AO82" i="133" s="1"/>
  <c r="AS81" i="133"/>
  <c r="AS79" i="133"/>
  <c r="AS82" i="133" s="1"/>
  <c r="AF87" i="133"/>
  <c r="AJ87" i="133"/>
  <c r="AJ85" i="133"/>
  <c r="AN87" i="133"/>
  <c r="AN85" i="133"/>
  <c r="AR87" i="133"/>
  <c r="AR85" i="133"/>
  <c r="AV87" i="133"/>
  <c r="AV85" i="133"/>
  <c r="AO88" i="133"/>
  <c r="AO86" i="133"/>
  <c r="AO89" i="133" s="1"/>
  <c r="AH86" i="133"/>
  <c r="AH89" i="133" s="1"/>
  <c r="Z161" i="133"/>
  <c r="Z177" i="133" s="1"/>
  <c r="Z74" i="133"/>
  <c r="AN80" i="133"/>
  <c r="AN83" i="133" s="1"/>
  <c r="AA86" i="133"/>
  <c r="AA89" i="133" s="1"/>
  <c r="AA88" i="133"/>
  <c r="AQ88" i="133"/>
  <c r="AQ86" i="133"/>
  <c r="AQ89" i="133" s="1"/>
  <c r="AB92" i="133"/>
  <c r="AB90" i="133"/>
  <c r="AB78" i="133"/>
  <c r="AB81" i="133" s="1"/>
  <c r="S90" i="133"/>
  <c r="S92" i="133"/>
  <c r="S84" i="133"/>
  <c r="AY8" i="133"/>
  <c r="AJ24" i="133"/>
  <c r="Z65" i="133"/>
  <c r="AR69" i="133"/>
  <c r="AP80" i="133"/>
  <c r="AP83" i="133" s="1"/>
  <c r="AJ80" i="133"/>
  <c r="AJ83" i="133" s="1"/>
  <c r="AS88" i="133"/>
  <c r="AS86" i="133"/>
  <c r="AS89" i="133" s="1"/>
  <c r="AL86" i="133"/>
  <c r="AL89" i="133" s="1"/>
  <c r="AH192" i="133"/>
  <c r="AH206" i="133"/>
  <c r="AH75" i="133"/>
  <c r="AE86" i="133"/>
  <c r="AE89" i="133" s="1"/>
  <c r="AE88" i="133"/>
  <c r="AM86" i="133"/>
  <c r="AM89" i="133" s="1"/>
  <c r="AM88" i="133"/>
  <c r="AU88" i="133"/>
  <c r="AU86" i="133"/>
  <c r="AU89" i="133" s="1"/>
  <c r="AK88" i="133"/>
  <c r="AK86" i="133"/>
  <c r="AK89" i="133" s="1"/>
  <c r="R90" i="133"/>
  <c r="R92" i="133"/>
  <c r="R84" i="133"/>
  <c r="AK16" i="133"/>
  <c r="W90" i="133"/>
  <c r="W92" i="133"/>
  <c r="W84" i="133"/>
  <c r="S65" i="133"/>
  <c r="S72" i="133"/>
  <c r="S77" i="133" s="1"/>
  <c r="S56" i="133"/>
  <c r="S69" i="133" s="1"/>
  <c r="AF69" i="133"/>
  <c r="AV69" i="133"/>
  <c r="AG88" i="133"/>
  <c r="AG86" i="133"/>
  <c r="AG89" i="133" s="1"/>
  <c r="Z86" i="133"/>
  <c r="Z89" i="133" s="1"/>
  <c r="AP86" i="133"/>
  <c r="AP89" i="133" s="1"/>
  <c r="V161" i="133"/>
  <c r="V177" i="133" s="1"/>
  <c r="AH177" i="133"/>
  <c r="AH205" i="133"/>
  <c r="AD166" i="133"/>
  <c r="AD93" i="133" s="1"/>
  <c r="AD207" i="133"/>
  <c r="AE69" i="133"/>
  <c r="AI69" i="133"/>
  <c r="AM69" i="133"/>
  <c r="AQ69" i="133"/>
  <c r="AU69" i="133"/>
  <c r="Y90" i="133"/>
  <c r="M92" i="133"/>
  <c r="H188" i="133"/>
  <c r="H169" i="133"/>
  <c r="H168" i="133" s="1"/>
  <c r="BB111" i="133"/>
  <c r="AA190" i="133"/>
  <c r="AA173" i="133"/>
  <c r="AI190" i="133"/>
  <c r="AI173" i="133"/>
  <c r="AI171" i="133"/>
  <c r="AI213" i="133" s="1"/>
  <c r="AI179" i="133"/>
  <c r="AI180" i="133" s="1"/>
  <c r="AI195" i="133" s="1"/>
  <c r="AA191" i="133"/>
  <c r="AA177" i="133"/>
  <c r="AA179" i="133"/>
  <c r="AA180" i="133" s="1"/>
  <c r="AA195" i="133" s="1"/>
  <c r="AA90" i="133"/>
  <c r="AI90" i="133"/>
  <c r="AE92" i="133"/>
  <c r="AI93" i="133"/>
  <c r="Y188" i="133"/>
  <c r="Y103" i="133"/>
  <c r="AH169" i="133"/>
  <c r="AP188" i="133"/>
  <c r="AP169" i="133"/>
  <c r="AP168" i="133" s="1"/>
  <c r="AP194" i="133" s="1"/>
  <c r="AE169" i="133"/>
  <c r="AE168" i="133" s="1"/>
  <c r="AE103" i="133"/>
  <c r="AE53" i="133" s="1"/>
  <c r="BB106" i="133"/>
  <c r="AI103" i="133"/>
  <c r="BB107" i="133"/>
  <c r="AI97" i="133"/>
  <c r="AM188" i="133"/>
  <c r="AM169" i="133"/>
  <c r="AM97" i="133"/>
  <c r="AV188" i="133"/>
  <c r="AV169" i="133"/>
  <c r="AB188" i="133"/>
  <c r="AB169" i="133"/>
  <c r="AB168" i="133" s="1"/>
  <c r="O190" i="133"/>
  <c r="O173" i="133"/>
  <c r="O179" i="133"/>
  <c r="S190" i="133"/>
  <c r="S173" i="133"/>
  <c r="S171" i="133"/>
  <c r="S179" i="133"/>
  <c r="S180" i="133" s="1"/>
  <c r="W190" i="133"/>
  <c r="W173" i="133"/>
  <c r="W179" i="133"/>
  <c r="W180" i="133" s="1"/>
  <c r="W195" i="133" s="1"/>
  <c r="AF177" i="133"/>
  <c r="AH25" i="133"/>
  <c r="AH32" i="133"/>
  <c r="M179" i="133"/>
  <c r="M173" i="133"/>
  <c r="AD161" i="133"/>
  <c r="AD179" i="133" s="1"/>
  <c r="AD180" i="133" s="1"/>
  <c r="AD195" i="133" s="1"/>
  <c r="AD205" i="133"/>
  <c r="V65" i="133"/>
  <c r="AD65" i="133"/>
  <c r="AH65" i="133"/>
  <c r="AG69" i="133"/>
  <c r="AK69" i="133"/>
  <c r="AO69" i="133"/>
  <c r="AS69" i="133"/>
  <c r="AA72" i="133"/>
  <c r="AA77" i="133" s="1"/>
  <c r="M73" i="133"/>
  <c r="M77" i="133" s="1"/>
  <c r="Y84" i="133"/>
  <c r="Y87" i="133" s="1"/>
  <c r="AA87" i="133"/>
  <c r="AE87" i="133"/>
  <c r="AI87" i="133"/>
  <c r="AM87" i="133"/>
  <c r="AQ87" i="133"/>
  <c r="AU87" i="133"/>
  <c r="M90" i="133"/>
  <c r="AS169" i="133"/>
  <c r="AS103" i="133"/>
  <c r="BA107" i="133"/>
  <c r="V188" i="133"/>
  <c r="V170" i="133"/>
  <c r="V168" i="133" s="1"/>
  <c r="AJ170" i="133"/>
  <c r="AY111" i="133"/>
  <c r="AH208" i="133"/>
  <c r="AL208" i="133"/>
  <c r="AL170" i="133"/>
  <c r="AU170" i="133"/>
  <c r="AU208" i="133"/>
  <c r="AU99" i="133"/>
  <c r="AY112" i="133"/>
  <c r="BB122" i="133"/>
  <c r="BB124" i="133"/>
  <c r="BB123" i="133"/>
  <c r="BC123" i="133" s="1"/>
  <c r="M178" i="133"/>
  <c r="M172" i="133"/>
  <c r="M171" i="133"/>
  <c r="M188" i="133"/>
  <c r="M189" i="133" s="1"/>
  <c r="M183" i="133"/>
  <c r="AA183" i="133"/>
  <c r="AA178" i="133"/>
  <c r="AA172" i="133"/>
  <c r="AA171" i="133"/>
  <c r="K190" i="133"/>
  <c r="K188" i="133"/>
  <c r="K173" i="133"/>
  <c r="K171" i="133"/>
  <c r="L92" i="133"/>
  <c r="L90" i="133"/>
  <c r="AY59" i="133"/>
  <c r="Z143" i="133"/>
  <c r="Z188" i="133" s="1"/>
  <c r="AE205" i="133"/>
  <c r="AE161" i="133"/>
  <c r="AE177" i="133" s="1"/>
  <c r="AE65" i="133"/>
  <c r="AD69" i="133"/>
  <c r="AH69" i="133"/>
  <c r="AL69" i="133"/>
  <c r="AP69" i="133"/>
  <c r="AT69" i="133"/>
  <c r="Z73" i="133"/>
  <c r="Z77" i="133" s="1"/>
  <c r="V74" i="133"/>
  <c r="V77" i="133" s="1"/>
  <c r="AD74" i="133"/>
  <c r="AH74" i="133"/>
  <c r="AH77" i="133" s="1"/>
  <c r="AD76" i="133"/>
  <c r="AE90" i="133"/>
  <c r="AA92" i="133"/>
  <c r="AI92" i="133"/>
  <c r="AE93" i="133"/>
  <c r="AC188" i="133"/>
  <c r="AC169" i="133"/>
  <c r="AC168" i="133" s="1"/>
  <c r="AC167" i="133" s="1"/>
  <c r="AC97" i="133"/>
  <c r="AP103" i="133"/>
  <c r="AP53" i="133" s="1"/>
  <c r="AA188" i="133"/>
  <c r="AA169" i="133"/>
  <c r="AA168" i="133" s="1"/>
  <c r="AA103" i="133"/>
  <c r="AA53" i="133" s="1"/>
  <c r="AJ188" i="133"/>
  <c r="S188" i="133"/>
  <c r="S103" i="133"/>
  <c r="S169" i="133" s="1"/>
  <c r="S168" i="133" s="1"/>
  <c r="AY107" i="133"/>
  <c r="AK188" i="133"/>
  <c r="AK169" i="133"/>
  <c r="AK97" i="133"/>
  <c r="G168" i="133"/>
  <c r="AY110" i="133"/>
  <c r="N179" i="133"/>
  <c r="N178" i="133"/>
  <c r="N173" i="133"/>
  <c r="N171" i="133"/>
  <c r="N90" i="133"/>
  <c r="N93" i="133"/>
  <c r="N92" i="133"/>
  <c r="AD178" i="133"/>
  <c r="AD173" i="133"/>
  <c r="AD90" i="133"/>
  <c r="AD92" i="133"/>
  <c r="AH178" i="133"/>
  <c r="AH92" i="133"/>
  <c r="AJ193" i="133"/>
  <c r="AJ93" i="133"/>
  <c r="AN193" i="133"/>
  <c r="AN171" i="133"/>
  <c r="AN213" i="133" s="1"/>
  <c r="AR193" i="133"/>
  <c r="AR93" i="133"/>
  <c r="AV193" i="133"/>
  <c r="AV93" i="133"/>
  <c r="AJ169" i="133"/>
  <c r="K179" i="133"/>
  <c r="X189" i="133"/>
  <c r="M190" i="133"/>
  <c r="AF90" i="133"/>
  <c r="V93" i="133"/>
  <c r="AS99" i="133"/>
  <c r="F169" i="133"/>
  <c r="F168" i="133" s="1"/>
  <c r="F188" i="133"/>
  <c r="G188" i="133"/>
  <c r="Z169" i="133"/>
  <c r="Z168" i="133" s="1"/>
  <c r="AI188" i="133"/>
  <c r="AI169" i="133"/>
  <c r="AI168" i="133" s="1"/>
  <c r="AD169" i="133"/>
  <c r="AD168" i="133" s="1"/>
  <c r="AN188" i="133"/>
  <c r="AK170" i="133"/>
  <c r="AQ110" i="133"/>
  <c r="AQ188" i="133" s="1"/>
  <c r="N170" i="133"/>
  <c r="N168" i="133" s="1"/>
  <c r="N188" i="133"/>
  <c r="AM208" i="133"/>
  <c r="AM170" i="133"/>
  <c r="AE178" i="133"/>
  <c r="AE174" i="133"/>
  <c r="V179" i="133"/>
  <c r="V180" i="133" s="1"/>
  <c r="V195" i="133" s="1"/>
  <c r="V178" i="133"/>
  <c r="V173" i="133"/>
  <c r="V171" i="133"/>
  <c r="AE173" i="133"/>
  <c r="AG172" i="133"/>
  <c r="AY119" i="133"/>
  <c r="BB120" i="133"/>
  <c r="BB118" i="133" s="1"/>
  <c r="BC118" i="133" s="1"/>
  <c r="W183" i="133"/>
  <c r="W178" i="133"/>
  <c r="W172" i="133"/>
  <c r="W171" i="133"/>
  <c r="AH183" i="133"/>
  <c r="O171" i="133"/>
  <c r="L190" i="133"/>
  <c r="L188" i="133"/>
  <c r="L179" i="133"/>
  <c r="P190" i="133"/>
  <c r="P179" i="133"/>
  <c r="T190" i="133"/>
  <c r="T179" i="133"/>
  <c r="T180" i="133" s="1"/>
  <c r="X179" i="133"/>
  <c r="X180" i="133" s="1"/>
  <c r="X195" i="133" s="1"/>
  <c r="W191" i="133"/>
  <c r="W177" i="133"/>
  <c r="AN169" i="133"/>
  <c r="AN168" i="133" s="1"/>
  <c r="AN194" i="133" s="1"/>
  <c r="T171" i="133"/>
  <c r="AJ171" i="133"/>
  <c r="AJ213" i="133" s="1"/>
  <c r="T173" i="133"/>
  <c r="T177" i="133"/>
  <c r="AJ177" i="133"/>
  <c r="X190" i="133"/>
  <c r="Y179" i="133"/>
  <c r="Y178" i="133"/>
  <c r="Y173" i="133"/>
  <c r="Y171" i="133"/>
  <c r="AF179" i="133"/>
  <c r="AF180" i="133" s="1"/>
  <c r="AF195" i="133" s="1"/>
  <c r="I190" i="133"/>
  <c r="I179" i="133"/>
  <c r="I173" i="133"/>
  <c r="I171" i="133"/>
  <c r="Q190" i="133"/>
  <c r="Q188" i="133"/>
  <c r="Q179" i="133"/>
  <c r="Q173" i="133"/>
  <c r="Q171" i="133"/>
  <c r="U190" i="133"/>
  <c r="U188" i="133"/>
  <c r="U189" i="133" s="1"/>
  <c r="U179" i="133"/>
  <c r="U180" i="133" s="1"/>
  <c r="U173" i="133"/>
  <c r="U171" i="133"/>
  <c r="U167" i="133" s="1"/>
  <c r="AC190" i="133"/>
  <c r="AC179" i="133"/>
  <c r="AC180" i="133" s="1"/>
  <c r="AC195" i="133" s="1"/>
  <c r="AC173" i="133"/>
  <c r="AC171" i="133"/>
  <c r="AK179" i="133"/>
  <c r="AK180" i="133" s="1"/>
  <c r="AK195" i="133" s="1"/>
  <c r="AK190" i="133"/>
  <c r="AK173" i="133"/>
  <c r="AK171" i="133"/>
  <c r="AK213" i="133" s="1"/>
  <c r="AO179" i="133"/>
  <c r="AO180" i="133" s="1"/>
  <c r="AO195" i="133" s="1"/>
  <c r="AO190" i="133"/>
  <c r="AO173" i="133"/>
  <c r="AO171" i="133"/>
  <c r="AO213" i="133" s="1"/>
  <c r="AS179" i="133"/>
  <c r="AS180" i="133" s="1"/>
  <c r="AS195" i="133" s="1"/>
  <c r="AS173" i="133"/>
  <c r="AS171" i="133"/>
  <c r="AS213" i="133" s="1"/>
  <c r="K191" i="133"/>
  <c r="K177" i="133"/>
  <c r="R191" i="133"/>
  <c r="R177" i="133"/>
  <c r="AI191" i="133"/>
  <c r="AI177" i="133"/>
  <c r="AM191" i="133"/>
  <c r="AM177" i="133"/>
  <c r="AQ191" i="133"/>
  <c r="AQ177" i="133"/>
  <c r="AU191" i="133"/>
  <c r="AU177" i="133"/>
  <c r="S191" i="133"/>
  <c r="S183" i="133"/>
  <c r="S177" i="133"/>
  <c r="AV170" i="133"/>
  <c r="X171" i="133"/>
  <c r="X173" i="133"/>
  <c r="X177" i="133"/>
  <c r="AN177" i="133"/>
  <c r="X178" i="133"/>
  <c r="AM179" i="133"/>
  <c r="AM180" i="133" s="1"/>
  <c r="AM195" i="133" s="1"/>
  <c r="AF92" i="133"/>
  <c r="AF93" i="133"/>
  <c r="W188" i="133"/>
  <c r="W189" i="133" s="1"/>
  <c r="AG188" i="133"/>
  <c r="AG169" i="133"/>
  <c r="AO169" i="133"/>
  <c r="AT169" i="133"/>
  <c r="AT168" i="133" s="1"/>
  <c r="AT194" i="133" s="1"/>
  <c r="AT188" i="133"/>
  <c r="AF188" i="133"/>
  <c r="AL188" i="133"/>
  <c r="AL169" i="133"/>
  <c r="AL168" i="133" s="1"/>
  <c r="AL194" i="133" s="1"/>
  <c r="AU188" i="133"/>
  <c r="AU169" i="133"/>
  <c r="AU168" i="133" s="1"/>
  <c r="AU194" i="133" s="1"/>
  <c r="O188" i="133"/>
  <c r="O169" i="133"/>
  <c r="O168" i="133" s="1"/>
  <c r="AO110" i="133"/>
  <c r="BA111" i="133"/>
  <c r="AG208" i="133"/>
  <c r="AG170" i="133"/>
  <c r="Z179" i="133"/>
  <c r="Z180" i="133" s="1"/>
  <c r="Z195" i="133" s="1"/>
  <c r="Z178" i="133"/>
  <c r="AG179" i="133"/>
  <c r="AG180" i="133" s="1"/>
  <c r="AG195" i="133" s="1"/>
  <c r="AG178" i="133"/>
  <c r="AG173" i="133"/>
  <c r="AG171" i="133"/>
  <c r="AG213" i="133" s="1"/>
  <c r="AD181" i="133"/>
  <c r="AY181" i="133" s="1"/>
  <c r="Z183" i="133"/>
  <c r="Z172" i="133"/>
  <c r="AF183" i="133"/>
  <c r="AF167" i="133"/>
  <c r="J190" i="133"/>
  <c r="J188" i="133"/>
  <c r="J179" i="133"/>
  <c r="J173" i="133"/>
  <c r="J171" i="133"/>
  <c r="R179" i="133"/>
  <c r="R180" i="133" s="1"/>
  <c r="R190" i="133"/>
  <c r="R188" i="133"/>
  <c r="R189" i="133" s="1"/>
  <c r="R173" i="133"/>
  <c r="R171" i="133"/>
  <c r="AL190" i="133"/>
  <c r="AL179" i="133"/>
  <c r="AL180" i="133" s="1"/>
  <c r="AL195" i="133" s="1"/>
  <c r="AL173" i="133"/>
  <c r="AL171" i="133"/>
  <c r="AL213" i="133" s="1"/>
  <c r="AP190" i="133"/>
  <c r="AP173" i="133"/>
  <c r="AP171" i="133"/>
  <c r="AP213" i="133" s="1"/>
  <c r="AP179" i="133"/>
  <c r="AP180" i="133" s="1"/>
  <c r="AP195" i="133" s="1"/>
  <c r="AT179" i="133"/>
  <c r="AT180" i="133" s="1"/>
  <c r="AT195" i="133" s="1"/>
  <c r="AT173" i="133"/>
  <c r="AT171" i="133"/>
  <c r="AT213" i="133" s="1"/>
  <c r="AT190" i="133"/>
  <c r="AF169" i="133"/>
  <c r="L171" i="133"/>
  <c r="AB171" i="133"/>
  <c r="AR171" i="133"/>
  <c r="AR213" i="133" s="1"/>
  <c r="L173" i="133"/>
  <c r="L177" i="133"/>
  <c r="AB177" i="133"/>
  <c r="AR177" i="133"/>
  <c r="AU179" i="133"/>
  <c r="AU180" i="133" s="1"/>
  <c r="AU195" i="133" s="1"/>
  <c r="AS190" i="133"/>
  <c r="I177" i="133"/>
  <c r="M177" i="133"/>
  <c r="Q177" i="133"/>
  <c r="U177" i="133"/>
  <c r="Y177" i="133"/>
  <c r="AC177" i="133"/>
  <c r="AG177" i="133"/>
  <c r="AK177" i="133"/>
  <c r="AO177" i="133"/>
  <c r="AS177" i="133"/>
  <c r="AB179" i="133"/>
  <c r="AB180" i="133" s="1"/>
  <c r="AB195" i="133" s="1"/>
  <c r="N183" i="133"/>
  <c r="J177" i="133"/>
  <c r="N177" i="133"/>
  <c r="AL177" i="133"/>
  <c r="AP177" i="133"/>
  <c r="AT177" i="133"/>
  <c r="AQ179" i="133"/>
  <c r="AQ180" i="133" s="1"/>
  <c r="AQ195" i="133" s="1"/>
  <c r="AJ179" i="133"/>
  <c r="AJ180" i="133" s="1"/>
  <c r="AJ195" i="133" s="1"/>
  <c r="AN179" i="133"/>
  <c r="AN180" i="133" s="1"/>
  <c r="AN195" i="133" s="1"/>
  <c r="AR190" i="133"/>
  <c r="AR188" i="133"/>
  <c r="AR189" i="133" s="1"/>
  <c r="AR179" i="133"/>
  <c r="AR180" i="133" s="1"/>
  <c r="AR195" i="133" s="1"/>
  <c r="AV179" i="133"/>
  <c r="AV180" i="133" s="1"/>
  <c r="AV195" i="133" s="1"/>
  <c r="AM171" i="133"/>
  <c r="AM213" i="133" s="1"/>
  <c r="AQ171" i="133"/>
  <c r="AQ213" i="133" s="1"/>
  <c r="AU171" i="133"/>
  <c r="AU213" i="133" s="1"/>
  <c r="AM173" i="133"/>
  <c r="AQ173" i="133"/>
  <c r="AU173" i="133"/>
  <c r="O177" i="133"/>
  <c r="C202" i="133"/>
  <c r="C201" i="133"/>
  <c r="C200" i="133"/>
  <c r="C199" i="133"/>
  <c r="AD32" i="134" l="1"/>
  <c r="AC34" i="134"/>
  <c r="AC40" i="134" s="1"/>
  <c r="AC41" i="134" s="1"/>
  <c r="AJ168" i="133"/>
  <c r="AH179" i="133"/>
  <c r="AH180" i="133" s="1"/>
  <c r="AH195" i="133" s="1"/>
  <c r="AB189" i="133"/>
  <c r="AC86" i="133"/>
  <c r="AC89" i="133" s="1"/>
  <c r="AP19" i="133"/>
  <c r="AI189" i="133"/>
  <c r="S189" i="133"/>
  <c r="AA189" i="133"/>
  <c r="AC189" i="133"/>
  <c r="AQ80" i="133"/>
  <c r="AQ83" i="133" s="1"/>
  <c r="AG168" i="133"/>
  <c r="AD81" i="133"/>
  <c r="AD79" i="133"/>
  <c r="AD82" i="133" s="1"/>
  <c r="AH171" i="133"/>
  <c r="AH213" i="133" s="1"/>
  <c r="AS188" i="133"/>
  <c r="AD32" i="133"/>
  <c r="AE30" i="133"/>
  <c r="AH191" i="133"/>
  <c r="AH188" i="133"/>
  <c r="AN189" i="133"/>
  <c r="AY183" i="133"/>
  <c r="AS80" i="133"/>
  <c r="AS83" i="133" s="1"/>
  <c r="AK80" i="133"/>
  <c r="AK83" i="133" s="1"/>
  <c r="AC80" i="133"/>
  <c r="AC83" i="133" s="1"/>
  <c r="T189" i="133"/>
  <c r="AT103" i="133"/>
  <c r="AT53" i="133" s="1"/>
  <c r="AT19" i="133"/>
  <c r="AH7" i="133"/>
  <c r="AH2" i="133"/>
  <c r="AS170" i="133"/>
  <c r="AS168" i="133" s="1"/>
  <c r="AS19" i="133"/>
  <c r="BA110" i="133"/>
  <c r="AU189" i="133"/>
  <c r="AT189" i="133"/>
  <c r="Z189" i="133"/>
  <c r="AQ103" i="133"/>
  <c r="AQ53" i="133" s="1"/>
  <c r="AS53" i="133"/>
  <c r="AH168" i="133"/>
  <c r="BA105" i="133"/>
  <c r="AO103" i="133"/>
  <c r="AO53" i="133" s="1"/>
  <c r="AE38" i="133"/>
  <c r="AF37" i="133"/>
  <c r="AF38" i="133" s="1"/>
  <c r="AI37" i="133"/>
  <c r="AH38" i="133"/>
  <c r="AF79" i="133"/>
  <c r="AF82" i="133" s="1"/>
  <c r="AF81" i="133"/>
  <c r="AF80" i="133" s="1"/>
  <c r="AF83" i="133" s="1"/>
  <c r="AK168" i="133"/>
  <c r="AK194" i="133" s="1"/>
  <c r="AF168" i="133"/>
  <c r="AF189" i="133" s="1"/>
  <c r="Q189" i="133"/>
  <c r="AD77" i="133"/>
  <c r="AM168" i="133"/>
  <c r="AM194" i="133" s="1"/>
  <c r="Z80" i="133"/>
  <c r="Z83" i="133" s="1"/>
  <c r="AI80" i="133"/>
  <c r="AI83" i="133" s="1"/>
  <c r="AK30" i="133"/>
  <c r="AJ32" i="133"/>
  <c r="AI53" i="133"/>
  <c r="AI6" i="133"/>
  <c r="AK24" i="133"/>
  <c r="AJ25" i="133"/>
  <c r="AG189" i="133"/>
  <c r="Y180" i="133"/>
  <c r="AE171" i="133"/>
  <c r="AD171" i="133"/>
  <c r="AJ189" i="133"/>
  <c r="Z190" i="133"/>
  <c r="BB117" i="133"/>
  <c r="BC117" i="133" s="1"/>
  <c r="AV168" i="133"/>
  <c r="AV194" i="133" s="1"/>
  <c r="Y169" i="133"/>
  <c r="Y168" i="133" s="1"/>
  <c r="Y53" i="133"/>
  <c r="AD193" i="133"/>
  <c r="Z191" i="133"/>
  <c r="AV88" i="133"/>
  <c r="AV86" i="133"/>
  <c r="AV89" i="133" s="1"/>
  <c r="AN86" i="133"/>
  <c r="AN89" i="133" s="1"/>
  <c r="AN88" i="133"/>
  <c r="AF86" i="133"/>
  <c r="AF89" i="133" s="1"/>
  <c r="AF88" i="133"/>
  <c r="AY178" i="133"/>
  <c r="BA69" i="133"/>
  <c r="BB126" i="133"/>
  <c r="BC122" i="133"/>
  <c r="Z173" i="133"/>
  <c r="O189" i="133"/>
  <c r="AL189" i="133"/>
  <c r="AQ170" i="133"/>
  <c r="AQ168" i="133" s="1"/>
  <c r="AQ19" i="133"/>
  <c r="AD188" i="133"/>
  <c r="AD189" i="133" s="1"/>
  <c r="BB116" i="133"/>
  <c r="BC116" i="133" s="1"/>
  <c r="AE191" i="133"/>
  <c r="AD177" i="133"/>
  <c r="AP189" i="133"/>
  <c r="V191" i="133"/>
  <c r="AL16" i="133"/>
  <c r="AK18" i="133"/>
  <c r="AB79" i="133"/>
  <c r="AB82" i="133" s="1"/>
  <c r="AB80" i="133" s="1"/>
  <c r="AB83" i="133" s="1"/>
  <c r="AO80" i="133"/>
  <c r="AO83" i="133" s="1"/>
  <c r="AG80" i="133"/>
  <c r="AG83" i="133" s="1"/>
  <c r="AB86" i="133"/>
  <c r="AB89" i="133" s="1"/>
  <c r="AB88" i="133"/>
  <c r="AO170" i="133"/>
  <c r="AO168" i="133" s="1"/>
  <c r="AO194" i="133" s="1"/>
  <c r="AO19" i="133"/>
  <c r="Z93" i="133"/>
  <c r="Z92" i="133"/>
  <c r="Z24" i="133"/>
  <c r="Z25" i="133" s="1"/>
  <c r="Z37" i="133"/>
  <c r="Z38" i="133" s="1"/>
  <c r="V189" i="133"/>
  <c r="AE188" i="133"/>
  <c r="AE189" i="133" s="1"/>
  <c r="Z171" i="133"/>
  <c r="AO188" i="133"/>
  <c r="AE179" i="133"/>
  <c r="AE180" i="133" s="1"/>
  <c r="AE195" i="133" s="1"/>
  <c r="N189" i="133"/>
  <c r="Z90" i="133"/>
  <c r="BD124" i="133"/>
  <c r="BC124" i="133"/>
  <c r="AD191" i="133"/>
  <c r="S53" i="133"/>
  <c r="AR86" i="133"/>
  <c r="AR89" i="133" s="1"/>
  <c r="AR88" i="133"/>
  <c r="AJ86" i="133"/>
  <c r="AJ89" i="133" s="1"/>
  <c r="AJ88" i="133"/>
  <c r="AE32" i="134" l="1"/>
  <c r="AD34" i="134"/>
  <c r="AD40" i="134" s="1"/>
  <c r="AD41" i="134" s="1"/>
  <c r="AM189" i="133"/>
  <c r="AE32" i="133"/>
  <c r="AF30" i="133"/>
  <c r="AF32" i="133" s="1"/>
  <c r="AH189" i="133"/>
  <c r="AK189" i="133"/>
  <c r="AD80" i="133"/>
  <c r="AD83" i="133" s="1"/>
  <c r="AS194" i="133"/>
  <c r="AS189" i="133"/>
  <c r="AV189" i="133"/>
  <c r="AL30" i="133"/>
  <c r="AK32" i="133"/>
  <c r="AJ37" i="133"/>
  <c r="AI38" i="133"/>
  <c r="AQ194" i="133"/>
  <c r="AQ189" i="133"/>
  <c r="AY168" i="133"/>
  <c r="BA68" i="133"/>
  <c r="BB68" i="133" s="1"/>
  <c r="AO189" i="133"/>
  <c r="Y189" i="133"/>
  <c r="Y195" i="133"/>
  <c r="AY180" i="133"/>
  <c r="AL24" i="133"/>
  <c r="AK25" i="133"/>
  <c r="AY179" i="133"/>
  <c r="AJ6" i="133"/>
  <c r="AI7" i="133"/>
  <c r="AI2" i="133"/>
  <c r="AM16" i="133"/>
  <c r="AL18" i="133"/>
  <c r="BF127" i="133"/>
  <c r="BB127" i="133"/>
  <c r="BC126" i="133"/>
  <c r="AF32" i="134" l="1"/>
  <c r="AE34" i="134"/>
  <c r="AE40" i="134" s="1"/>
  <c r="AE41" i="134" s="1"/>
  <c r="AM30" i="133"/>
  <c r="AL32" i="133"/>
  <c r="AK37" i="133"/>
  <c r="AJ38" i="133"/>
  <c r="BB69" i="133"/>
  <c r="AM18" i="133"/>
  <c r="AN16" i="133"/>
  <c r="AM24" i="133"/>
  <c r="AL25" i="133"/>
  <c r="AK6" i="133"/>
  <c r="AJ7" i="133"/>
  <c r="AJ2" i="133"/>
  <c r="AY60" i="133"/>
  <c r="BE68" i="133" s="1"/>
  <c r="BA60" i="133"/>
  <c r="BB60" i="133"/>
  <c r="AG32" i="134" l="1"/>
  <c r="AG34" i="134" s="1"/>
  <c r="AG40" i="134" s="1"/>
  <c r="AG41" i="134" s="1"/>
  <c r="AF34" i="134"/>
  <c r="AF40" i="134" s="1"/>
  <c r="AF41" i="134" s="1"/>
  <c r="BD68" i="133"/>
  <c r="AL37" i="133"/>
  <c r="AK38" i="133"/>
  <c r="AM32" i="133"/>
  <c r="AN30" i="133"/>
  <c r="BF68" i="133"/>
  <c r="AN18" i="133"/>
  <c r="AO16" i="133"/>
  <c r="BD69" i="133"/>
  <c r="BD71" i="133" s="1"/>
  <c r="BD72" i="133" s="1"/>
  <c r="BE69" i="133"/>
  <c r="BE71" i="133" s="1"/>
  <c r="BE72" i="133" s="1"/>
  <c r="AL6" i="133"/>
  <c r="AK2" i="133"/>
  <c r="AK7" i="133"/>
  <c r="AM25" i="133"/>
  <c r="AN24" i="133"/>
  <c r="AH32" i="134" l="1"/>
  <c r="AM37" i="133"/>
  <c r="AL38" i="133"/>
  <c r="AO30" i="133"/>
  <c r="AN32" i="133"/>
  <c r="AL7" i="133"/>
  <c r="AM6" i="133"/>
  <c r="AL2" i="133"/>
  <c r="AN25" i="133"/>
  <c r="AO24" i="133"/>
  <c r="AP16" i="133"/>
  <c r="AO18" i="133"/>
  <c r="AI32" i="134" l="1"/>
  <c r="AH34" i="134"/>
  <c r="AH40" i="134" s="1"/>
  <c r="AH41" i="134" s="1"/>
  <c r="AO32" i="133"/>
  <c r="AP30" i="133"/>
  <c r="AM38" i="133"/>
  <c r="AN37" i="133"/>
  <c r="AM7" i="133"/>
  <c r="AM2" i="133"/>
  <c r="AN6" i="133"/>
  <c r="AQ16" i="133"/>
  <c r="AP18" i="133"/>
  <c r="AP24" i="133"/>
  <c r="AO25" i="133"/>
  <c r="AJ32" i="134" l="1"/>
  <c r="AI34" i="134"/>
  <c r="AI40" i="134" s="1"/>
  <c r="AI41" i="134" s="1"/>
  <c r="AO37" i="133"/>
  <c r="AN38" i="133"/>
  <c r="AQ30" i="133"/>
  <c r="AP32" i="133"/>
  <c r="AQ18" i="133"/>
  <c r="AR16" i="133"/>
  <c r="AO6" i="133"/>
  <c r="AN7" i="133"/>
  <c r="AN2" i="133"/>
  <c r="AQ24" i="133"/>
  <c r="AP25" i="133"/>
  <c r="AK32" i="134" l="1"/>
  <c r="AJ34" i="134"/>
  <c r="AJ40" i="134" s="1"/>
  <c r="AJ41" i="134" s="1"/>
  <c r="AQ32" i="133"/>
  <c r="AR30" i="133"/>
  <c r="AO38" i="133"/>
  <c r="AP37" i="133"/>
  <c r="AP6" i="133"/>
  <c r="AO2" i="133"/>
  <c r="AO7" i="133"/>
  <c r="AR18" i="133"/>
  <c r="AS16" i="133"/>
  <c r="AQ25" i="133"/>
  <c r="AR24" i="133"/>
  <c r="AL32" i="134" l="1"/>
  <c r="AK34" i="134"/>
  <c r="AK40" i="134" s="1"/>
  <c r="AK41" i="134" s="1"/>
  <c r="AS30" i="133"/>
  <c r="AR32" i="133"/>
  <c r="AQ37" i="133"/>
  <c r="AP38" i="133"/>
  <c r="AT16" i="133"/>
  <c r="AS18" i="133"/>
  <c r="AS24" i="133"/>
  <c r="AR25" i="133"/>
  <c r="AP7" i="133"/>
  <c r="AQ6" i="133"/>
  <c r="AP2" i="133"/>
  <c r="AM32" i="134" l="1"/>
  <c r="AM34" i="134" s="1"/>
  <c r="AM40" i="134" s="1"/>
  <c r="AM41" i="134" s="1"/>
  <c r="AL34" i="134"/>
  <c r="AL40" i="134" s="1"/>
  <c r="AL41" i="134" s="1"/>
  <c r="AS32" i="133"/>
  <c r="AT30" i="133"/>
  <c r="AQ38" i="133"/>
  <c r="AR37" i="133"/>
  <c r="AT24" i="133"/>
  <c r="AS25" i="133"/>
  <c r="AR6" i="133"/>
  <c r="AQ2" i="133"/>
  <c r="AQ7" i="133"/>
  <c r="AU16" i="133"/>
  <c r="AT18" i="133"/>
  <c r="AU30" i="133" l="1"/>
  <c r="AT32" i="133"/>
  <c r="AS37" i="133"/>
  <c r="AR38" i="133"/>
  <c r="AR7" i="133"/>
  <c r="AR2" i="133"/>
  <c r="AS6" i="133"/>
  <c r="AU18" i="133"/>
  <c r="AV16" i="133"/>
  <c r="AV18" i="133" s="1"/>
  <c r="AU24" i="133"/>
  <c r="AT25" i="133"/>
  <c r="AT37" i="133" l="1"/>
  <c r="AS38" i="133"/>
  <c r="AU32" i="133"/>
  <c r="AV30" i="133"/>
  <c r="AV32" i="133" s="1"/>
  <c r="AU25" i="133"/>
  <c r="AV24" i="133"/>
  <c r="AV25" i="133" s="1"/>
  <c r="AT6" i="133"/>
  <c r="AS2" i="133"/>
  <c r="AS7" i="133"/>
  <c r="AT38" i="133" l="1"/>
  <c r="AU37" i="133"/>
  <c r="AT7" i="133"/>
  <c r="AT2" i="133"/>
  <c r="AU6" i="133"/>
  <c r="AV6" i="133" s="1"/>
  <c r="AU38" i="133" l="1"/>
  <c r="AV37" i="133"/>
  <c r="AV38" i="133" s="1"/>
  <c r="AU2" i="133"/>
  <c r="AU7" i="133"/>
  <c r="AV7" i="133" l="1"/>
  <c r="AV2" i="133"/>
  <c r="AO90" i="50" l="1"/>
  <c r="AO78" i="50"/>
  <c r="AO68" i="50"/>
  <c r="AO56" i="50"/>
  <c r="AE43" i="56"/>
  <c r="AN99" i="50" l="1"/>
  <c r="AO99" i="50"/>
  <c r="AJ96" i="50"/>
  <c r="Y8" i="50" l="1"/>
  <c r="P14" i="132" l="1"/>
  <c r="P15" i="132"/>
  <c r="P17" i="132"/>
  <c r="P20" i="132"/>
  <c r="P22" i="132"/>
  <c r="P30" i="132"/>
  <c r="P40" i="132"/>
  <c r="P13" i="132"/>
  <c r="R14" i="132"/>
  <c r="Q14" i="132"/>
  <c r="Q15" i="132"/>
  <c r="Q17" i="132"/>
  <c r="Q20" i="132"/>
  <c r="Q22" i="132"/>
  <c r="Q30" i="132"/>
  <c r="Q40" i="132"/>
  <c r="Q13" i="132"/>
  <c r="R15" i="132"/>
  <c r="R17" i="132"/>
  <c r="R20" i="132"/>
  <c r="R22" i="132"/>
  <c r="R30" i="132"/>
  <c r="R40" i="132"/>
  <c r="R13" i="132"/>
  <c r="N10" i="132"/>
  <c r="N31" i="132"/>
  <c r="N23" i="132"/>
  <c r="N21" i="132"/>
  <c r="N8" i="132"/>
  <c r="N4" i="132"/>
  <c r="N2" i="132"/>
  <c r="X31" i="132"/>
  <c r="W31" i="132"/>
  <c r="V31" i="132"/>
  <c r="U31" i="132"/>
  <c r="T31" i="132"/>
  <c r="S31" i="132"/>
  <c r="M31" i="132"/>
  <c r="P31" i="132" s="1"/>
  <c r="L31" i="132"/>
  <c r="K31" i="132"/>
  <c r="J31" i="132"/>
  <c r="I31" i="132"/>
  <c r="H31" i="132"/>
  <c r="G31" i="132"/>
  <c r="F31" i="132"/>
  <c r="E31" i="132"/>
  <c r="D31" i="132"/>
  <c r="C31" i="132"/>
  <c r="C29" i="132"/>
  <c r="D24" i="132"/>
  <c r="C24" i="132"/>
  <c r="X23" i="132"/>
  <c r="X24" i="132" s="1"/>
  <c r="W23" i="132"/>
  <c r="W24" i="132" s="1"/>
  <c r="V23" i="132"/>
  <c r="V24" i="132" s="1"/>
  <c r="U23" i="132"/>
  <c r="U24" i="132" s="1"/>
  <c r="T23" i="132"/>
  <c r="T24" i="132" s="1"/>
  <c r="S23" i="132"/>
  <c r="S24" i="132" s="1"/>
  <c r="M23" i="132"/>
  <c r="Q23" i="132" s="1"/>
  <c r="L23" i="132"/>
  <c r="L24" i="132" s="1"/>
  <c r="K23" i="132"/>
  <c r="K24" i="132" s="1"/>
  <c r="J23" i="132"/>
  <c r="J24" i="132" s="1"/>
  <c r="I23" i="132"/>
  <c r="I24" i="132" s="1"/>
  <c r="H23" i="132"/>
  <c r="H24" i="132" s="1"/>
  <c r="G23" i="132"/>
  <c r="G24" i="132" s="1"/>
  <c r="F23" i="132"/>
  <c r="F24" i="132" s="1"/>
  <c r="E23" i="132"/>
  <c r="E24" i="132" s="1"/>
  <c r="A23" i="132"/>
  <c r="X21" i="132"/>
  <c r="W21" i="132"/>
  <c r="V21" i="132"/>
  <c r="U21" i="132"/>
  <c r="T21" i="132"/>
  <c r="S21" i="132"/>
  <c r="M21" i="132"/>
  <c r="P21" i="132" s="1"/>
  <c r="L21" i="132"/>
  <c r="K21" i="132"/>
  <c r="J21" i="132"/>
  <c r="I21" i="132"/>
  <c r="H21" i="132"/>
  <c r="G21" i="132"/>
  <c r="F21" i="132"/>
  <c r="E21" i="132"/>
  <c r="D21" i="132"/>
  <c r="C21" i="132"/>
  <c r="X10" i="132"/>
  <c r="W10" i="132"/>
  <c r="V10" i="132"/>
  <c r="U10" i="132"/>
  <c r="T10" i="132"/>
  <c r="S10" i="132"/>
  <c r="M10" i="132"/>
  <c r="L10" i="132"/>
  <c r="K10" i="132"/>
  <c r="J10" i="132"/>
  <c r="I10" i="132"/>
  <c r="H10" i="132"/>
  <c r="G10" i="132"/>
  <c r="F10" i="132"/>
  <c r="E10" i="132"/>
  <c r="D10" i="132"/>
  <c r="C10" i="132"/>
  <c r="X8" i="132"/>
  <c r="W8" i="132"/>
  <c r="V8" i="132"/>
  <c r="U8" i="132"/>
  <c r="T8" i="132"/>
  <c r="S8" i="132"/>
  <c r="M8" i="132"/>
  <c r="L8" i="132"/>
  <c r="K8" i="132"/>
  <c r="J8" i="132"/>
  <c r="I8" i="132"/>
  <c r="H8" i="132"/>
  <c r="G8" i="132"/>
  <c r="F8" i="132"/>
  <c r="E8" i="132"/>
  <c r="D8" i="132"/>
  <c r="D38" i="132" s="1"/>
  <c r="D33" i="132" s="1"/>
  <c r="D36" i="132" s="1"/>
  <c r="C8" i="132"/>
  <c r="A8" i="132"/>
  <c r="X4" i="132"/>
  <c r="W4" i="132"/>
  <c r="V4" i="132"/>
  <c r="U4" i="132"/>
  <c r="T4" i="132"/>
  <c r="S4" i="132"/>
  <c r="M4" i="132"/>
  <c r="L4" i="132"/>
  <c r="K4" i="132"/>
  <c r="J4" i="132"/>
  <c r="I4" i="132"/>
  <c r="H4" i="132"/>
  <c r="G4" i="132"/>
  <c r="F4" i="132"/>
  <c r="E4" i="132"/>
  <c r="D4" i="132"/>
  <c r="C4" i="132"/>
  <c r="X2" i="132"/>
  <c r="W2" i="132"/>
  <c r="V2" i="132"/>
  <c r="U2" i="132"/>
  <c r="T2" i="132"/>
  <c r="S2" i="132"/>
  <c r="M2" i="132"/>
  <c r="L2" i="132"/>
  <c r="K2" i="132"/>
  <c r="J2" i="132"/>
  <c r="I2" i="132"/>
  <c r="H2" i="132"/>
  <c r="G2" i="132"/>
  <c r="F2" i="132"/>
  <c r="E2" i="132"/>
  <c r="D2" i="132"/>
  <c r="C2" i="132"/>
  <c r="G23" i="129"/>
  <c r="U32" i="131"/>
  <c r="G27" i="131"/>
  <c r="F4" i="129"/>
  <c r="I26" i="131"/>
  <c r="G24" i="129"/>
  <c r="I8" i="131"/>
  <c r="J24" i="131"/>
  <c r="M46" i="131"/>
  <c r="M36" i="131"/>
  <c r="N24" i="132" l="1"/>
  <c r="P23" i="132"/>
  <c r="R21" i="132"/>
  <c r="Q21" i="132"/>
  <c r="R31" i="132"/>
  <c r="Q31" i="132"/>
  <c r="M24" i="132"/>
  <c r="R23" i="132"/>
  <c r="N38" i="132"/>
  <c r="N33" i="132" s="1"/>
  <c r="N36" i="132" s="1"/>
  <c r="N16" i="132"/>
  <c r="N25" i="132"/>
  <c r="E38" i="132"/>
  <c r="E33" i="132" s="1"/>
  <c r="E36" i="132" s="1"/>
  <c r="E16" i="132"/>
  <c r="F38" i="132"/>
  <c r="F33" i="132" s="1"/>
  <c r="F36" i="132" s="1"/>
  <c r="F16" i="132"/>
  <c r="G38" i="132"/>
  <c r="G33" i="132" s="1"/>
  <c r="G36" i="132" s="1"/>
  <c r="G16" i="132"/>
  <c r="H38" i="132"/>
  <c r="H33" i="132" s="1"/>
  <c r="H36" i="132" s="1"/>
  <c r="H16" i="132"/>
  <c r="I38" i="132"/>
  <c r="I33" i="132" s="1"/>
  <c r="I36" i="132" s="1"/>
  <c r="I16" i="132"/>
  <c r="J38" i="132"/>
  <c r="J33" i="132" s="1"/>
  <c r="J36" i="132" s="1"/>
  <c r="J16" i="132"/>
  <c r="K38" i="132"/>
  <c r="K33" i="132" s="1"/>
  <c r="K36" i="132" s="1"/>
  <c r="K16" i="132"/>
  <c r="L38" i="132"/>
  <c r="L33" i="132" s="1"/>
  <c r="L36" i="132" s="1"/>
  <c r="L16" i="132"/>
  <c r="M38" i="132"/>
  <c r="M16" i="132"/>
  <c r="P16" i="132" s="1"/>
  <c r="S38" i="132"/>
  <c r="S33" i="132" s="1"/>
  <c r="S36" i="132" s="1"/>
  <c r="S16" i="132"/>
  <c r="T38" i="132"/>
  <c r="T33" i="132" s="1"/>
  <c r="T36" i="132" s="1"/>
  <c r="T16" i="132"/>
  <c r="U38" i="132"/>
  <c r="U33" i="132" s="1"/>
  <c r="U36" i="132" s="1"/>
  <c r="U16" i="132"/>
  <c r="V38" i="132"/>
  <c r="V33" i="132" s="1"/>
  <c r="V36" i="132" s="1"/>
  <c r="V16" i="132"/>
  <c r="W38" i="132"/>
  <c r="W33" i="132" s="1"/>
  <c r="W36" i="132" s="1"/>
  <c r="W16" i="132"/>
  <c r="X38" i="132"/>
  <c r="X33" i="132" s="1"/>
  <c r="X36" i="132" s="1"/>
  <c r="X16" i="132"/>
  <c r="A25" i="132"/>
  <c r="A24" i="132"/>
  <c r="E28" i="132"/>
  <c r="E25" i="132"/>
  <c r="F28" i="132"/>
  <c r="F25" i="132"/>
  <c r="G28" i="132"/>
  <c r="G25" i="132"/>
  <c r="H28" i="132"/>
  <c r="H25" i="132"/>
  <c r="I25" i="132"/>
  <c r="J25" i="132"/>
  <c r="K25" i="132"/>
  <c r="L25" i="132"/>
  <c r="M25" i="132"/>
  <c r="S25" i="132"/>
  <c r="T25" i="132"/>
  <c r="U25" i="132"/>
  <c r="V25" i="132"/>
  <c r="W25" i="132"/>
  <c r="X25" i="132"/>
  <c r="D28" i="132"/>
  <c r="D25" i="132"/>
  <c r="J10" i="131"/>
  <c r="Q32" i="131"/>
  <c r="L39" i="131"/>
  <c r="Q38" i="132" l="1"/>
  <c r="P38" i="132"/>
  <c r="P25" i="132"/>
  <c r="P24" i="132"/>
  <c r="R25" i="132"/>
  <c r="Q25" i="132"/>
  <c r="R16" i="132"/>
  <c r="Q16" i="132"/>
  <c r="R24" i="132"/>
  <c r="Q24" i="132"/>
  <c r="M33" i="132"/>
  <c r="R38" i="132"/>
  <c r="N19" i="132"/>
  <c r="N18" i="132"/>
  <c r="D29" i="132"/>
  <c r="D26" i="132"/>
  <c r="D27" i="132" s="1"/>
  <c r="D37" i="132"/>
  <c r="H29" i="132"/>
  <c r="H26" i="132"/>
  <c r="H27" i="132" s="1"/>
  <c r="H37" i="132"/>
  <c r="G29" i="132"/>
  <c r="G26" i="132"/>
  <c r="G27" i="132" s="1"/>
  <c r="G37" i="132"/>
  <c r="F29" i="132"/>
  <c r="F26" i="132"/>
  <c r="F27" i="132" s="1"/>
  <c r="F37" i="132"/>
  <c r="E29" i="132"/>
  <c r="E26" i="132"/>
  <c r="E27" i="132" s="1"/>
  <c r="E37" i="132"/>
  <c r="X19" i="132"/>
  <c r="X28" i="132" s="1"/>
  <c r="X18" i="132"/>
  <c r="W19" i="132"/>
  <c r="W28" i="132" s="1"/>
  <c r="W18" i="132"/>
  <c r="V19" i="132"/>
  <c r="V28" i="132" s="1"/>
  <c r="V18" i="132"/>
  <c r="U19" i="132"/>
  <c r="U28" i="132" s="1"/>
  <c r="U18" i="132"/>
  <c r="T19" i="132"/>
  <c r="T28" i="132" s="1"/>
  <c r="T18" i="132"/>
  <c r="S19" i="132"/>
  <c r="S28" i="132" s="1"/>
  <c r="S18" i="132"/>
  <c r="M19" i="132"/>
  <c r="M18" i="132"/>
  <c r="P18" i="132" s="1"/>
  <c r="L19" i="132"/>
  <c r="L28" i="132" s="1"/>
  <c r="L18" i="132"/>
  <c r="K19" i="132"/>
  <c r="K28" i="132" s="1"/>
  <c r="K18" i="132"/>
  <c r="J19" i="132"/>
  <c r="J28" i="132" s="1"/>
  <c r="J18" i="132"/>
  <c r="I19" i="132"/>
  <c r="I28" i="132" s="1"/>
  <c r="I18" i="132"/>
  <c r="H19" i="132"/>
  <c r="H18" i="132"/>
  <c r="G19" i="132"/>
  <c r="G18" i="132"/>
  <c r="F19" i="132"/>
  <c r="F18" i="132"/>
  <c r="E19" i="132"/>
  <c r="E18" i="132"/>
  <c r="H10" i="131"/>
  <c r="M28" i="132" l="1"/>
  <c r="P19" i="132"/>
  <c r="Q33" i="132"/>
  <c r="P33" i="132"/>
  <c r="Q18" i="132"/>
  <c r="Q19" i="132"/>
  <c r="R18" i="132"/>
  <c r="M36" i="132"/>
  <c r="P36" i="132" s="1"/>
  <c r="R33" i="132"/>
  <c r="N28" i="132"/>
  <c r="R19" i="132"/>
  <c r="N29" i="132"/>
  <c r="N37" i="132"/>
  <c r="I29" i="132"/>
  <c r="I26" i="132"/>
  <c r="I27" i="132" s="1"/>
  <c r="I37" i="132"/>
  <c r="J29" i="132"/>
  <c r="J26" i="132"/>
  <c r="J27" i="132" s="1"/>
  <c r="J37" i="132"/>
  <c r="K29" i="132"/>
  <c r="K26" i="132"/>
  <c r="K27" i="132" s="1"/>
  <c r="K37" i="132"/>
  <c r="L29" i="132"/>
  <c r="L26" i="132"/>
  <c r="L27" i="132" s="1"/>
  <c r="L37" i="132"/>
  <c r="M29" i="132"/>
  <c r="M26" i="132"/>
  <c r="M27" i="132" s="1"/>
  <c r="M37" i="132"/>
  <c r="S29" i="132"/>
  <c r="S26" i="132"/>
  <c r="S27" i="132" s="1"/>
  <c r="S37" i="132"/>
  <c r="T29" i="132"/>
  <c r="T26" i="132"/>
  <c r="T27" i="132" s="1"/>
  <c r="T37" i="132"/>
  <c r="U29" i="132"/>
  <c r="U26" i="132"/>
  <c r="U27" i="132" s="1"/>
  <c r="U37" i="132"/>
  <c r="V29" i="132"/>
  <c r="V26" i="132"/>
  <c r="V27" i="132" s="1"/>
  <c r="V37" i="132"/>
  <c r="W29" i="132"/>
  <c r="W26" i="132"/>
  <c r="W27" i="132" s="1"/>
  <c r="W37" i="132"/>
  <c r="X29" i="132"/>
  <c r="X26" i="132"/>
  <c r="X27" i="132" s="1"/>
  <c r="X37" i="132"/>
  <c r="E39" i="132"/>
  <c r="E32" i="132"/>
  <c r="F39" i="132"/>
  <c r="F32" i="132"/>
  <c r="G39" i="132"/>
  <c r="G32" i="132"/>
  <c r="H39" i="132"/>
  <c r="H32" i="132"/>
  <c r="D39" i="132"/>
  <c r="D32" i="132"/>
  <c r="D35" i="132" s="1"/>
  <c r="D41" i="132" s="1"/>
  <c r="M10" i="131"/>
  <c r="P28" i="132" l="1"/>
  <c r="N26" i="132"/>
  <c r="P37" i="132"/>
  <c r="P26" i="132"/>
  <c r="P29" i="132"/>
  <c r="Q37" i="132"/>
  <c r="Q26" i="132"/>
  <c r="Q29" i="132"/>
  <c r="R36" i="132"/>
  <c r="Q36" i="132"/>
  <c r="R28" i="132"/>
  <c r="Q28" i="132"/>
  <c r="R37" i="132"/>
  <c r="R29" i="132"/>
  <c r="N27" i="132"/>
  <c r="P27" i="132" s="1"/>
  <c r="R26" i="132"/>
  <c r="N39" i="132"/>
  <c r="N32" i="132"/>
  <c r="H35" i="132"/>
  <c r="H34" i="132"/>
  <c r="G35" i="132"/>
  <c r="G34" i="132"/>
  <c r="F35" i="132"/>
  <c r="F34" i="132"/>
  <c r="E35" i="132"/>
  <c r="E34" i="132"/>
  <c r="X39" i="132"/>
  <c r="X32" i="132"/>
  <c r="W39" i="132"/>
  <c r="W32" i="132"/>
  <c r="V39" i="132"/>
  <c r="V32" i="132"/>
  <c r="U39" i="132"/>
  <c r="U32" i="132"/>
  <c r="T39" i="132"/>
  <c r="T32" i="132"/>
  <c r="S39" i="132"/>
  <c r="S32" i="132"/>
  <c r="M39" i="132"/>
  <c r="M32" i="132"/>
  <c r="L39" i="132"/>
  <c r="L32" i="132"/>
  <c r="K39" i="132"/>
  <c r="K32" i="132"/>
  <c r="J39" i="132"/>
  <c r="J32" i="132"/>
  <c r="I39" i="132"/>
  <c r="I32" i="132"/>
  <c r="V47" i="131"/>
  <c r="U31" i="131"/>
  <c r="S31" i="131"/>
  <c r="Q31" i="131"/>
  <c r="P31" i="131"/>
  <c r="O31" i="131"/>
  <c r="N31" i="131"/>
  <c r="M31" i="131"/>
  <c r="L31" i="131"/>
  <c r="K31" i="131"/>
  <c r="J31" i="131"/>
  <c r="I31" i="131"/>
  <c r="H31" i="131"/>
  <c r="G31" i="131"/>
  <c r="F31" i="131"/>
  <c r="E31" i="131"/>
  <c r="D31" i="131"/>
  <c r="C31" i="131"/>
  <c r="C29" i="131"/>
  <c r="D24" i="131"/>
  <c r="D28" i="131" s="1"/>
  <c r="C24" i="131"/>
  <c r="U23" i="131"/>
  <c r="U24" i="131" s="1"/>
  <c r="S23" i="131"/>
  <c r="S24" i="131" s="1"/>
  <c r="S25" i="131" s="1"/>
  <c r="Q23" i="131"/>
  <c r="Q24" i="131" s="1"/>
  <c r="P23" i="131"/>
  <c r="P24" i="131" s="1"/>
  <c r="O23" i="131"/>
  <c r="O24" i="131" s="1"/>
  <c r="N23" i="131"/>
  <c r="N24" i="131" s="1"/>
  <c r="N25" i="131" s="1"/>
  <c r="M23" i="131"/>
  <c r="M24" i="131" s="1"/>
  <c r="M28" i="131" s="1"/>
  <c r="L23" i="131"/>
  <c r="L24" i="131" s="1"/>
  <c r="K23" i="131"/>
  <c r="K24" i="131" s="1"/>
  <c r="J23" i="131"/>
  <c r="I23" i="131"/>
  <c r="I24" i="131" s="1"/>
  <c r="H23" i="131"/>
  <c r="H24" i="131" s="1"/>
  <c r="H28" i="131" s="1"/>
  <c r="H37" i="131" s="1"/>
  <c r="G23" i="131"/>
  <c r="G24" i="131" s="1"/>
  <c r="F23" i="131"/>
  <c r="F24" i="131" s="1"/>
  <c r="F28" i="131" s="1"/>
  <c r="E23" i="131"/>
  <c r="E24" i="131" s="1"/>
  <c r="E28" i="131" s="1"/>
  <c r="A23" i="131"/>
  <c r="A25" i="131" s="1"/>
  <c r="U21" i="131"/>
  <c r="S21" i="131"/>
  <c r="Q21" i="131"/>
  <c r="P21" i="131"/>
  <c r="O21" i="131"/>
  <c r="N21" i="131"/>
  <c r="M21" i="131"/>
  <c r="L21" i="131"/>
  <c r="K21" i="131"/>
  <c r="J21" i="131"/>
  <c r="I21" i="131"/>
  <c r="H21" i="131"/>
  <c r="G21" i="131"/>
  <c r="F21" i="131"/>
  <c r="E21" i="131"/>
  <c r="D21" i="131"/>
  <c r="C21" i="131"/>
  <c r="U10" i="131"/>
  <c r="S10" i="131"/>
  <c r="Q10" i="131"/>
  <c r="P10" i="131"/>
  <c r="O10" i="131"/>
  <c r="N10" i="131"/>
  <c r="L10" i="131"/>
  <c r="K10" i="131"/>
  <c r="I10" i="131"/>
  <c r="G10" i="131"/>
  <c r="F10" i="131"/>
  <c r="E10" i="131"/>
  <c r="D10" i="131"/>
  <c r="C10" i="131"/>
  <c r="U8" i="131"/>
  <c r="U16" i="131" s="1"/>
  <c r="S8" i="131"/>
  <c r="Q8" i="131"/>
  <c r="Q16" i="131" s="1"/>
  <c r="Q18" i="131" s="1"/>
  <c r="P8" i="131"/>
  <c r="O8" i="131"/>
  <c r="O16" i="131" s="1"/>
  <c r="N8" i="131"/>
  <c r="M8" i="131"/>
  <c r="M16" i="131" s="1"/>
  <c r="M19" i="131" s="1"/>
  <c r="L8" i="131"/>
  <c r="L16" i="131" s="1"/>
  <c r="L18" i="131" s="1"/>
  <c r="K8" i="131"/>
  <c r="K16" i="131" s="1"/>
  <c r="J8" i="131"/>
  <c r="I16" i="131"/>
  <c r="I18" i="131" s="1"/>
  <c r="H8" i="131"/>
  <c r="G8" i="131"/>
  <c r="G16" i="131" s="1"/>
  <c r="G19" i="131" s="1"/>
  <c r="F8" i="131"/>
  <c r="E8" i="131"/>
  <c r="E16" i="131" s="1"/>
  <c r="D8" i="131"/>
  <c r="C8" i="131"/>
  <c r="A8" i="131"/>
  <c r="U4" i="131"/>
  <c r="S4" i="131"/>
  <c r="Q4" i="131"/>
  <c r="P4" i="131"/>
  <c r="O4" i="131"/>
  <c r="N4" i="131"/>
  <c r="M4" i="131"/>
  <c r="L4" i="131"/>
  <c r="K4" i="131"/>
  <c r="J4" i="131"/>
  <c r="I4" i="131"/>
  <c r="H4" i="131"/>
  <c r="G4" i="131"/>
  <c r="F4" i="131"/>
  <c r="E4" i="131"/>
  <c r="D4" i="131"/>
  <c r="C4" i="131"/>
  <c r="U2" i="131"/>
  <c r="S2" i="131"/>
  <c r="Q2" i="131"/>
  <c r="P2" i="131"/>
  <c r="O2" i="131"/>
  <c r="N2" i="131"/>
  <c r="M2" i="131"/>
  <c r="L2" i="131"/>
  <c r="K2" i="131"/>
  <c r="J2" i="131"/>
  <c r="I2" i="131"/>
  <c r="H2" i="131"/>
  <c r="G2" i="131"/>
  <c r="F2" i="131"/>
  <c r="E2" i="131"/>
  <c r="D2" i="131"/>
  <c r="C2" i="131"/>
  <c r="P32" i="132" l="1"/>
  <c r="P39" i="132"/>
  <c r="Q32" i="132"/>
  <c r="Q39" i="132"/>
  <c r="R27" i="132"/>
  <c r="Q27" i="132"/>
  <c r="R32" i="132"/>
  <c r="R39" i="132"/>
  <c r="N35" i="132"/>
  <c r="N34" i="132"/>
  <c r="I35" i="132"/>
  <c r="I34" i="132"/>
  <c r="J35" i="132"/>
  <c r="J34" i="132"/>
  <c r="K35" i="132"/>
  <c r="K34" i="132"/>
  <c r="L35" i="132"/>
  <c r="L34" i="132"/>
  <c r="M35" i="132"/>
  <c r="M34" i="132"/>
  <c r="S35" i="132"/>
  <c r="S34" i="132"/>
  <c r="T35" i="132"/>
  <c r="T34" i="132"/>
  <c r="U35" i="132"/>
  <c r="U34" i="132"/>
  <c r="V35" i="132"/>
  <c r="V34" i="132"/>
  <c r="W35" i="132"/>
  <c r="W34" i="132"/>
  <c r="X35" i="132"/>
  <c r="X34" i="132"/>
  <c r="E41" i="132"/>
  <c r="E42" i="132"/>
  <c r="F41" i="132"/>
  <c r="F42" i="132"/>
  <c r="G41" i="132"/>
  <c r="G42" i="132"/>
  <c r="H41" i="132"/>
  <c r="H42" i="132"/>
  <c r="M29" i="131"/>
  <c r="M26" i="131"/>
  <c r="M27" i="131" s="1"/>
  <c r="H16" i="131"/>
  <c r="H19" i="131" s="1"/>
  <c r="H38" i="131"/>
  <c r="H39" i="131" s="1"/>
  <c r="I25" i="131"/>
  <c r="F38" i="131"/>
  <c r="F33" i="131" s="1"/>
  <c r="F36" i="131" s="1"/>
  <c r="J38" i="131"/>
  <c r="J33" i="131" s="1"/>
  <c r="J36" i="131" s="1"/>
  <c r="N38" i="131"/>
  <c r="N33" i="131" s="1"/>
  <c r="N36" i="131" s="1"/>
  <c r="N16" i="131"/>
  <c r="N18" i="131" s="1"/>
  <c r="S38" i="131"/>
  <c r="S33" i="131" s="1"/>
  <c r="S36" i="131" s="1"/>
  <c r="S16" i="131"/>
  <c r="S18" i="131" s="1"/>
  <c r="E19" i="131"/>
  <c r="E18" i="131"/>
  <c r="V49" i="131"/>
  <c r="V48" i="131"/>
  <c r="V50" i="131"/>
  <c r="D29" i="131"/>
  <c r="D26" i="131"/>
  <c r="D27" i="131" s="1"/>
  <c r="I19" i="131"/>
  <c r="I28" i="131" s="1"/>
  <c r="I37" i="131" s="1"/>
  <c r="D25" i="131"/>
  <c r="E38" i="131"/>
  <c r="E33" i="131" s="1"/>
  <c r="E36" i="131" s="1"/>
  <c r="M38" i="131"/>
  <c r="M33" i="131" s="1"/>
  <c r="G38" i="131"/>
  <c r="G33" i="131" s="1"/>
  <c r="G36" i="131" s="1"/>
  <c r="M18" i="131"/>
  <c r="I38" i="131"/>
  <c r="I33" i="131" s="1"/>
  <c r="I36" i="131" s="1"/>
  <c r="Q38" i="131"/>
  <c r="Q33" i="131" s="1"/>
  <c r="Q36" i="131" s="1"/>
  <c r="D38" i="131"/>
  <c r="D33" i="131" s="1"/>
  <c r="D36" i="131" s="1"/>
  <c r="H33" i="131"/>
  <c r="H36" i="131" s="1"/>
  <c r="L38" i="131"/>
  <c r="L33" i="131" s="1"/>
  <c r="L36" i="131" s="1"/>
  <c r="P38" i="131"/>
  <c r="P33" i="131" s="1"/>
  <c r="P36" i="131" s="1"/>
  <c r="P16" i="131"/>
  <c r="P19" i="131" s="1"/>
  <c r="M37" i="131"/>
  <c r="M25" i="131"/>
  <c r="E29" i="131"/>
  <c r="E26" i="131"/>
  <c r="E27" i="131" s="1"/>
  <c r="K19" i="131"/>
  <c r="K28" i="131" s="1"/>
  <c r="K37" i="131" s="1"/>
  <c r="K18" i="131"/>
  <c r="O19" i="131"/>
  <c r="O28" i="131" s="1"/>
  <c r="O37" i="131" s="1"/>
  <c r="O18" i="131"/>
  <c r="U19" i="131"/>
  <c r="U28" i="131" s="1"/>
  <c r="U37" i="131" s="1"/>
  <c r="U18" i="131"/>
  <c r="G28" i="131"/>
  <c r="G37" i="131" s="1"/>
  <c r="G25" i="131"/>
  <c r="K25" i="131"/>
  <c r="O25" i="131"/>
  <c r="U25" i="131"/>
  <c r="F29" i="131"/>
  <c r="F26" i="131"/>
  <c r="F27" i="131" s="1"/>
  <c r="H26" i="131"/>
  <c r="H27" i="131" s="1"/>
  <c r="H29" i="131"/>
  <c r="U38" i="131"/>
  <c r="U33" i="131" s="1"/>
  <c r="U36" i="131" s="1"/>
  <c r="D37" i="131"/>
  <c r="O38" i="131"/>
  <c r="O33" i="131" s="1"/>
  <c r="O36" i="131" s="1"/>
  <c r="A24" i="131"/>
  <c r="E25" i="131"/>
  <c r="J25" i="131"/>
  <c r="P25" i="131"/>
  <c r="J16" i="131"/>
  <c r="L19" i="131"/>
  <c r="L28" i="131" s="1"/>
  <c r="Q19" i="131"/>
  <c r="Q28" i="131" s="1"/>
  <c r="F25" i="131"/>
  <c r="L25" i="131"/>
  <c r="Q25" i="131"/>
  <c r="E37" i="131"/>
  <c r="K38" i="131"/>
  <c r="K33" i="131" s="1"/>
  <c r="K36" i="131" s="1"/>
  <c r="F37" i="131"/>
  <c r="F16" i="131"/>
  <c r="G18" i="131"/>
  <c r="H25" i="131"/>
  <c r="P34" i="132" l="1"/>
  <c r="P35" i="132"/>
  <c r="Q34" i="132"/>
  <c r="Q35" i="132"/>
  <c r="R34" i="132"/>
  <c r="R35" i="132"/>
  <c r="N41" i="132"/>
  <c r="N42" i="132"/>
  <c r="X41" i="132"/>
  <c r="X42" i="132"/>
  <c r="W41" i="132"/>
  <c r="W42" i="132"/>
  <c r="V41" i="132"/>
  <c r="V42" i="132"/>
  <c r="U41" i="132"/>
  <c r="U42" i="132"/>
  <c r="T41" i="132"/>
  <c r="T42" i="132"/>
  <c r="S41" i="132"/>
  <c r="S42" i="132"/>
  <c r="M41" i="132"/>
  <c r="M42" i="132"/>
  <c r="L41" i="132"/>
  <c r="L42" i="132"/>
  <c r="K41" i="132"/>
  <c r="K42" i="132"/>
  <c r="J41" i="132"/>
  <c r="J42" i="132"/>
  <c r="I41" i="132"/>
  <c r="I42" i="132"/>
  <c r="H18" i="131"/>
  <c r="I27" i="131"/>
  <c r="P18" i="131"/>
  <c r="P28" i="131"/>
  <c r="I29" i="131"/>
  <c r="Q29" i="131"/>
  <c r="Q26" i="131"/>
  <c r="Q27" i="131" s="1"/>
  <c r="Q37" i="131"/>
  <c r="K32" i="131"/>
  <c r="K39" i="131"/>
  <c r="S19" i="131"/>
  <c r="S28" i="131" s="1"/>
  <c r="J18" i="131"/>
  <c r="J19" i="131"/>
  <c r="J28" i="131" s="1"/>
  <c r="M32" i="131"/>
  <c r="M35" i="131" s="1"/>
  <c r="M39" i="131"/>
  <c r="L37" i="131"/>
  <c r="L29" i="131"/>
  <c r="L26" i="131"/>
  <c r="L27" i="131" s="1"/>
  <c r="U39" i="131"/>
  <c r="U35" i="131"/>
  <c r="F18" i="131"/>
  <c r="F19" i="131"/>
  <c r="E32" i="131"/>
  <c r="E39" i="131"/>
  <c r="I32" i="131"/>
  <c r="I39" i="131"/>
  <c r="H32" i="131"/>
  <c r="O32" i="131"/>
  <c r="O39" i="131"/>
  <c r="O26" i="131"/>
  <c r="O27" i="131" s="1"/>
  <c r="O29" i="131"/>
  <c r="G26" i="131"/>
  <c r="G29" i="131"/>
  <c r="N19" i="131"/>
  <c r="N28" i="131" s="1"/>
  <c r="F39" i="131"/>
  <c r="F32" i="131"/>
  <c r="D32" i="131"/>
  <c r="D35" i="131" s="1"/>
  <c r="D41" i="131" s="1"/>
  <c r="D39" i="131"/>
  <c r="G39" i="131"/>
  <c r="G32" i="131"/>
  <c r="U26" i="131"/>
  <c r="U27" i="131" s="1"/>
  <c r="U29" i="131"/>
  <c r="K26" i="131"/>
  <c r="K27" i="131" s="1"/>
  <c r="K29" i="131"/>
  <c r="P41" i="132" l="1"/>
  <c r="R42" i="132"/>
  <c r="P42" i="132"/>
  <c r="Q42" i="132"/>
  <c r="Q41" i="132"/>
  <c r="R41" i="132"/>
  <c r="P29" i="131"/>
  <c r="P26" i="131"/>
  <c r="P27" i="131" s="1"/>
  <c r="P37" i="131"/>
  <c r="H35" i="131"/>
  <c r="H34" i="131"/>
  <c r="M41" i="131"/>
  <c r="M34" i="131"/>
  <c r="Q39" i="131"/>
  <c r="F35" i="131"/>
  <c r="F34" i="131"/>
  <c r="O35" i="131"/>
  <c r="O41" i="131" s="1"/>
  <c r="O34" i="131"/>
  <c r="I35" i="131"/>
  <c r="I34" i="131"/>
  <c r="J29" i="131"/>
  <c r="J26" i="131"/>
  <c r="J27" i="131" s="1"/>
  <c r="J37" i="131"/>
  <c r="N29" i="131"/>
  <c r="N26" i="131"/>
  <c r="N27" i="131" s="1"/>
  <c r="N37" i="131"/>
  <c r="E35" i="131"/>
  <c r="E34" i="131"/>
  <c r="S29" i="131"/>
  <c r="S26" i="131"/>
  <c r="S27" i="131" s="1"/>
  <c r="S37" i="131"/>
  <c r="K35" i="131"/>
  <c r="K41" i="131" s="1"/>
  <c r="K34" i="131"/>
  <c r="G35" i="131"/>
  <c r="G41" i="131" s="1"/>
  <c r="G34" i="131"/>
  <c r="U41" i="131"/>
  <c r="U34" i="131"/>
  <c r="L32" i="131"/>
  <c r="O42" i="131" l="1"/>
  <c r="M42" i="131"/>
  <c r="P39" i="131"/>
  <c r="P32" i="131"/>
  <c r="L35" i="131"/>
  <c r="L34" i="131"/>
  <c r="S39" i="131"/>
  <c r="S32" i="131"/>
  <c r="E41" i="131"/>
  <c r="E42" i="131"/>
  <c r="Q35" i="131"/>
  <c r="Q34" i="131"/>
  <c r="G42" i="131"/>
  <c r="N39" i="131"/>
  <c r="N32" i="131"/>
  <c r="J39" i="131"/>
  <c r="J32" i="131"/>
  <c r="I41" i="131"/>
  <c r="I42" i="131"/>
  <c r="F41" i="131"/>
  <c r="F42" i="131"/>
  <c r="H41" i="131"/>
  <c r="H42" i="131"/>
  <c r="U42" i="131"/>
  <c r="K42" i="131"/>
  <c r="P34" i="131" l="1"/>
  <c r="P35" i="131"/>
  <c r="J35" i="131"/>
  <c r="J34" i="131"/>
  <c r="N35" i="131"/>
  <c r="N34" i="131"/>
  <c r="S35" i="131"/>
  <c r="S34" i="131"/>
  <c r="Q41" i="131"/>
  <c r="Q42" i="131"/>
  <c r="L41" i="131"/>
  <c r="L42" i="131"/>
  <c r="P42" i="131" l="1"/>
  <c r="P41" i="131"/>
  <c r="J41" i="131"/>
  <c r="J42" i="131"/>
  <c r="N41" i="131"/>
  <c r="N42" i="131"/>
  <c r="S41" i="131"/>
  <c r="S42" i="131"/>
  <c r="C10" i="129" l="1"/>
  <c r="BK7" i="111"/>
  <c r="E8" i="129"/>
  <c r="E23" i="129"/>
  <c r="E24" i="129" s="1"/>
  <c r="E25" i="129" s="1"/>
  <c r="E28" i="129"/>
  <c r="E26" i="129"/>
  <c r="DZ37" i="111"/>
  <c r="BJ37" i="111"/>
  <c r="BH37" i="111"/>
  <c r="BF37" i="111"/>
  <c r="BE37" i="111"/>
  <c r="BD37" i="111"/>
  <c r="BB37" i="111"/>
  <c r="AZ37" i="111"/>
  <c r="AY37" i="111"/>
  <c r="EA37" i="111"/>
  <c r="BI37" i="111"/>
  <c r="BG37" i="111"/>
  <c r="BC37" i="111"/>
  <c r="BA37" i="111"/>
  <c r="EA36" i="111"/>
  <c r="DZ36" i="111"/>
  <c r="AX36" i="111"/>
  <c r="AX37" i="111" s="1"/>
  <c r="AW36" i="111"/>
  <c r="AV36" i="111"/>
  <c r="AU36" i="111"/>
  <c r="AT36" i="111"/>
  <c r="AS36" i="111"/>
  <c r="AR36" i="111"/>
  <c r="AQ36" i="111"/>
  <c r="AP36" i="111"/>
  <c r="AO36" i="111"/>
  <c r="AN36" i="111"/>
  <c r="AM36" i="111"/>
  <c r="AL36" i="111"/>
  <c r="AK36" i="111"/>
  <c r="AJ36" i="111"/>
  <c r="AI36" i="111"/>
  <c r="AH36" i="111"/>
  <c r="AG36" i="111"/>
  <c r="AF36" i="111"/>
  <c r="AE36" i="111"/>
  <c r="AD36" i="111"/>
  <c r="AC36" i="111"/>
  <c r="AB36" i="111"/>
  <c r="AA36" i="111"/>
  <c r="Z36" i="111"/>
  <c r="V36" i="111"/>
  <c r="EA33" i="111"/>
  <c r="BJ33" i="111"/>
  <c r="BI33" i="111"/>
  <c r="BH33" i="111"/>
  <c r="BG33" i="111"/>
  <c r="BF33" i="111"/>
  <c r="BE33" i="111"/>
  <c r="BD33" i="111"/>
  <c r="BC33" i="111"/>
  <c r="BB33" i="111"/>
  <c r="BA33" i="111"/>
  <c r="AZ33" i="111"/>
  <c r="AY33" i="111"/>
  <c r="AX33" i="111"/>
  <c r="AW33" i="111"/>
  <c r="AV33" i="111"/>
  <c r="AU33" i="111"/>
  <c r="AT33" i="111"/>
  <c r="AS33" i="111"/>
  <c r="AR33" i="111"/>
  <c r="AQ33" i="111"/>
  <c r="AP33" i="111"/>
  <c r="AO33" i="111"/>
  <c r="AN33" i="111"/>
  <c r="AM33" i="111"/>
  <c r="AL33" i="111"/>
  <c r="AK33" i="111"/>
  <c r="AJ33" i="111"/>
  <c r="AI33" i="111"/>
  <c r="AH33" i="111"/>
  <c r="AG33" i="111"/>
  <c r="AF33" i="111"/>
  <c r="AE33" i="111"/>
  <c r="AD33" i="111"/>
  <c r="AC33" i="111"/>
  <c r="AB33" i="111"/>
  <c r="AA33" i="111"/>
  <c r="Z33" i="111"/>
  <c r="Y33" i="111"/>
  <c r="X33" i="111"/>
  <c r="W33" i="111"/>
  <c r="V33" i="111"/>
  <c r="U33" i="111"/>
  <c r="T33" i="111"/>
  <c r="S33" i="111"/>
  <c r="R33" i="111"/>
  <c r="Q33" i="111"/>
  <c r="P33" i="111"/>
  <c r="O33" i="111"/>
  <c r="N33" i="111"/>
  <c r="M33" i="111"/>
  <c r="L33" i="111"/>
  <c r="K33" i="111"/>
  <c r="J33" i="111"/>
  <c r="I33" i="111"/>
  <c r="H33" i="111"/>
  <c r="G33" i="111"/>
  <c r="F33" i="111"/>
  <c r="E33" i="111"/>
  <c r="D33" i="111"/>
  <c r="C33" i="111"/>
  <c r="EA32" i="111"/>
  <c r="BJ32" i="111"/>
  <c r="BI32" i="111"/>
  <c r="BH32" i="111"/>
  <c r="BG32" i="111"/>
  <c r="BF32" i="111"/>
  <c r="BE32" i="111"/>
  <c r="BD32" i="111"/>
  <c r="BC32" i="111"/>
  <c r="BB32" i="111"/>
  <c r="BA32" i="111"/>
  <c r="AZ32" i="111"/>
  <c r="AY32" i="111"/>
  <c r="AX32" i="111"/>
  <c r="AW32" i="111"/>
  <c r="AV32" i="111"/>
  <c r="AU32" i="111"/>
  <c r="AT32" i="111"/>
  <c r="AS32" i="111"/>
  <c r="AR32" i="111"/>
  <c r="AQ32" i="111"/>
  <c r="AP32" i="111"/>
  <c r="AO32" i="111"/>
  <c r="AN32" i="111"/>
  <c r="AM32" i="111"/>
  <c r="AL32" i="111"/>
  <c r="AK32" i="111"/>
  <c r="AJ32" i="111"/>
  <c r="AI32" i="111"/>
  <c r="AH32" i="111"/>
  <c r="AG32" i="111"/>
  <c r="AF32" i="111"/>
  <c r="AE32" i="111"/>
  <c r="AD32" i="111"/>
  <c r="AC32" i="111"/>
  <c r="AB32" i="111"/>
  <c r="AA32" i="111"/>
  <c r="Z32" i="111"/>
  <c r="Y32" i="111"/>
  <c r="X32" i="111"/>
  <c r="W32" i="111"/>
  <c r="V32" i="111"/>
  <c r="U32" i="111"/>
  <c r="T32" i="111"/>
  <c r="S32" i="111"/>
  <c r="R32" i="111"/>
  <c r="Q32" i="111"/>
  <c r="P32" i="111"/>
  <c r="O32" i="111"/>
  <c r="N32" i="111"/>
  <c r="N36" i="111" s="1"/>
  <c r="M32" i="111"/>
  <c r="L32" i="111"/>
  <c r="K32" i="111"/>
  <c r="J32" i="111"/>
  <c r="I32" i="111"/>
  <c r="H32" i="111"/>
  <c r="G32" i="111"/>
  <c r="F32" i="111"/>
  <c r="E32" i="111"/>
  <c r="D32" i="111"/>
  <c r="C32" i="111"/>
  <c r="EA31" i="111"/>
  <c r="BJ31" i="111"/>
  <c r="BI31" i="111"/>
  <c r="BH31" i="111"/>
  <c r="BG31" i="111"/>
  <c r="BF31" i="111"/>
  <c r="BE31" i="111"/>
  <c r="BD31" i="111"/>
  <c r="BC31" i="111"/>
  <c r="BB31" i="111"/>
  <c r="BA31" i="111"/>
  <c r="AZ31" i="111"/>
  <c r="AY31" i="111"/>
  <c r="AX31" i="111"/>
  <c r="AW31" i="111"/>
  <c r="AV31" i="111"/>
  <c r="AU31" i="111"/>
  <c r="AT31" i="111"/>
  <c r="AS31" i="111"/>
  <c r="AR31" i="111"/>
  <c r="AQ31" i="111"/>
  <c r="AP31" i="111"/>
  <c r="AO31" i="111"/>
  <c r="AN31" i="111"/>
  <c r="AM31" i="111"/>
  <c r="AL31" i="111"/>
  <c r="AK31" i="111"/>
  <c r="AJ31" i="111"/>
  <c r="AI31" i="111"/>
  <c r="AH31" i="111"/>
  <c r="AG31" i="111"/>
  <c r="AF31" i="111"/>
  <c r="AE31" i="111"/>
  <c r="AD31" i="111"/>
  <c r="AC31" i="111"/>
  <c r="AB31" i="111"/>
  <c r="AA31" i="111"/>
  <c r="Z31" i="111"/>
  <c r="Y31" i="111"/>
  <c r="X31" i="111"/>
  <c r="W31" i="111"/>
  <c r="V31" i="111"/>
  <c r="U31" i="111"/>
  <c r="T31" i="111"/>
  <c r="S31" i="111"/>
  <c r="R31" i="111"/>
  <c r="Q31" i="111"/>
  <c r="P31" i="111"/>
  <c r="O31" i="111"/>
  <c r="N31" i="111"/>
  <c r="M31" i="111"/>
  <c r="L31" i="111"/>
  <c r="K31" i="111"/>
  <c r="J31" i="111"/>
  <c r="I31" i="111"/>
  <c r="H31" i="111"/>
  <c r="G31" i="111"/>
  <c r="F31" i="111"/>
  <c r="E31" i="111"/>
  <c r="D31" i="111"/>
  <c r="C31" i="111"/>
  <c r="EB37" i="111" l="1"/>
  <c r="EC37" i="111" s="1"/>
  <c r="EB36" i="111"/>
  <c r="EC36" i="111" s="1"/>
  <c r="CA7" i="111" l="1"/>
  <c r="CA20" i="111" s="1"/>
  <c r="CA8" i="111"/>
  <c r="CA21" i="111" s="1"/>
  <c r="CA2" i="111"/>
  <c r="A8" i="129" l="1"/>
  <c r="CA14" i="111" l="1"/>
  <c r="CA15" i="111" s="1"/>
  <c r="CA17" i="111"/>
  <c r="AO179" i="50" l="1"/>
  <c r="AO178" i="50"/>
  <c r="AO177" i="50"/>
  <c r="AO176" i="50"/>
  <c r="AO175" i="50"/>
  <c r="AO174" i="50"/>
  <c r="AO173" i="50"/>
  <c r="AO170" i="50"/>
  <c r="AO168" i="50"/>
  <c r="AO166" i="50"/>
  <c r="AO155" i="50"/>
  <c r="AO183" i="50" s="1"/>
  <c r="AO137" i="50"/>
  <c r="AO96" i="50"/>
  <c r="AC95" i="50"/>
  <c r="AO84" i="50"/>
  <c r="AO182" i="50" l="1"/>
  <c r="AO92" i="50"/>
  <c r="AO167" i="50"/>
  <c r="AO79" i="50"/>
  <c r="AO82" i="50" s="1"/>
  <c r="AO81" i="50"/>
  <c r="AO73" i="50"/>
  <c r="AO72" i="50"/>
  <c r="AO52" i="50"/>
  <c r="AO65" i="50"/>
  <c r="AF44" i="56"/>
  <c r="AF43" i="56"/>
  <c r="AF42" i="56"/>
  <c r="AF37" i="56"/>
  <c r="AF23" i="56"/>
  <c r="AF20" i="56"/>
  <c r="S24" i="129"/>
  <c r="S10" i="129"/>
  <c r="S8" i="129"/>
  <c r="S38" i="129" s="1"/>
  <c r="S4" i="129"/>
  <c r="C2" i="129"/>
  <c r="AO80" i="50" l="1"/>
  <c r="S33" i="129"/>
  <c r="S36" i="129" s="1"/>
  <c r="S25" i="129"/>
  <c r="C8" i="129"/>
  <c r="AF163" i="50"/>
  <c r="AG163" i="50"/>
  <c r="AH163" i="50"/>
  <c r="AI163" i="50"/>
  <c r="AJ163" i="50"/>
  <c r="S19" i="129" l="1"/>
  <c r="S28" i="129" s="1"/>
  <c r="S18" i="129"/>
  <c r="V33" i="56"/>
  <c r="S29" i="129" l="1"/>
  <c r="S26" i="129"/>
  <c r="S37" i="129"/>
  <c r="S32" i="129" s="1"/>
  <c r="AF106" i="50"/>
  <c r="AE104" i="50"/>
  <c r="AD8" i="50" l="1"/>
  <c r="AD100" i="50" l="1"/>
  <c r="AE100" i="50"/>
  <c r="AE163" i="50" l="1"/>
  <c r="BP7" i="111"/>
  <c r="BT46" i="111" l="1"/>
  <c r="BT50" i="111"/>
  <c r="BQ7" i="111"/>
  <c r="BU46" i="111" l="1"/>
  <c r="BU48" i="111" s="1"/>
  <c r="BV48" i="111" s="1"/>
  <c r="BU47" i="111" l="1"/>
  <c r="BV47" i="111" s="1"/>
  <c r="AF39" i="56" l="1"/>
  <c r="AF13" i="56"/>
  <c r="AF6" i="56"/>
  <c r="AF19" i="56" s="1"/>
  <c r="AF18" i="56" s="1"/>
  <c r="AF5" i="56"/>
  <c r="AF4" i="56"/>
  <c r="AF3" i="56" l="1"/>
  <c r="U33" i="56"/>
  <c r="BZ7" i="111" l="1"/>
  <c r="BY7" i="111"/>
  <c r="BX7" i="111"/>
  <c r="BW7" i="111"/>
  <c r="BT7" i="111"/>
  <c r="BR7" i="111"/>
  <c r="AD101" i="50" l="1"/>
  <c r="AD103" i="50" l="1"/>
  <c r="AD163" i="50" l="1"/>
  <c r="T33" i="56"/>
  <c r="AF12" i="56" l="1"/>
  <c r="AF10" i="56"/>
  <c r="AO160" i="50"/>
  <c r="AO159" i="50"/>
  <c r="AO104" i="50"/>
  <c r="AO19" i="50" s="1"/>
  <c r="AO100" i="50"/>
  <c r="AO98" i="50"/>
  <c r="AO87" i="50"/>
  <c r="AO76" i="50"/>
  <c r="AO75" i="50"/>
  <c r="AO74" i="50"/>
  <c r="AO67" i="50"/>
  <c r="AO69" i="50"/>
  <c r="AO54" i="50"/>
  <c r="AO41" i="50"/>
  <c r="AO34" i="50"/>
  <c r="AO27" i="50"/>
  <c r="AO21" i="50"/>
  <c r="AO13" i="50"/>
  <c r="CA55" i="111"/>
  <c r="AO164" i="50" l="1"/>
  <c r="AO77" i="50"/>
  <c r="AO185" i="50"/>
  <c r="AO93" i="50"/>
  <c r="AO180" i="50"/>
  <c r="AO97" i="50"/>
  <c r="AO53" i="50" s="1"/>
  <c r="AO163" i="50"/>
  <c r="AO184" i="50"/>
  <c r="AO171" i="50"/>
  <c r="AO172" i="50" s="1"/>
  <c r="AO187" i="50" s="1"/>
  <c r="AO165" i="50"/>
  <c r="AO169" i="50"/>
  <c r="CA16" i="111"/>
  <c r="AO85" i="50"/>
  <c r="AF11" i="56"/>
  <c r="AO83" i="50"/>
  <c r="AO162" i="50" l="1"/>
  <c r="AF8" i="56" s="1"/>
  <c r="AF22" i="56"/>
  <c r="AF21" i="56" s="1"/>
  <c r="AF17" i="56"/>
  <c r="AF16" i="56" s="1"/>
  <c r="AF9" i="56"/>
  <c r="AO88" i="50"/>
  <c r="AO86" i="50"/>
  <c r="AO89" i="50" s="1"/>
  <c r="AO181" i="50" l="1"/>
  <c r="AF7" i="56"/>
  <c r="S31" i="129"/>
  <c r="S21" i="129"/>
  <c r="S2" i="129"/>
  <c r="S27" i="129" l="1"/>
  <c r="AB103" i="50"/>
  <c r="S39" i="129" l="1"/>
  <c r="AB8" i="50"/>
  <c r="S34" i="129" l="1"/>
  <c r="S35" i="129"/>
  <c r="AB105" i="50"/>
  <c r="S41" i="129" l="1"/>
  <c r="S42" i="129"/>
  <c r="BN6" i="111"/>
  <c r="BO7" i="111"/>
  <c r="AB106" i="50" l="1"/>
  <c r="BN7" i="111" l="1"/>
  <c r="AA137" i="50" l="1"/>
  <c r="AB137" i="50"/>
  <c r="AC137" i="50"/>
  <c r="AD137" i="50"/>
  <c r="AE137" i="50"/>
  <c r="AF137" i="50"/>
  <c r="AF90" i="50" s="1"/>
  <c r="AG137" i="50"/>
  <c r="AH137" i="50"/>
  <c r="AI137" i="50"/>
  <c r="AJ137" i="50"/>
  <c r="AK137" i="50"/>
  <c r="AL137" i="50"/>
  <c r="AM137" i="50"/>
  <c r="AN137" i="50"/>
  <c r="AE44" i="56" l="1"/>
  <c r="AE42" i="56"/>
  <c r="AE39" i="56"/>
  <c r="AE37" i="56"/>
  <c r="AE23" i="56"/>
  <c r="AE20" i="56"/>
  <c r="AE13" i="56"/>
  <c r="AE6" i="56"/>
  <c r="AE19" i="56" s="1"/>
  <c r="AE5" i="56"/>
  <c r="AE4" i="56"/>
  <c r="AE3" i="56" l="1"/>
  <c r="AE18" i="56"/>
  <c r="C59" i="50" l="1"/>
  <c r="C58" i="50"/>
  <c r="C57" i="50"/>
  <c r="C56" i="50"/>
  <c r="C29" i="129" l="1"/>
  <c r="BV7" i="111" l="1"/>
  <c r="BU7" i="111"/>
  <c r="BZ55" i="111"/>
  <c r="BZ18" i="111"/>
  <c r="BZ8" i="111"/>
  <c r="BZ21" i="111" s="1"/>
  <c r="BZ2" i="111"/>
  <c r="AN182" i="50"/>
  <c r="AN179" i="50"/>
  <c r="AN178" i="50"/>
  <c r="AN177" i="50"/>
  <c r="AN176" i="50"/>
  <c r="AN175" i="50"/>
  <c r="AN174" i="50"/>
  <c r="AN173" i="50"/>
  <c r="AN170" i="50"/>
  <c r="AN168" i="50"/>
  <c r="AE12" i="56" s="1"/>
  <c r="AN167" i="50"/>
  <c r="AE11" i="56" s="1"/>
  <c r="AN166" i="50"/>
  <c r="AE10" i="56" s="1"/>
  <c r="AN160" i="50"/>
  <c r="AN185" i="50" s="1"/>
  <c r="AN159" i="50"/>
  <c r="AN184" i="50" s="1"/>
  <c r="AN155" i="50"/>
  <c r="AN104" i="50"/>
  <c r="AN164" i="50" s="1"/>
  <c r="AN100" i="50"/>
  <c r="AN98" i="50"/>
  <c r="AN96" i="50"/>
  <c r="AN92" i="50"/>
  <c r="AN90" i="50"/>
  <c r="AN84" i="50"/>
  <c r="AN85" i="50" s="1"/>
  <c r="AN78" i="50"/>
  <c r="AN81" i="50" s="1"/>
  <c r="AN76" i="50"/>
  <c r="AN75" i="50"/>
  <c r="AN74" i="50"/>
  <c r="AN73" i="50"/>
  <c r="AN72" i="50"/>
  <c r="AN68" i="50"/>
  <c r="AN67" i="50"/>
  <c r="AN65" i="50"/>
  <c r="AN56" i="50"/>
  <c r="AN69" i="50" s="1"/>
  <c r="AN54" i="50"/>
  <c r="AN52" i="50"/>
  <c r="AN41" i="50"/>
  <c r="AN34" i="50"/>
  <c r="AN27" i="50"/>
  <c r="AN21" i="50"/>
  <c r="AN13" i="50"/>
  <c r="AN165" i="50" l="1"/>
  <c r="AN163" i="50"/>
  <c r="AN162" i="50" s="1"/>
  <c r="AE8" i="56" s="1"/>
  <c r="AN180" i="50"/>
  <c r="AE9" i="56"/>
  <c r="AE22" i="56"/>
  <c r="AE21" i="56" s="1"/>
  <c r="AE17" i="56"/>
  <c r="AE16" i="56" s="1"/>
  <c r="AN97" i="50"/>
  <c r="AN53" i="50" s="1"/>
  <c r="AN169" i="50"/>
  <c r="AN93" i="50"/>
  <c r="AN77" i="50"/>
  <c r="AN171" i="50"/>
  <c r="AN172" i="50" s="1"/>
  <c r="AN187" i="50" s="1"/>
  <c r="BZ14" i="111"/>
  <c r="BZ17" i="111"/>
  <c r="BZ16" i="111" s="1"/>
  <c r="BZ20" i="111"/>
  <c r="AN79" i="50"/>
  <c r="AN82" i="50" s="1"/>
  <c r="AN87" i="50"/>
  <c r="AN19" i="50"/>
  <c r="AN86" i="50"/>
  <c r="AN89" i="50" s="1"/>
  <c r="AN88" i="50"/>
  <c r="AN183" i="50"/>
  <c r="AN80" i="50" l="1"/>
  <c r="AN83" i="50" s="1"/>
  <c r="AE7" i="56"/>
  <c r="AN181" i="50"/>
  <c r="BZ15" i="111"/>
  <c r="R31" i="129" l="1"/>
  <c r="R23" i="129"/>
  <c r="R24" i="129" s="1"/>
  <c r="R21" i="129"/>
  <c r="R10" i="129"/>
  <c r="R8" i="129"/>
  <c r="R4" i="129"/>
  <c r="R2" i="129"/>
  <c r="R38" i="129" l="1"/>
  <c r="R33" i="129" s="1"/>
  <c r="R36" i="129" s="1"/>
  <c r="R16" i="129"/>
  <c r="R19" i="129" s="1"/>
  <c r="R28" i="129" s="1"/>
  <c r="R29" i="129" s="1"/>
  <c r="R25" i="129"/>
  <c r="AA59" i="50"/>
  <c r="R18" i="129" l="1"/>
  <c r="R26" i="129"/>
  <c r="R27" i="129" s="1"/>
  <c r="R37" i="129"/>
  <c r="R32" i="129" l="1"/>
  <c r="R39" i="129"/>
  <c r="R35" i="129" l="1"/>
  <c r="R34" i="129"/>
  <c r="R41" i="129" l="1"/>
  <c r="R42" i="129"/>
  <c r="AM100" i="50" l="1"/>
  <c r="AL100" i="50"/>
  <c r="AK100" i="50"/>
  <c r="AA33" i="56"/>
  <c r="AD44" i="56" l="1"/>
  <c r="AD43" i="56"/>
  <c r="AD42" i="56"/>
  <c r="AD39" i="56"/>
  <c r="AD37" i="56"/>
  <c r="AD23" i="56"/>
  <c r="AD20" i="56"/>
  <c r="AD13" i="56"/>
  <c r="AD6" i="56"/>
  <c r="AD19" i="56" s="1"/>
  <c r="AD5" i="56"/>
  <c r="AD4" i="56"/>
  <c r="AD18" i="56" l="1"/>
  <c r="AD3" i="56"/>
  <c r="AA123" i="50" l="1"/>
  <c r="S33" i="56" l="1"/>
  <c r="AA106" i="50" l="1"/>
  <c r="AI104" i="50" l="1"/>
  <c r="AA100" i="50" l="1"/>
  <c r="AA99" i="50"/>
  <c r="AA17" i="50" l="1"/>
  <c r="Q31" i="129" l="1"/>
  <c r="P31" i="129"/>
  <c r="O31" i="129"/>
  <c r="N31" i="129"/>
  <c r="M31" i="129"/>
  <c r="L31" i="129"/>
  <c r="K31" i="129"/>
  <c r="J31" i="129"/>
  <c r="I31" i="129"/>
  <c r="H31" i="129"/>
  <c r="G31" i="129"/>
  <c r="F31" i="129"/>
  <c r="E31" i="129"/>
  <c r="D31" i="129"/>
  <c r="C31" i="129"/>
  <c r="D24" i="129"/>
  <c r="D25" i="129" s="1"/>
  <c r="C24" i="129"/>
  <c r="Q23" i="129"/>
  <c r="Q24" i="129" s="1"/>
  <c r="P23" i="129"/>
  <c r="P24" i="129" s="1"/>
  <c r="P25" i="129" s="1"/>
  <c r="O23" i="129"/>
  <c r="O24" i="129" s="1"/>
  <c r="N23" i="129"/>
  <c r="N24" i="129" s="1"/>
  <c r="N25" i="129" s="1"/>
  <c r="M23" i="129"/>
  <c r="M24" i="129" s="1"/>
  <c r="L23" i="129"/>
  <c r="L24" i="129" s="1"/>
  <c r="K23" i="129"/>
  <c r="K24" i="129" s="1"/>
  <c r="K25" i="129" s="1"/>
  <c r="J23" i="129"/>
  <c r="J24" i="129" s="1"/>
  <c r="I23" i="129"/>
  <c r="I24" i="129" s="1"/>
  <c r="F23" i="129"/>
  <c r="F24" i="129" s="1"/>
  <c r="A23" i="129"/>
  <c r="Q21" i="129"/>
  <c r="P21" i="129"/>
  <c r="O21" i="129"/>
  <c r="N21" i="129"/>
  <c r="M21" i="129"/>
  <c r="L21" i="129"/>
  <c r="K21" i="129"/>
  <c r="J21" i="129"/>
  <c r="I21" i="129"/>
  <c r="H21" i="129"/>
  <c r="G21" i="129"/>
  <c r="F21" i="129"/>
  <c r="E21" i="129"/>
  <c r="D21" i="129"/>
  <c r="C21" i="129"/>
  <c r="Q10" i="129"/>
  <c r="P10" i="129"/>
  <c r="O10" i="129"/>
  <c r="N10" i="129"/>
  <c r="M10" i="129"/>
  <c r="L10" i="129"/>
  <c r="K10" i="129"/>
  <c r="J10" i="129"/>
  <c r="I10" i="129"/>
  <c r="G10" i="129"/>
  <c r="F10" i="129"/>
  <c r="E10" i="129"/>
  <c r="D10" i="129"/>
  <c r="Q8" i="129"/>
  <c r="P8" i="129"/>
  <c r="O8" i="129"/>
  <c r="O38" i="129" s="1"/>
  <c r="O33" i="129" s="1"/>
  <c r="O36" i="129" s="1"/>
  <c r="N8" i="129"/>
  <c r="N38" i="129" s="1"/>
  <c r="N33" i="129" s="1"/>
  <c r="N36" i="129" s="1"/>
  <c r="M8" i="129"/>
  <c r="L8" i="129"/>
  <c r="L19" i="129" s="1"/>
  <c r="K8" i="129"/>
  <c r="K38" i="129" s="1"/>
  <c r="K33" i="129" s="1"/>
  <c r="K36" i="129" s="1"/>
  <c r="J8" i="129"/>
  <c r="I8" i="129"/>
  <c r="H8" i="129"/>
  <c r="G8" i="129"/>
  <c r="G38" i="129" s="1"/>
  <c r="G33" i="129" s="1"/>
  <c r="G36" i="129" s="1"/>
  <c r="F8" i="129"/>
  <c r="F38" i="129" s="1"/>
  <c r="F33" i="129" s="1"/>
  <c r="F36" i="129" s="1"/>
  <c r="E16" i="129"/>
  <c r="E19" i="129" s="1"/>
  <c r="D8" i="129"/>
  <c r="Q4" i="129"/>
  <c r="P4" i="129"/>
  <c r="O4" i="129"/>
  <c r="N4" i="129"/>
  <c r="M4" i="129"/>
  <c r="L4" i="129"/>
  <c r="K4" i="129"/>
  <c r="J4" i="129"/>
  <c r="I4" i="129"/>
  <c r="H4" i="129"/>
  <c r="G4" i="129"/>
  <c r="E4" i="129"/>
  <c r="D4" i="129"/>
  <c r="C4" i="129"/>
  <c r="Q2" i="129"/>
  <c r="P2" i="129"/>
  <c r="O2" i="129"/>
  <c r="N2" i="129"/>
  <c r="M2" i="129"/>
  <c r="L2" i="129"/>
  <c r="K2" i="129"/>
  <c r="J2" i="129"/>
  <c r="I2" i="129"/>
  <c r="H2" i="129"/>
  <c r="G2" i="129"/>
  <c r="F2" i="129"/>
  <c r="E2" i="129"/>
  <c r="D2" i="129"/>
  <c r="F25" i="129" l="1"/>
  <c r="F28" i="129"/>
  <c r="F37" i="129" s="1"/>
  <c r="F32" i="129" s="1"/>
  <c r="H24" i="129"/>
  <c r="H28" i="129" s="1"/>
  <c r="H37" i="129" s="1"/>
  <c r="H32" i="129" s="1"/>
  <c r="L25" i="129"/>
  <c r="L28" i="129"/>
  <c r="D38" i="129"/>
  <c r="D33" i="129" s="1"/>
  <c r="D36" i="129" s="1"/>
  <c r="A25" i="129"/>
  <c r="A24" i="129"/>
  <c r="E38" i="129"/>
  <c r="E33" i="129" s="1"/>
  <c r="E36" i="129" s="1"/>
  <c r="Q38" i="129"/>
  <c r="Q33" i="129" s="1"/>
  <c r="Q36" i="129" s="1"/>
  <c r="L38" i="129"/>
  <c r="L33" i="129" s="1"/>
  <c r="L36" i="129" s="1"/>
  <c r="M38" i="129"/>
  <c r="M33" i="129" s="1"/>
  <c r="M36" i="129" s="1"/>
  <c r="J38" i="129"/>
  <c r="J33" i="129" s="1"/>
  <c r="J36" i="129" s="1"/>
  <c r="H38" i="129"/>
  <c r="H33" i="129" s="1"/>
  <c r="H36" i="129" s="1"/>
  <c r="P38" i="129"/>
  <c r="P33" i="129" s="1"/>
  <c r="P36" i="129" s="1"/>
  <c r="I38" i="129"/>
  <c r="I33" i="129" s="1"/>
  <c r="I36" i="129" s="1"/>
  <c r="D28" i="129"/>
  <c r="Q16" i="129"/>
  <c r="Q18" i="129" s="1"/>
  <c r="F16" i="129"/>
  <c r="I16" i="129"/>
  <c r="P16" i="129"/>
  <c r="H16" i="129"/>
  <c r="O16" i="129"/>
  <c r="G16" i="129"/>
  <c r="G28" i="129"/>
  <c r="G25" i="129"/>
  <c r="I25" i="129"/>
  <c r="M25" i="129"/>
  <c r="Q25" i="129"/>
  <c r="J25" i="129"/>
  <c r="O25" i="129"/>
  <c r="H25" i="129" l="1"/>
  <c r="G29" i="129"/>
  <c r="G26" i="129"/>
  <c r="H26" i="129"/>
  <c r="H27" i="129" s="1"/>
  <c r="H29" i="129"/>
  <c r="F26" i="129"/>
  <c r="F27" i="129" s="1"/>
  <c r="F29" i="129"/>
  <c r="D26" i="129"/>
  <c r="D27" i="129" s="1"/>
  <c r="D29" i="129"/>
  <c r="Q19" i="129"/>
  <c r="Q28" i="129" s="1"/>
  <c r="H35" i="129"/>
  <c r="H34" i="129"/>
  <c r="D37" i="129"/>
  <c r="D39" i="129" s="1"/>
  <c r="H39" i="129"/>
  <c r="K18" i="129"/>
  <c r="K19" i="129"/>
  <c r="K28" i="129" s="1"/>
  <c r="K29" i="129" s="1"/>
  <c r="P18" i="129"/>
  <c r="P19" i="129"/>
  <c r="P28" i="129" s="1"/>
  <c r="P29" i="129" s="1"/>
  <c r="N18" i="129"/>
  <c r="N19" i="129"/>
  <c r="N28" i="129" s="1"/>
  <c r="N29" i="129" s="1"/>
  <c r="O18" i="129"/>
  <c r="O19" i="129"/>
  <c r="O28" i="129" s="1"/>
  <c r="O29" i="129" s="1"/>
  <c r="E18" i="129"/>
  <c r="H18" i="129"/>
  <c r="H19" i="129"/>
  <c r="I18" i="129"/>
  <c r="I19" i="129"/>
  <c r="I28" i="129" s="1"/>
  <c r="I26" i="129" s="1"/>
  <c r="F18" i="129"/>
  <c r="F19" i="129"/>
  <c r="F39" i="129"/>
  <c r="G18" i="129"/>
  <c r="G19" i="129"/>
  <c r="L18" i="129"/>
  <c r="M18" i="129"/>
  <c r="M19" i="129"/>
  <c r="M28" i="129" s="1"/>
  <c r="J19" i="129"/>
  <c r="J28" i="129" s="1"/>
  <c r="J29" i="129" s="1"/>
  <c r="J18" i="129"/>
  <c r="G27" i="129"/>
  <c r="G37" i="129"/>
  <c r="E29" i="129"/>
  <c r="BY55" i="111"/>
  <c r="BY18" i="111"/>
  <c r="BY8" i="111"/>
  <c r="BY21" i="111" s="1"/>
  <c r="BY2" i="111"/>
  <c r="AM179" i="50"/>
  <c r="AM178" i="50"/>
  <c r="AM177" i="50"/>
  <c r="AM176" i="50"/>
  <c r="AM175" i="50"/>
  <c r="AM174" i="50"/>
  <c r="AM173" i="50"/>
  <c r="AM170" i="50"/>
  <c r="AM168" i="50"/>
  <c r="AD12" i="56" s="1"/>
  <c r="AM166" i="50"/>
  <c r="AD10" i="56" s="1"/>
  <c r="AM160" i="50"/>
  <c r="AM185" i="50" s="1"/>
  <c r="AM159" i="50"/>
  <c r="AM184" i="50" s="1"/>
  <c r="AM155" i="50"/>
  <c r="AM182" i="50"/>
  <c r="AM104" i="50"/>
  <c r="AM164" i="50" s="1"/>
  <c r="AM99" i="50"/>
  <c r="AM98" i="50"/>
  <c r="AM96" i="50"/>
  <c r="AM84" i="50"/>
  <c r="AM87" i="50" s="1"/>
  <c r="AM78" i="50"/>
  <c r="AM81" i="50" s="1"/>
  <c r="AM76" i="50"/>
  <c r="AM75" i="50"/>
  <c r="AM74" i="50"/>
  <c r="AM73" i="50"/>
  <c r="AM72" i="50"/>
  <c r="AM68" i="50"/>
  <c r="AM67" i="50"/>
  <c r="AM65" i="50"/>
  <c r="AM56" i="50"/>
  <c r="AM69" i="50" s="1"/>
  <c r="AM54" i="50"/>
  <c r="AM52" i="50"/>
  <c r="AM41" i="50"/>
  <c r="AM34" i="50"/>
  <c r="AM27" i="50"/>
  <c r="AM21" i="50"/>
  <c r="AM13" i="50"/>
  <c r="H41" i="129" l="1"/>
  <c r="AM163" i="50"/>
  <c r="AM162" i="50" s="1"/>
  <c r="AD8" i="56" s="1"/>
  <c r="AM180" i="50"/>
  <c r="H42" i="129"/>
  <c r="I27" i="129"/>
  <c r="I29" i="129"/>
  <c r="L26" i="129"/>
  <c r="L27" i="129" s="1"/>
  <c r="L29" i="129"/>
  <c r="M37" i="129"/>
  <c r="M32" i="129" s="1"/>
  <c r="M29" i="129"/>
  <c r="Q37" i="129"/>
  <c r="Q39" i="129" s="1"/>
  <c r="Q29" i="129"/>
  <c r="Q26" i="129"/>
  <c r="Q27" i="129" s="1"/>
  <c r="D32" i="129"/>
  <c r="D35" i="129" s="1"/>
  <c r="D41" i="129" s="1"/>
  <c r="I37" i="129"/>
  <c r="I39" i="129" s="1"/>
  <c r="M26" i="129"/>
  <c r="M27" i="129" s="1"/>
  <c r="AM92" i="50"/>
  <c r="AM169" i="50"/>
  <c r="L37" i="129"/>
  <c r="L39" i="129" s="1"/>
  <c r="O26" i="129"/>
  <c r="O27" i="129" s="1"/>
  <c r="O37" i="129"/>
  <c r="E37" i="129"/>
  <c r="E32" i="129" s="1"/>
  <c r="J26" i="129"/>
  <c r="J27" i="129" s="1"/>
  <c r="J37" i="129"/>
  <c r="J32" i="129" s="1"/>
  <c r="K26" i="129"/>
  <c r="K27" i="129" s="1"/>
  <c r="K37" i="129"/>
  <c r="N26" i="129"/>
  <c r="N27" i="129" s="1"/>
  <c r="N37" i="129"/>
  <c r="P26" i="129"/>
  <c r="P27" i="129" s="1"/>
  <c r="P37" i="129"/>
  <c r="G39" i="129"/>
  <c r="G32" i="129"/>
  <c r="AM93" i="50"/>
  <c r="AM77" i="50"/>
  <c r="AM79" i="50"/>
  <c r="AM82" i="50" s="1"/>
  <c r="AM80" i="50" s="1"/>
  <c r="AM83" i="50" s="1"/>
  <c r="AM165" i="50"/>
  <c r="AM167" i="50"/>
  <c r="AD11" i="56" s="1"/>
  <c r="AD9" i="56" s="1"/>
  <c r="BY14" i="111"/>
  <c r="BY15" i="111" s="1"/>
  <c r="BY17" i="111"/>
  <c r="BY16" i="111" s="1"/>
  <c r="BY20" i="111"/>
  <c r="AM171" i="50"/>
  <c r="AM172" i="50" s="1"/>
  <c r="AM187" i="50" s="1"/>
  <c r="AM85" i="50"/>
  <c r="AM183" i="50"/>
  <c r="AM19" i="50"/>
  <c r="AM90" i="50"/>
  <c r="AM97" i="50"/>
  <c r="AD7" i="56" l="1"/>
  <c r="M39" i="129"/>
  <c r="Q32" i="129"/>
  <c r="Q35" i="129" s="1"/>
  <c r="Q41" i="129" s="1"/>
  <c r="AD17" i="56"/>
  <c r="AD16" i="56" s="1"/>
  <c r="AD22" i="56"/>
  <c r="AD21" i="56" s="1"/>
  <c r="M35" i="129"/>
  <c r="M41" i="129" s="1"/>
  <c r="M34" i="129"/>
  <c r="F35" i="129"/>
  <c r="F41" i="129" s="1"/>
  <c r="F34" i="129"/>
  <c r="G35" i="129"/>
  <c r="G41" i="129" s="1"/>
  <c r="G34" i="129"/>
  <c r="I32" i="129"/>
  <c r="L32" i="129"/>
  <c r="E27" i="129"/>
  <c r="K32" i="129"/>
  <c r="K39" i="129"/>
  <c r="O39" i="129"/>
  <c r="O32" i="129"/>
  <c r="J39" i="129"/>
  <c r="N39" i="129"/>
  <c r="N32" i="129"/>
  <c r="E39" i="129"/>
  <c r="P32" i="129"/>
  <c r="P39" i="129"/>
  <c r="AM181" i="50"/>
  <c r="AM86" i="50"/>
  <c r="AM89" i="50" s="1"/>
  <c r="AM88" i="50"/>
  <c r="AM53" i="50"/>
  <c r="Q34" i="129" l="1"/>
  <c r="G42" i="129"/>
  <c r="M42" i="129"/>
  <c r="Q42" i="129"/>
  <c r="F42" i="129"/>
  <c r="P35" i="129"/>
  <c r="P41" i="129" s="1"/>
  <c r="P34" i="129"/>
  <c r="J35" i="129"/>
  <c r="J41" i="129" s="1"/>
  <c r="J34" i="129"/>
  <c r="E35" i="129"/>
  <c r="E41" i="129" s="1"/>
  <c r="E34" i="129"/>
  <c r="K35" i="129"/>
  <c r="K41" i="129" s="1"/>
  <c r="K34" i="129"/>
  <c r="L35" i="129"/>
  <c r="L41" i="129" s="1"/>
  <c r="L34" i="129"/>
  <c r="N35" i="129"/>
  <c r="N41" i="129" s="1"/>
  <c r="N34" i="129"/>
  <c r="O35" i="129"/>
  <c r="O41" i="129" s="1"/>
  <c r="O34" i="129"/>
  <c r="I35" i="129"/>
  <c r="I42" i="129" s="1"/>
  <c r="I34" i="129"/>
  <c r="E42" i="129" l="1"/>
  <c r="P42" i="129"/>
  <c r="L42" i="129"/>
  <c r="K42" i="129"/>
  <c r="J42" i="129"/>
  <c r="N42" i="129"/>
  <c r="O42" i="129"/>
  <c r="I41" i="129"/>
  <c r="Z109" i="50"/>
  <c r="Z123" i="50" l="1"/>
  <c r="AA56" i="50" l="1"/>
  <c r="AB56" i="50"/>
  <c r="AC56" i="50"/>
  <c r="AD56" i="50"/>
  <c r="AE56" i="50"/>
  <c r="AF56" i="50"/>
  <c r="AG56" i="50"/>
  <c r="AH56" i="50"/>
  <c r="AI56" i="50"/>
  <c r="AJ56" i="50"/>
  <c r="AK56" i="50"/>
  <c r="AL56" i="50"/>
  <c r="AL34" i="50" l="1"/>
  <c r="AK34" i="50"/>
  <c r="AJ34" i="50"/>
  <c r="AI34" i="50"/>
  <c r="AH34" i="50"/>
  <c r="AG34" i="50"/>
  <c r="AF34" i="50"/>
  <c r="AE34" i="50"/>
  <c r="AD34" i="50"/>
  <c r="AC34" i="50"/>
  <c r="AB34" i="50"/>
  <c r="AA34" i="50"/>
  <c r="Z34" i="50"/>
  <c r="Q33" i="50"/>
  <c r="P33" i="50"/>
  <c r="O33" i="50"/>
  <c r="N33" i="50"/>
  <c r="M33" i="50"/>
  <c r="L33" i="50"/>
  <c r="AL27" i="50"/>
  <c r="AK27" i="50"/>
  <c r="AJ27" i="50"/>
  <c r="AI27" i="50"/>
  <c r="AH27" i="50"/>
  <c r="AG27" i="50"/>
  <c r="AF27" i="50"/>
  <c r="AE27" i="50"/>
  <c r="AD27" i="50"/>
  <c r="AC27" i="50"/>
  <c r="AB27" i="50"/>
  <c r="AA27" i="50"/>
  <c r="Z27" i="50"/>
  <c r="Q26" i="50"/>
  <c r="P26" i="50"/>
  <c r="O26" i="50"/>
  <c r="N26" i="50"/>
  <c r="M26" i="50"/>
  <c r="L26" i="50"/>
  <c r="Z157" i="50" l="1"/>
  <c r="Z62" i="50"/>
  <c r="BS7" i="111" l="1"/>
  <c r="BX8" i="111"/>
  <c r="BW8" i="111"/>
  <c r="BU8" i="111"/>
  <c r="BS8" i="111"/>
  <c r="BR8" i="111"/>
  <c r="BO8" i="111"/>
  <c r="BP8" i="111"/>
  <c r="AL104" i="50"/>
  <c r="AK104" i="50"/>
  <c r="AJ104" i="50"/>
  <c r="AF104" i="50"/>
  <c r="AD104" i="50"/>
  <c r="AC44" i="56" l="1"/>
  <c r="AC43" i="56"/>
  <c r="AC42" i="56"/>
  <c r="AC39" i="56"/>
  <c r="AC37" i="56"/>
  <c r="AC23" i="56"/>
  <c r="AC20" i="56"/>
  <c r="AC13" i="56"/>
  <c r="AC6" i="56"/>
  <c r="AC19" i="56" s="1"/>
  <c r="AC5" i="56"/>
  <c r="AC4" i="56"/>
  <c r="AC3" i="56" l="1"/>
  <c r="AC18" i="56"/>
  <c r="AE164" i="50" l="1"/>
  <c r="AE162" i="50" s="1"/>
  <c r="V8" i="56" s="1"/>
  <c r="AH164" i="50"/>
  <c r="AH162" i="50" s="1"/>
  <c r="AI164" i="50"/>
  <c r="AI162" i="50" s="1"/>
  <c r="AK164" i="50"/>
  <c r="AL164" i="50"/>
  <c r="AJ164" i="50"/>
  <c r="AG164" i="50"/>
  <c r="AG162" i="50" s="1"/>
  <c r="AF164" i="50"/>
  <c r="AF162" i="50" s="1"/>
  <c r="AD164" i="50"/>
  <c r="AD162" i="50" s="1"/>
  <c r="U8" i="56" s="1"/>
  <c r="AC164" i="50"/>
  <c r="Z105" i="50" l="1"/>
  <c r="Z164" i="50" l="1"/>
  <c r="AB164" i="50" l="1"/>
  <c r="Z113" i="50" l="1"/>
  <c r="BM7" i="111" l="1"/>
  <c r="BL7" i="111"/>
  <c r="AA78" i="50" l="1"/>
  <c r="AC78" i="50"/>
  <c r="AD78" i="50"/>
  <c r="AE78" i="50"/>
  <c r="AF78" i="50"/>
  <c r="AG78" i="50"/>
  <c r="AH78" i="50"/>
  <c r="AI78" i="50"/>
  <c r="AJ78" i="50"/>
  <c r="AK78" i="50"/>
  <c r="AL78" i="50"/>
  <c r="AL81" i="50" s="1"/>
  <c r="AB78" i="50"/>
  <c r="AI81" i="50" l="1"/>
  <c r="AD81" i="50"/>
  <c r="AC81" i="50"/>
  <c r="AB79" i="50"/>
  <c r="AE79" i="50"/>
  <c r="AJ79" i="50"/>
  <c r="AJ82" i="50" s="1"/>
  <c r="AF79" i="50"/>
  <c r="AI79" i="50"/>
  <c r="AC79" i="50"/>
  <c r="AB81" i="50"/>
  <c r="AA79" i="50"/>
  <c r="AA81" i="50"/>
  <c r="AH81" i="50"/>
  <c r="AL79" i="50"/>
  <c r="AL82" i="50" s="1"/>
  <c r="AL80" i="50" s="1"/>
  <c r="AL83" i="50" s="1"/>
  <c r="AH79" i="50"/>
  <c r="AK81" i="50"/>
  <c r="AG81" i="50"/>
  <c r="AK79" i="50"/>
  <c r="AK82" i="50" s="1"/>
  <c r="AG79" i="50"/>
  <c r="AJ81" i="50"/>
  <c r="AF81" i="50"/>
  <c r="AD79" i="50"/>
  <c r="AE81" i="50"/>
  <c r="AE82" i="50" l="1"/>
  <c r="AE80" i="50" s="1"/>
  <c r="AA82" i="50"/>
  <c r="AD82" i="50"/>
  <c r="AI82" i="50"/>
  <c r="AB82" i="50"/>
  <c r="AG82" i="50"/>
  <c r="AH82" i="50"/>
  <c r="AF82" i="50"/>
  <c r="AC82" i="50"/>
  <c r="AJ80" i="50"/>
  <c r="AK80" i="50"/>
  <c r="AK83" i="50" s="1"/>
  <c r="AL179" i="50"/>
  <c r="AL178" i="50"/>
  <c r="AL177" i="50"/>
  <c r="AL176" i="50"/>
  <c r="AL175" i="50"/>
  <c r="AL174" i="50"/>
  <c r="AL173" i="50"/>
  <c r="AL170" i="50"/>
  <c r="AL168" i="50"/>
  <c r="AC12" i="56" s="1"/>
  <c r="AL166" i="50"/>
  <c r="AC10" i="56" s="1"/>
  <c r="AL160" i="50"/>
  <c r="AL159" i="50"/>
  <c r="AL184" i="50" s="1"/>
  <c r="AL155" i="50"/>
  <c r="AL99" i="50"/>
  <c r="AL98" i="50"/>
  <c r="AL96" i="50"/>
  <c r="AL84" i="50"/>
  <c r="AL76" i="50"/>
  <c r="AL75" i="50"/>
  <c r="AL74" i="50"/>
  <c r="AL73" i="50"/>
  <c r="AL72" i="50"/>
  <c r="AL68" i="50"/>
  <c r="AL67" i="50"/>
  <c r="AL65" i="50"/>
  <c r="AL69" i="50"/>
  <c r="AL54" i="50"/>
  <c r="AL52" i="50"/>
  <c r="AL41" i="50"/>
  <c r="AL21" i="50"/>
  <c r="AL13" i="50"/>
  <c r="BX55" i="111"/>
  <c r="BX21" i="111"/>
  <c r="BX18" i="111"/>
  <c r="BX20" i="111"/>
  <c r="BX2" i="111"/>
  <c r="AL163" i="50" l="1"/>
  <c r="AL162" i="50" s="1"/>
  <c r="AL180" i="50"/>
  <c r="AL183" i="50"/>
  <c r="AE83" i="50"/>
  <c r="AC80" i="50"/>
  <c r="AC83" i="50" s="1"/>
  <c r="AB80" i="50"/>
  <c r="AB83" i="50" s="1"/>
  <c r="AG80" i="50"/>
  <c r="AG83" i="50" s="1"/>
  <c r="AA80" i="50"/>
  <c r="AA83" i="50" s="1"/>
  <c r="AF80" i="50"/>
  <c r="AF83" i="50" s="1"/>
  <c r="AI80" i="50"/>
  <c r="AI83" i="50" s="1"/>
  <c r="AH80" i="50"/>
  <c r="AH83" i="50" s="1"/>
  <c r="AD80" i="50"/>
  <c r="AJ83" i="50"/>
  <c r="AL90" i="50"/>
  <c r="AL85" i="50"/>
  <c r="AL87" i="50"/>
  <c r="AL171" i="50"/>
  <c r="AL172" i="50" s="1"/>
  <c r="AL187" i="50" s="1"/>
  <c r="BX14" i="111"/>
  <c r="BX15" i="111" s="1"/>
  <c r="AL92" i="50"/>
  <c r="BX17" i="111"/>
  <c r="BX16" i="111" s="1"/>
  <c r="AL77" i="50"/>
  <c r="AL97" i="50"/>
  <c r="AL53" i="50" s="1"/>
  <c r="AL165" i="50"/>
  <c r="AL169" i="50"/>
  <c r="AL182" i="50"/>
  <c r="AL93" i="50"/>
  <c r="AL167" i="50"/>
  <c r="AC11" i="56" s="1"/>
  <c r="AL19" i="50"/>
  <c r="AL185" i="50"/>
  <c r="Z100" i="50"/>
  <c r="AD83" i="50" l="1"/>
  <c r="AC8" i="56"/>
  <c r="AC22" i="56"/>
  <c r="AC21" i="56" s="1"/>
  <c r="AC17" i="56"/>
  <c r="AC16" i="56" s="1"/>
  <c r="AC9" i="56"/>
  <c r="AL86" i="50"/>
  <c r="AL89" i="50" s="1"/>
  <c r="AL88" i="50"/>
  <c r="AC7" i="56" l="1"/>
  <c r="AL181" i="50"/>
  <c r="Z101" i="50"/>
  <c r="AB43" i="56" l="1"/>
  <c r="AB44" i="56"/>
  <c r="BL54" i="111" l="1"/>
  <c r="O33" i="56" l="1"/>
  <c r="P43" i="56" l="1"/>
  <c r="Q43" i="56"/>
  <c r="R43" i="56"/>
  <c r="P44" i="56"/>
  <c r="Q44" i="56"/>
  <c r="R44" i="56"/>
  <c r="S43" i="56"/>
  <c r="T43" i="56"/>
  <c r="U43" i="56"/>
  <c r="V43" i="56"/>
  <c r="W43" i="56"/>
  <c r="X43" i="56"/>
  <c r="Y43" i="56"/>
  <c r="Z43" i="56"/>
  <c r="AA43" i="56"/>
  <c r="S44" i="56"/>
  <c r="T44" i="56"/>
  <c r="U44" i="56"/>
  <c r="V44" i="56"/>
  <c r="W44" i="56"/>
  <c r="X44" i="56"/>
  <c r="Y44" i="56"/>
  <c r="Z44" i="56"/>
  <c r="AA44" i="56"/>
  <c r="Z61" i="50" l="1"/>
  <c r="Z135" i="50" l="1"/>
  <c r="Z175" i="50" l="1"/>
  <c r="Z78" i="50"/>
  <c r="Z155" i="50"/>
  <c r="Z81" i="50" l="1"/>
  <c r="Z79" i="50"/>
  <c r="Z82" i="50" l="1"/>
  <c r="Z21" i="50"/>
  <c r="AA21" i="50"/>
  <c r="AB21" i="50"/>
  <c r="AC21" i="50"/>
  <c r="AD21" i="50"/>
  <c r="AE21" i="50"/>
  <c r="AF21" i="50"/>
  <c r="AG21" i="50"/>
  <c r="AH21" i="50"/>
  <c r="AI21" i="50"/>
  <c r="AJ21" i="50"/>
  <c r="AK21" i="50"/>
  <c r="Y21" i="50"/>
  <c r="Z13" i="50"/>
  <c r="AA13" i="50"/>
  <c r="AB13" i="50"/>
  <c r="AC13" i="50"/>
  <c r="AD13" i="50"/>
  <c r="AE13" i="50"/>
  <c r="AF13" i="50"/>
  <c r="AG13" i="50"/>
  <c r="AH13" i="50"/>
  <c r="AI13" i="50"/>
  <c r="AJ13" i="50"/>
  <c r="AK13" i="50"/>
  <c r="Y13" i="50"/>
  <c r="Z4" i="56"/>
  <c r="AA4" i="56"/>
  <c r="Z5" i="56"/>
  <c r="AA5" i="56"/>
  <c r="Z6" i="56"/>
  <c r="AA6" i="56"/>
  <c r="Z13" i="56"/>
  <c r="AA13" i="56"/>
  <c r="AB42" i="56"/>
  <c r="AB39" i="56"/>
  <c r="AB37" i="56"/>
  <c r="AB23" i="56"/>
  <c r="AB20" i="56"/>
  <c r="AB13" i="56"/>
  <c r="AB6" i="56"/>
  <c r="AB19" i="56" s="1"/>
  <c r="AB5" i="56"/>
  <c r="AB4" i="56"/>
  <c r="Z80" i="50" l="1"/>
  <c r="Z83" i="50" s="1"/>
  <c r="AA3" i="56"/>
  <c r="AB18" i="56"/>
  <c r="Z3" i="56"/>
  <c r="AB3" i="56"/>
  <c r="Z103" i="50" l="1"/>
  <c r="Z30" i="50" l="1"/>
  <c r="Z136" i="50"/>
  <c r="AA136" i="50"/>
  <c r="Y136" i="50"/>
  <c r="Z32" i="50" l="1"/>
  <c r="AA32" i="50" l="1"/>
  <c r="BN53" i="111"/>
  <c r="AC30" i="50" l="1"/>
  <c r="AB32" i="50"/>
  <c r="BP54" i="111"/>
  <c r="BQ52" i="111" s="1"/>
  <c r="BR52" i="111" s="1"/>
  <c r="BS47" i="111" s="1"/>
  <c r="BM8" i="111"/>
  <c r="AD30" i="50" l="1"/>
  <c r="AC32" i="50"/>
  <c r="BQ53" i="111"/>
  <c r="BR53" i="111" s="1"/>
  <c r="AE30" i="50" l="1"/>
  <c r="AD32" i="50"/>
  <c r="Y100" i="50"/>
  <c r="AF30" i="50" l="1"/>
  <c r="AE32" i="50"/>
  <c r="Z166" i="50"/>
  <c r="AA166" i="50"/>
  <c r="AB166" i="50"/>
  <c r="AC166" i="50"/>
  <c r="AD166" i="50"/>
  <c r="AE166" i="50"/>
  <c r="AF166" i="50"/>
  <c r="AG166" i="50"/>
  <c r="AH166" i="50"/>
  <c r="AI166" i="50"/>
  <c r="Z10" i="56" s="1"/>
  <c r="AJ166" i="50"/>
  <c r="AA10" i="56" s="1"/>
  <c r="AK166" i="50"/>
  <c r="AB10" i="56" s="1"/>
  <c r="Y166" i="50"/>
  <c r="AG30" i="50" l="1"/>
  <c r="AF32" i="50"/>
  <c r="Z56" i="50"/>
  <c r="Y56" i="50"/>
  <c r="AH30" i="50" l="1"/>
  <c r="AG32" i="50"/>
  <c r="AI30" i="50" l="1"/>
  <c r="AH32" i="50"/>
  <c r="BW55" i="111"/>
  <c r="BW21" i="111"/>
  <c r="BW18" i="111"/>
  <c r="BW17" i="111"/>
  <c r="BW2" i="111"/>
  <c r="AJ30" i="50" l="1"/>
  <c r="AI32" i="50"/>
  <c r="BW16" i="111"/>
  <c r="BW14" i="111"/>
  <c r="BW15" i="111" s="1"/>
  <c r="BW20" i="111"/>
  <c r="AK179" i="50"/>
  <c r="AK178" i="50"/>
  <c r="AK177" i="50"/>
  <c r="AK176" i="50"/>
  <c r="AK175" i="50"/>
  <c r="AK174" i="50"/>
  <c r="AK173" i="50"/>
  <c r="AK170" i="50"/>
  <c r="AK168" i="50"/>
  <c r="AB12" i="56" s="1"/>
  <c r="AK160" i="50"/>
  <c r="AK185" i="50" s="1"/>
  <c r="AK159" i="50"/>
  <c r="AK184" i="50" s="1"/>
  <c r="AK155" i="50"/>
  <c r="AK182" i="50"/>
  <c r="AK99" i="50"/>
  <c r="AK98" i="50"/>
  <c r="AK96" i="50"/>
  <c r="AK84" i="50"/>
  <c r="AK76" i="50"/>
  <c r="AK75" i="50"/>
  <c r="AK74" i="50"/>
  <c r="AK73" i="50"/>
  <c r="AK72" i="50"/>
  <c r="AK68" i="50"/>
  <c r="AK67" i="50"/>
  <c r="AK65" i="50"/>
  <c r="AK69" i="50"/>
  <c r="AK54" i="50"/>
  <c r="AK52" i="50"/>
  <c r="AK41" i="50"/>
  <c r="AK77" i="50" l="1"/>
  <c r="AK180" i="50"/>
  <c r="AK163" i="50"/>
  <c r="AK162" i="50" s="1"/>
  <c r="AK183" i="50"/>
  <c r="AJ32" i="50"/>
  <c r="AK85" i="50"/>
  <c r="AK87" i="50"/>
  <c r="AK92" i="50"/>
  <c r="AK171" i="50"/>
  <c r="AK172" i="50" s="1"/>
  <c r="AK187" i="50" s="1"/>
  <c r="AK90" i="50"/>
  <c r="AK167" i="50"/>
  <c r="AB11" i="56" s="1"/>
  <c r="AK93" i="50"/>
  <c r="AK19" i="50"/>
  <c r="AK165" i="50"/>
  <c r="AK169" i="50"/>
  <c r="AK88" i="50" l="1"/>
  <c r="AK86" i="50"/>
  <c r="AK89" i="50" s="1"/>
  <c r="AB17" i="56"/>
  <c r="AB16" i="56" s="1"/>
  <c r="AB22" i="56"/>
  <c r="AB21" i="56" s="1"/>
  <c r="AB9" i="56"/>
  <c r="BK18" i="111" l="1"/>
  <c r="Y105" i="50" l="1"/>
  <c r="BJ8" i="111" l="1"/>
  <c r="X123" i="50" l="1"/>
  <c r="X135" i="50"/>
  <c r="Z137" i="50" l="1"/>
  <c r="Y137" i="50"/>
  <c r="Z37" i="50" l="1"/>
  <c r="Y96" i="50"/>
  <c r="Z96" i="50"/>
  <c r="AA96" i="50"/>
  <c r="AC96" i="50"/>
  <c r="AE96" i="50"/>
  <c r="AF96" i="50"/>
  <c r="AG96" i="50"/>
  <c r="AH96" i="50"/>
  <c r="AI96" i="50"/>
  <c r="Z38" i="50" l="1"/>
  <c r="AB96" i="50"/>
  <c r="AA38" i="50" l="1"/>
  <c r="Z174" i="50"/>
  <c r="AA174" i="50"/>
  <c r="AB174" i="50"/>
  <c r="AC174" i="50"/>
  <c r="AD174" i="50"/>
  <c r="AE174" i="50"/>
  <c r="AF174" i="50"/>
  <c r="AG174" i="50"/>
  <c r="AH174" i="50"/>
  <c r="AI174" i="50"/>
  <c r="AJ174" i="50"/>
  <c r="Y174" i="50"/>
  <c r="Y155" i="50"/>
  <c r="AA155" i="50"/>
  <c r="AB155" i="50"/>
  <c r="AC155" i="50"/>
  <c r="AD155" i="50"/>
  <c r="AE155" i="50"/>
  <c r="AF155" i="50"/>
  <c r="AG155" i="50"/>
  <c r="AH155" i="50"/>
  <c r="AI155" i="50"/>
  <c r="AJ155" i="50"/>
  <c r="AC37" i="50" l="1"/>
  <c r="AB38" i="50"/>
  <c r="AA104" i="50"/>
  <c r="AD37" i="50" l="1"/>
  <c r="AC38" i="50"/>
  <c r="AA164" i="50"/>
  <c r="AE37" i="50" l="1"/>
  <c r="AD38" i="50"/>
  <c r="AF37" i="50" l="1"/>
  <c r="AE38" i="50"/>
  <c r="X105" i="50"/>
  <c r="AG37" i="50" l="1"/>
  <c r="AF38" i="50"/>
  <c r="AH37" i="50" l="1"/>
  <c r="AG38" i="50"/>
  <c r="AI37" i="50" l="1"/>
  <c r="AH38" i="50"/>
  <c r="AJ37" i="50" l="1"/>
  <c r="AI38" i="50"/>
  <c r="AK37" i="50" l="1"/>
  <c r="AJ38" i="50"/>
  <c r="AL37" i="50" l="1"/>
  <c r="AK38" i="50"/>
  <c r="AL38" i="50" l="1"/>
  <c r="AM37" i="50"/>
  <c r="Q37" i="56"/>
  <c r="R37" i="56"/>
  <c r="S37" i="56"/>
  <c r="T37" i="56"/>
  <c r="U37" i="56"/>
  <c r="V37" i="56"/>
  <c r="W37" i="56"/>
  <c r="X37" i="56"/>
  <c r="Y37" i="56"/>
  <c r="Z37" i="56"/>
  <c r="AA37" i="56"/>
  <c r="P37" i="56"/>
  <c r="AM38" i="50" l="1"/>
  <c r="AN37" i="50"/>
  <c r="AO37" i="50" s="1"/>
  <c r="AO38" i="50" s="1"/>
  <c r="X56" i="50"/>
  <c r="AN38" i="50" l="1"/>
  <c r="W8" i="50"/>
  <c r="BJ7" i="111" l="1"/>
  <c r="X146" i="50" l="1"/>
  <c r="BI8" i="111" l="1"/>
  <c r="BI7" i="111"/>
  <c r="BI54" i="111"/>
  <c r="BJ53" i="111" s="1"/>
  <c r="W99" i="50"/>
  <c r="BJ52" i="111" l="1"/>
  <c r="BK52" i="111" s="1"/>
  <c r="BL52" i="111" s="1"/>
  <c r="BK53" i="111"/>
  <c r="W56" i="50" l="1"/>
  <c r="BT8" i="111" l="1"/>
  <c r="Y104" i="50" l="1"/>
  <c r="Z99" i="50" l="1"/>
  <c r="X177" i="50"/>
  <c r="Y177" i="50"/>
  <c r="Z177" i="50"/>
  <c r="AA177" i="50"/>
  <c r="AB177" i="50"/>
  <c r="AC177" i="50"/>
  <c r="AD177" i="50"/>
  <c r="AE177" i="50"/>
  <c r="AF177" i="50"/>
  <c r="AG177" i="50"/>
  <c r="AH177" i="50"/>
  <c r="AI177" i="50"/>
  <c r="AJ177" i="50"/>
  <c r="X178" i="50"/>
  <c r="Y178" i="50"/>
  <c r="Z178" i="50"/>
  <c r="AA178" i="50"/>
  <c r="AB178" i="50"/>
  <c r="AC178" i="50"/>
  <c r="AD178" i="50"/>
  <c r="AE178" i="50"/>
  <c r="AF178" i="50"/>
  <c r="AG178" i="50"/>
  <c r="AH178" i="50"/>
  <c r="AI178" i="50"/>
  <c r="AJ178" i="50"/>
  <c r="X179" i="50"/>
  <c r="Y179" i="50"/>
  <c r="Z179" i="50"/>
  <c r="AA179" i="50"/>
  <c r="AB179" i="50"/>
  <c r="AC179" i="50"/>
  <c r="AD179" i="50"/>
  <c r="AE179" i="50"/>
  <c r="AF179" i="50"/>
  <c r="AG179" i="50"/>
  <c r="AH179" i="50"/>
  <c r="AI179" i="50"/>
  <c r="AJ179" i="50"/>
  <c r="W179" i="50"/>
  <c r="W178" i="50"/>
  <c r="W177" i="50"/>
  <c r="AJ162" i="50" l="1"/>
  <c r="AC163" i="50"/>
  <c r="AA163" i="50"/>
  <c r="AB163" i="50"/>
  <c r="Z163" i="50"/>
  <c r="Z16" i="50"/>
  <c r="AC16" i="50" s="1"/>
  <c r="W123" i="50" l="1"/>
  <c r="V111" i="50" l="1"/>
  <c r="V62" i="50"/>
  <c r="Z39" i="56" l="1"/>
  <c r="AA39" i="56"/>
  <c r="Z42" i="56"/>
  <c r="AA42" i="56"/>
  <c r="Z19" i="56"/>
  <c r="AA19" i="56"/>
  <c r="Z20" i="56"/>
  <c r="AA20" i="56"/>
  <c r="Z23" i="56"/>
  <c r="AA23" i="56"/>
  <c r="AA18" i="56" l="1"/>
  <c r="Z18" i="56"/>
  <c r="V109" i="50"/>
  <c r="V166" i="50" l="1"/>
  <c r="X166" i="50"/>
  <c r="W166" i="50"/>
  <c r="V174" i="50" l="1"/>
  <c r="X174" i="50"/>
  <c r="W174" i="50"/>
  <c r="W137" i="50" l="1"/>
  <c r="X137" i="50"/>
  <c r="W155" i="50"/>
  <c r="X155" i="50"/>
  <c r="W159" i="50"/>
  <c r="X159" i="50"/>
  <c r="Y159" i="50"/>
  <c r="Z159" i="50"/>
  <c r="AA159" i="50"/>
  <c r="AB159" i="50"/>
  <c r="AC159" i="50"/>
  <c r="AD159" i="50"/>
  <c r="AE159" i="50"/>
  <c r="AF159" i="50"/>
  <c r="AG159" i="50"/>
  <c r="AH159" i="50"/>
  <c r="W160" i="50"/>
  <c r="X160" i="50"/>
  <c r="Y160" i="50"/>
  <c r="Z160" i="50"/>
  <c r="AA160" i="50"/>
  <c r="AB160" i="50"/>
  <c r="AC160" i="50"/>
  <c r="AD160" i="50"/>
  <c r="AD180" i="50" s="1"/>
  <c r="AE160" i="50"/>
  <c r="AE180" i="50" s="1"/>
  <c r="AF160" i="50"/>
  <c r="AG160" i="50"/>
  <c r="AH160" i="50"/>
  <c r="AH180" i="50" l="1"/>
  <c r="AG180" i="50"/>
  <c r="AF180" i="50"/>
  <c r="AF181" i="50" s="1"/>
  <c r="AD181" i="50"/>
  <c r="AE181" i="50"/>
  <c r="AB180" i="50"/>
  <c r="Z180" i="50"/>
  <c r="AC180" i="50"/>
  <c r="AA180" i="50"/>
  <c r="W104" i="50"/>
  <c r="V104" i="50"/>
  <c r="Z170" i="50" l="1"/>
  <c r="AA170" i="50"/>
  <c r="AB170" i="50"/>
  <c r="AC170" i="50"/>
  <c r="AD170" i="50"/>
  <c r="AE170" i="50"/>
  <c r="AF170" i="50"/>
  <c r="AG170" i="50"/>
  <c r="AH170" i="50"/>
  <c r="AI170" i="50"/>
  <c r="AJ170" i="50"/>
  <c r="Y170" i="50"/>
  <c r="BT21" i="111" l="1"/>
  <c r="BL21" i="111"/>
  <c r="BM21" i="111"/>
  <c r="BN21" i="111"/>
  <c r="BO21" i="111"/>
  <c r="BP21" i="111"/>
  <c r="BQ21" i="111"/>
  <c r="BR21" i="111"/>
  <c r="BS21" i="111"/>
  <c r="BU21" i="111"/>
  <c r="BV21" i="111"/>
  <c r="CR6" i="111" l="1"/>
  <c r="CS6" i="111" s="1"/>
  <c r="V170" i="50" l="1"/>
  <c r="W170" i="50" l="1"/>
  <c r="X170" i="50" l="1"/>
  <c r="W4" i="56" l="1"/>
  <c r="X4" i="56"/>
  <c r="W5" i="56"/>
  <c r="X5" i="56"/>
  <c r="W6" i="56"/>
  <c r="X6" i="56"/>
  <c r="Y42" i="56"/>
  <c r="Y39" i="56"/>
  <c r="Y23" i="56"/>
  <c r="Y20" i="56"/>
  <c r="Y13" i="56"/>
  <c r="Y6" i="56"/>
  <c r="Y19" i="56" s="1"/>
  <c r="Y5" i="56"/>
  <c r="Y4" i="56"/>
  <c r="Y18" i="56" l="1"/>
  <c r="X3" i="56"/>
  <c r="Y3" i="56"/>
  <c r="W3" i="56"/>
  <c r="BV55" i="111" l="1"/>
  <c r="BV18" i="111"/>
  <c r="BV20" i="111"/>
  <c r="BV2" i="111"/>
  <c r="BU55" i="111"/>
  <c r="BU18" i="111"/>
  <c r="BU17" i="111"/>
  <c r="BU20" i="111"/>
  <c r="BU2" i="111"/>
  <c r="BU16" i="111" l="1"/>
  <c r="BV14" i="111"/>
  <c r="BV15" i="111" s="1"/>
  <c r="BV17" i="111"/>
  <c r="BV16" i="111" s="1"/>
  <c r="BU14" i="111"/>
  <c r="BU15" i="111" l="1"/>
  <c r="BH7" i="111" l="1"/>
  <c r="BT55" i="111" l="1"/>
  <c r="BT18" i="111"/>
  <c r="BT20" i="111"/>
  <c r="BT2" i="111"/>
  <c r="BT17" i="111" l="1"/>
  <c r="BT16" i="111" s="1"/>
  <c r="BT14" i="111"/>
  <c r="BT15" i="111" l="1"/>
  <c r="U170" i="50" l="1"/>
  <c r="O183" i="50" l="1"/>
  <c r="E182" i="50"/>
  <c r="F182" i="50"/>
  <c r="J166" i="50"/>
  <c r="K166" i="50"/>
  <c r="L166" i="50"/>
  <c r="N166" i="50"/>
  <c r="O166" i="50"/>
  <c r="P166" i="50"/>
  <c r="Q166" i="50"/>
  <c r="R166" i="50"/>
  <c r="T166" i="50"/>
  <c r="U166" i="50"/>
  <c r="W10" i="56"/>
  <c r="X10" i="56"/>
  <c r="Y10" i="56"/>
  <c r="I166" i="50"/>
  <c r="I137" i="50"/>
  <c r="I182" i="50" s="1"/>
  <c r="J137" i="50"/>
  <c r="J182" i="50" s="1"/>
  <c r="K137" i="50"/>
  <c r="K92" i="50" s="1"/>
  <c r="L137" i="50"/>
  <c r="L182" i="50" s="1"/>
  <c r="N137" i="50"/>
  <c r="N182" i="50" s="1"/>
  <c r="O137" i="50"/>
  <c r="O92" i="50" s="1"/>
  <c r="P137" i="50"/>
  <c r="P92" i="50" s="1"/>
  <c r="Q137" i="50"/>
  <c r="Q92" i="50" s="1"/>
  <c r="R137" i="50"/>
  <c r="R182" i="50" s="1"/>
  <c r="T137" i="50"/>
  <c r="T92" i="50" s="1"/>
  <c r="U137" i="50"/>
  <c r="U92" i="50" s="1"/>
  <c r="V137" i="50"/>
  <c r="V92" i="50" s="1"/>
  <c r="W92" i="50"/>
  <c r="X92" i="50"/>
  <c r="Y92" i="50"/>
  <c r="Z92" i="50"/>
  <c r="AA92" i="50"/>
  <c r="AB92" i="50"/>
  <c r="AC92" i="50"/>
  <c r="AD92" i="50"/>
  <c r="AE92" i="50"/>
  <c r="AF92" i="50"/>
  <c r="AG92" i="50"/>
  <c r="AH92" i="50"/>
  <c r="AI92" i="50"/>
  <c r="H137" i="50"/>
  <c r="H182" i="50" s="1"/>
  <c r="G137" i="50"/>
  <c r="G182" i="50" s="1"/>
  <c r="U176" i="50"/>
  <c r="V176" i="50"/>
  <c r="W176" i="50"/>
  <c r="X176" i="50"/>
  <c r="Y176" i="50"/>
  <c r="Z176" i="50"/>
  <c r="AA176" i="50"/>
  <c r="AB176" i="50"/>
  <c r="AC176" i="50"/>
  <c r="AD176" i="50"/>
  <c r="AE176" i="50"/>
  <c r="AF176" i="50"/>
  <c r="AG176" i="50"/>
  <c r="AH176" i="50"/>
  <c r="AI176" i="50"/>
  <c r="AJ176" i="50"/>
  <c r="T176" i="50"/>
  <c r="Y183" i="50"/>
  <c r="Z183" i="50"/>
  <c r="AA183" i="50"/>
  <c r="AB183" i="50"/>
  <c r="AC183" i="50"/>
  <c r="AD183" i="50"/>
  <c r="AE183" i="50"/>
  <c r="AF183" i="50"/>
  <c r="AG183" i="50"/>
  <c r="AH183" i="50"/>
  <c r="AI183" i="50"/>
  <c r="AJ183" i="50"/>
  <c r="U155" i="50"/>
  <c r="U183" i="50" s="1"/>
  <c r="W183" i="50"/>
  <c r="X183" i="50"/>
  <c r="V155" i="50"/>
  <c r="AJ92" i="50" l="1"/>
  <c r="V183" i="50"/>
  <c r="AI167" i="50"/>
  <c r="Z11" i="56" s="1"/>
  <c r="O167" i="50"/>
  <c r="P182" i="50"/>
  <c r="AE167" i="50"/>
  <c r="K167" i="50"/>
  <c r="AA167" i="50"/>
  <c r="W167" i="50"/>
  <c r="T182" i="50"/>
  <c r="AH167" i="50"/>
  <c r="Y11" i="56" s="1"/>
  <c r="AD167" i="50"/>
  <c r="Z167" i="50"/>
  <c r="V167" i="50"/>
  <c r="R167" i="50"/>
  <c r="J167" i="50"/>
  <c r="AJ182" i="50"/>
  <c r="AF182" i="50"/>
  <c r="AB182" i="50"/>
  <c r="X182" i="50"/>
  <c r="O182" i="50"/>
  <c r="K182" i="50"/>
  <c r="U182" i="50"/>
  <c r="AG182" i="50"/>
  <c r="AC182" i="50"/>
  <c r="Y182" i="50"/>
  <c r="I167" i="50"/>
  <c r="AG167" i="50"/>
  <c r="X11" i="56" s="1"/>
  <c r="AC167" i="50"/>
  <c r="Y167" i="50"/>
  <c r="U167" i="50"/>
  <c r="Q167" i="50"/>
  <c r="AI182" i="50"/>
  <c r="AE182" i="50"/>
  <c r="AA182" i="50"/>
  <c r="W182" i="50"/>
  <c r="AJ167" i="50"/>
  <c r="AA11" i="56" s="1"/>
  <c r="AF167" i="50"/>
  <c r="W11" i="56" s="1"/>
  <c r="AB167" i="50"/>
  <c r="X167" i="50"/>
  <c r="T167" i="50"/>
  <c r="P167" i="50"/>
  <c r="L167" i="50"/>
  <c r="AH182" i="50"/>
  <c r="AD182" i="50"/>
  <c r="Z182" i="50"/>
  <c r="V182" i="50"/>
  <c r="Q182" i="50"/>
  <c r="Y99" i="50"/>
  <c r="AD16" i="50" l="1"/>
  <c r="AE16" i="50" s="1"/>
  <c r="AF16" i="50" s="1"/>
  <c r="AG16" i="50" s="1"/>
  <c r="AH16" i="50" s="1"/>
  <c r="AI16" i="50" s="1"/>
  <c r="AJ16" i="50" s="1"/>
  <c r="AK16" i="50" s="1"/>
  <c r="AL16" i="50" s="1"/>
  <c r="AM16" i="50" s="1"/>
  <c r="AA17" i="56"/>
  <c r="AA16" i="56" s="1"/>
  <c r="AA22" i="56"/>
  <c r="AA21" i="56" s="1"/>
  <c r="Z17" i="56"/>
  <c r="Z16" i="56" s="1"/>
  <c r="Z22" i="56"/>
  <c r="Z21" i="56" s="1"/>
  <c r="Y17" i="56"/>
  <c r="Y16" i="56" s="1"/>
  <c r="Y22" i="56"/>
  <c r="Y21" i="56" s="1"/>
  <c r="AJ175" i="50"/>
  <c r="AI175" i="50"/>
  <c r="AH175" i="50"/>
  <c r="AJ173" i="50"/>
  <c r="AI173" i="50"/>
  <c r="AH173" i="50"/>
  <c r="AJ168" i="50"/>
  <c r="AA12" i="56" s="1"/>
  <c r="AA9" i="56" s="1"/>
  <c r="AI168" i="50"/>
  <c r="Z12" i="56" s="1"/>
  <c r="Z9" i="56" s="1"/>
  <c r="AH168" i="50"/>
  <c r="Y12" i="56" s="1"/>
  <c r="Y9" i="56" s="1"/>
  <c r="AJ160" i="50"/>
  <c r="AI160" i="50"/>
  <c r="AH185" i="50"/>
  <c r="AJ159" i="50"/>
  <c r="AI159" i="50"/>
  <c r="AH184" i="50"/>
  <c r="AJ98" i="50"/>
  <c r="AI98" i="50"/>
  <c r="AH98" i="50"/>
  <c r="AJ97" i="50"/>
  <c r="AI97" i="50"/>
  <c r="AH97" i="50"/>
  <c r="AJ84" i="50"/>
  <c r="AI84" i="50"/>
  <c r="AH84" i="50"/>
  <c r="AJ76" i="50"/>
  <c r="AI76" i="50"/>
  <c r="AH76" i="50"/>
  <c r="AJ75" i="50"/>
  <c r="AI75" i="50"/>
  <c r="AH75" i="50"/>
  <c r="AJ74" i="50"/>
  <c r="AI74" i="50"/>
  <c r="AH74" i="50"/>
  <c r="AJ73" i="50"/>
  <c r="AI73" i="50"/>
  <c r="AH73" i="50"/>
  <c r="AJ72" i="50"/>
  <c r="AI72" i="50"/>
  <c r="AH72" i="50"/>
  <c r="AJ68" i="50"/>
  <c r="AI68" i="50"/>
  <c r="AH68" i="50"/>
  <c r="AJ67" i="50"/>
  <c r="AI67" i="50"/>
  <c r="AH67" i="50"/>
  <c r="AJ65" i="50"/>
  <c r="AI65" i="50"/>
  <c r="AH65" i="50"/>
  <c r="AJ69" i="50"/>
  <c r="AI69" i="50"/>
  <c r="AH69" i="50"/>
  <c r="AJ54" i="50"/>
  <c r="AI54" i="50"/>
  <c r="AH54" i="50"/>
  <c r="AJ52" i="50"/>
  <c r="AI52" i="50"/>
  <c r="AH52" i="50"/>
  <c r="AJ41" i="50"/>
  <c r="AI41" i="50"/>
  <c r="AH41" i="50"/>
  <c r="AI19" i="50"/>
  <c r="AH19" i="50"/>
  <c r="AI180" i="50" l="1"/>
  <c r="AJ180" i="50"/>
  <c r="AM18" i="50"/>
  <c r="AN16" i="50"/>
  <c r="AO16" i="50" s="1"/>
  <c r="AI184" i="50"/>
  <c r="AJ185" i="50"/>
  <c r="AI185" i="50"/>
  <c r="AI85" i="50"/>
  <c r="AI87" i="50"/>
  <c r="AJ85" i="50"/>
  <c r="AJ87" i="50"/>
  <c r="AH85" i="50"/>
  <c r="AH87" i="50"/>
  <c r="AK18" i="50"/>
  <c r="AL18" i="50"/>
  <c r="AJ184" i="50"/>
  <c r="AJ171" i="50"/>
  <c r="AI90" i="50"/>
  <c r="Z8" i="56"/>
  <c r="Z7" i="56" s="1"/>
  <c r="AH77" i="50"/>
  <c r="Y8" i="56"/>
  <c r="Y7" i="56" s="1"/>
  <c r="AH53" i="50"/>
  <c r="AJ165" i="50"/>
  <c r="AJ77" i="50"/>
  <c r="AJ90" i="50"/>
  <c r="AI93" i="50"/>
  <c r="AI171" i="50"/>
  <c r="AI77" i="50"/>
  <c r="AH90" i="50"/>
  <c r="AH93" i="50"/>
  <c r="AI53" i="50"/>
  <c r="AJ93" i="50"/>
  <c r="AH165" i="50"/>
  <c r="AH169" i="50"/>
  <c r="AH171" i="50"/>
  <c r="AI165" i="50"/>
  <c r="AI169" i="50"/>
  <c r="AJ169" i="50"/>
  <c r="X42" i="56"/>
  <c r="X39" i="56"/>
  <c r="X23" i="56"/>
  <c r="X20" i="56"/>
  <c r="X13" i="56"/>
  <c r="X19" i="56"/>
  <c r="AN18" i="50" l="1"/>
  <c r="AO18" i="50"/>
  <c r="AI181" i="50"/>
  <c r="AH181" i="50"/>
  <c r="AJ86" i="50"/>
  <c r="AJ88" i="50"/>
  <c r="AH88" i="50"/>
  <c r="AH86" i="50"/>
  <c r="AI88" i="50"/>
  <c r="AI86" i="50"/>
  <c r="AJ172" i="50"/>
  <c r="AH172" i="50"/>
  <c r="AI172" i="50"/>
  <c r="X18" i="56"/>
  <c r="BS20" i="111"/>
  <c r="BS55" i="111"/>
  <c r="BS18" i="111"/>
  <c r="BS2" i="111"/>
  <c r="U56" i="50"/>
  <c r="AG69" i="50"/>
  <c r="AG175" i="50"/>
  <c r="AG173" i="50"/>
  <c r="AG168" i="50"/>
  <c r="X12" i="56" s="1"/>
  <c r="X9" i="56" s="1"/>
  <c r="AG185" i="50"/>
  <c r="AG184" i="50"/>
  <c r="AG98" i="50"/>
  <c r="AG97" i="50"/>
  <c r="AG84" i="50"/>
  <c r="AG76" i="50"/>
  <c r="AG75" i="50"/>
  <c r="AG74" i="50"/>
  <c r="AG73" i="50"/>
  <c r="AG72" i="50"/>
  <c r="AG68" i="50"/>
  <c r="AG67" i="50"/>
  <c r="AG65" i="50"/>
  <c r="AG54" i="50"/>
  <c r="AG52" i="50"/>
  <c r="AG41" i="50"/>
  <c r="AI89" i="50" l="1"/>
  <c r="AJ89" i="50"/>
  <c r="AH89" i="50"/>
  <c r="AG87" i="50"/>
  <c r="AG85" i="50"/>
  <c r="AH187" i="50"/>
  <c r="AI187" i="50"/>
  <c r="AJ187" i="50"/>
  <c r="BS17" i="111"/>
  <c r="BS16" i="111" s="1"/>
  <c r="AG169" i="50"/>
  <c r="AG171" i="50"/>
  <c r="X8" i="56"/>
  <c r="X7" i="56" s="1"/>
  <c r="AG93" i="50"/>
  <c r="AG165" i="50"/>
  <c r="AG77" i="50"/>
  <c r="BS14" i="111"/>
  <c r="AG19" i="50"/>
  <c r="AG90" i="50"/>
  <c r="AG53" i="50"/>
  <c r="AG181" i="50" l="1"/>
  <c r="AG88" i="50"/>
  <c r="AG86" i="50"/>
  <c r="AG172" i="50"/>
  <c r="X17" i="56"/>
  <c r="X16" i="56" s="1"/>
  <c r="X22" i="56"/>
  <c r="X21" i="56" s="1"/>
  <c r="BS15" i="111"/>
  <c r="BG7" i="111"/>
  <c r="AG89" i="50" l="1"/>
  <c r="AG187" i="50"/>
  <c r="V56" i="50"/>
  <c r="Z24" i="50" s="1"/>
  <c r="AC24" i="50" s="1"/>
  <c r="AD24" i="50" s="1"/>
  <c r="AE24" i="50" s="1"/>
  <c r="AF24" i="50" s="1"/>
  <c r="AG24" i="50" s="1"/>
  <c r="AH24" i="50" s="1"/>
  <c r="AI24" i="50" s="1"/>
  <c r="AJ24" i="50" s="1"/>
  <c r="AA25" i="50" l="1"/>
  <c r="AB25" i="50" l="1"/>
  <c r="W42" i="56"/>
  <c r="W39" i="56"/>
  <c r="W23" i="56"/>
  <c r="W20" i="56"/>
  <c r="W13" i="56"/>
  <c r="W19" i="56"/>
  <c r="AC25" i="50" l="1"/>
  <c r="W18" i="56"/>
  <c r="AD25" i="50" l="1"/>
  <c r="AE25" i="50" l="1"/>
  <c r="T100" i="50"/>
  <c r="AF25" i="50" l="1"/>
  <c r="AG25" i="50" l="1"/>
  <c r="BF53" i="111"/>
  <c r="AH25" i="50" l="1"/>
  <c r="CR7" i="111"/>
  <c r="CS7" i="111" s="1"/>
  <c r="CT7" i="111" s="1"/>
  <c r="BR60" i="111"/>
  <c r="BR18" i="111"/>
  <c r="BR2" i="111"/>
  <c r="BK21" i="111" l="1"/>
  <c r="CR8" i="111"/>
  <c r="CS8" i="111" s="1"/>
  <c r="CT8" i="111" s="1"/>
  <c r="AJ25" i="50"/>
  <c r="AI25" i="50"/>
  <c r="BR14" i="111"/>
  <c r="BR15" i="111" s="1"/>
  <c r="BR20" i="111"/>
  <c r="BR17" i="111"/>
  <c r="BR16" i="111" s="1"/>
  <c r="AF175" i="50" l="1"/>
  <c r="AF173" i="50"/>
  <c r="AF168" i="50"/>
  <c r="W12" i="56" s="1"/>
  <c r="W9" i="56" s="1"/>
  <c r="AF185" i="50"/>
  <c r="AF184" i="50"/>
  <c r="AF98" i="50"/>
  <c r="AF97" i="50"/>
  <c r="AF84" i="50"/>
  <c r="AF76" i="50"/>
  <c r="AF75" i="50"/>
  <c r="AF74" i="50"/>
  <c r="AF73" i="50"/>
  <c r="AF72" i="50"/>
  <c r="AF68" i="50"/>
  <c r="AF67" i="50"/>
  <c r="AF65" i="50"/>
  <c r="AF69" i="50"/>
  <c r="AF54" i="50"/>
  <c r="AF52" i="50"/>
  <c r="AF41" i="50"/>
  <c r="AF85" i="50" l="1"/>
  <c r="AF87" i="50"/>
  <c r="AF171" i="50"/>
  <c r="AF93" i="50"/>
  <c r="AF77" i="50"/>
  <c r="AF165" i="50"/>
  <c r="AF169" i="50"/>
  <c r="AF86" i="50" l="1"/>
  <c r="AF88" i="50"/>
  <c r="AF172" i="50"/>
  <c r="W17" i="56"/>
  <c r="W16" i="56" s="1"/>
  <c r="W22" i="56"/>
  <c r="W21" i="56" s="1"/>
  <c r="S59" i="50"/>
  <c r="AF89" i="50" l="1"/>
  <c r="AF187" i="50"/>
  <c r="S8" i="50"/>
  <c r="T56" i="50" l="1"/>
  <c r="BG8" i="111" l="1"/>
  <c r="BF7" i="111" l="1"/>
  <c r="T155" i="50" l="1"/>
  <c r="T183" i="50" s="1"/>
  <c r="V42" i="56" l="1"/>
  <c r="V39" i="56"/>
  <c r="V23" i="56"/>
  <c r="V20" i="56"/>
  <c r="V13" i="56"/>
  <c r="V6" i="56"/>
  <c r="V19" i="56" s="1"/>
  <c r="V5" i="56"/>
  <c r="V4" i="56"/>
  <c r="V3" i="56" l="1"/>
  <c r="V18" i="56"/>
  <c r="S56" i="50" l="1"/>
  <c r="S43" i="50"/>
  <c r="BQ60" i="111" l="1"/>
  <c r="BQ18" i="111"/>
  <c r="BQ2" i="111"/>
  <c r="AE173" i="50"/>
  <c r="AE168" i="50"/>
  <c r="V12" i="56" s="1"/>
  <c r="V10" i="56"/>
  <c r="AE185" i="50"/>
  <c r="AE184" i="50"/>
  <c r="AE98" i="50"/>
  <c r="AE97" i="50"/>
  <c r="AE84" i="50"/>
  <c r="AE76" i="50"/>
  <c r="AE75" i="50"/>
  <c r="AE74" i="50"/>
  <c r="AE73" i="50"/>
  <c r="AE72" i="50"/>
  <c r="AE69" i="50"/>
  <c r="AE68" i="50"/>
  <c r="AE67" i="50"/>
  <c r="AE65" i="50"/>
  <c r="AE54" i="50"/>
  <c r="AE52" i="50"/>
  <c r="AE41" i="50"/>
  <c r="AE19" i="50"/>
  <c r="AE85" i="50" l="1"/>
  <c r="AE87" i="50"/>
  <c r="AE171" i="50"/>
  <c r="AE90" i="50"/>
  <c r="AE93" i="50"/>
  <c r="AE77" i="50"/>
  <c r="BQ17" i="111"/>
  <c r="BQ16" i="111" s="1"/>
  <c r="BQ20" i="111"/>
  <c r="BQ14" i="111"/>
  <c r="BQ15" i="111" s="1"/>
  <c r="AE165" i="50"/>
  <c r="AE53" i="50"/>
  <c r="V11" i="56"/>
  <c r="AE175" i="50"/>
  <c r="AE169" i="50"/>
  <c r="AE86" i="50" l="1"/>
  <c r="AE88" i="50"/>
  <c r="AE172" i="50"/>
  <c r="V17" i="56"/>
  <c r="V16" i="56" s="1"/>
  <c r="V22" i="56"/>
  <c r="V21" i="56" s="1"/>
  <c r="V9" i="56"/>
  <c r="V7" i="56" s="1"/>
  <c r="BG18" i="111"/>
  <c r="AE89" i="50" l="1"/>
  <c r="AE187" i="50"/>
  <c r="R8" i="50"/>
  <c r="R92" i="50" s="1"/>
  <c r="S138" i="50" l="1"/>
  <c r="S166" i="50" l="1"/>
  <c r="S137" i="50"/>
  <c r="S100" i="50"/>
  <c r="S92" i="50" l="1"/>
  <c r="S182" i="50"/>
  <c r="S167" i="50"/>
  <c r="BE7" i="111" l="1"/>
  <c r="BF20" i="111" l="1"/>
  <c r="AY63" i="111"/>
  <c r="BP60" i="111"/>
  <c r="BO60" i="111"/>
  <c r="BN60" i="111"/>
  <c r="BM60" i="111"/>
  <c r="BL60" i="111"/>
  <c r="BK60" i="111"/>
  <c r="BJ60" i="111"/>
  <c r="BI60" i="111"/>
  <c r="BH60" i="111"/>
  <c r="BG60" i="111"/>
  <c r="BF60" i="111"/>
  <c r="BE60" i="111"/>
  <c r="BD60" i="111"/>
  <c r="BC60" i="111"/>
  <c r="BB60" i="111"/>
  <c r="BA60" i="111"/>
  <c r="AZ60" i="111"/>
  <c r="AY60" i="111"/>
  <c r="AE57" i="111"/>
  <c r="AD57" i="111"/>
  <c r="AC57" i="111"/>
  <c r="AB57" i="111"/>
  <c r="AA57" i="111"/>
  <c r="Z57" i="111"/>
  <c r="BG56" i="111"/>
  <c r="BC56" i="111"/>
  <c r="AE56" i="111"/>
  <c r="AD56" i="111"/>
  <c r="AC56" i="111"/>
  <c r="AB56" i="111"/>
  <c r="AA56" i="111"/>
  <c r="AA58" i="111" s="1"/>
  <c r="Z56" i="111"/>
  <c r="Z58" i="111" s="1"/>
  <c r="AI52" i="111"/>
  <c r="BC21" i="111"/>
  <c r="AX20" i="111"/>
  <c r="AJ20" i="111"/>
  <c r="AI20" i="111"/>
  <c r="AH20" i="111"/>
  <c r="AG20" i="111"/>
  <c r="AF20" i="111"/>
  <c r="AE20" i="111"/>
  <c r="AD20" i="111"/>
  <c r="AC20" i="111"/>
  <c r="Y20" i="111"/>
  <c r="W20" i="111"/>
  <c r="V20" i="111"/>
  <c r="U20" i="111"/>
  <c r="T20" i="111"/>
  <c r="S20" i="111"/>
  <c r="R20" i="111"/>
  <c r="Q20" i="111"/>
  <c r="P20" i="111"/>
  <c r="O20" i="111"/>
  <c r="N20" i="111"/>
  <c r="M20" i="111"/>
  <c r="L20" i="111"/>
  <c r="K20" i="111"/>
  <c r="J20" i="111"/>
  <c r="I20" i="111"/>
  <c r="H20" i="111"/>
  <c r="G20" i="111"/>
  <c r="F20" i="111"/>
  <c r="E20" i="111"/>
  <c r="D20" i="111"/>
  <c r="C20" i="111"/>
  <c r="BD19" i="111"/>
  <c r="BC19" i="111"/>
  <c r="BP18" i="111"/>
  <c r="BO18" i="111"/>
  <c r="BN18" i="111"/>
  <c r="BM18" i="111"/>
  <c r="BL18" i="111"/>
  <c r="BJ18" i="111"/>
  <c r="BI18" i="111"/>
  <c r="BH18" i="111"/>
  <c r="BF18" i="111"/>
  <c r="BE18" i="111"/>
  <c r="BD18" i="111"/>
  <c r="BC18" i="111"/>
  <c r="BB18" i="111"/>
  <c r="DZ33" i="111" s="1"/>
  <c r="EB33" i="111" s="1"/>
  <c r="EC33" i="111" s="1"/>
  <c r="BA18" i="111"/>
  <c r="AZ18" i="111"/>
  <c r="AY18" i="111"/>
  <c r="AX18" i="111"/>
  <c r="AW18" i="111"/>
  <c r="AV18" i="111"/>
  <c r="AU18" i="111"/>
  <c r="AT18" i="111"/>
  <c r="AS18" i="111"/>
  <c r="AR18" i="111"/>
  <c r="AQ18" i="111"/>
  <c r="AP18" i="111"/>
  <c r="AO18" i="111"/>
  <c r="AN18" i="111"/>
  <c r="AM18" i="111"/>
  <c r="AL18" i="111"/>
  <c r="AK18" i="111"/>
  <c r="AJ18" i="111"/>
  <c r="AI18" i="111"/>
  <c r="AH18" i="111"/>
  <c r="AG18" i="111"/>
  <c r="AF18" i="111"/>
  <c r="AE18" i="111"/>
  <c r="AD18" i="111"/>
  <c r="AC18" i="111"/>
  <c r="Z18" i="111"/>
  <c r="Y18" i="111"/>
  <c r="X18" i="111"/>
  <c r="W18" i="111"/>
  <c r="V18" i="111"/>
  <c r="U18" i="111"/>
  <c r="S18" i="111"/>
  <c r="R18" i="111"/>
  <c r="P18" i="111"/>
  <c r="O18" i="111"/>
  <c r="M18" i="111"/>
  <c r="L18" i="111"/>
  <c r="J18" i="111"/>
  <c r="I18" i="111"/>
  <c r="H18" i="111"/>
  <c r="G18" i="111"/>
  <c r="F18" i="111"/>
  <c r="E18" i="111"/>
  <c r="D18" i="111"/>
  <c r="C18" i="111"/>
  <c r="AX17" i="111"/>
  <c r="AJ17" i="111"/>
  <c r="AI17" i="111"/>
  <c r="Y17" i="111"/>
  <c r="W17" i="111"/>
  <c r="V17" i="111"/>
  <c r="U17" i="111"/>
  <c r="T17" i="111"/>
  <c r="S17" i="111"/>
  <c r="R17" i="111"/>
  <c r="Q17" i="111"/>
  <c r="P17" i="111"/>
  <c r="O17" i="111"/>
  <c r="N17" i="111"/>
  <c r="M17" i="111"/>
  <c r="L17" i="111"/>
  <c r="K17" i="111"/>
  <c r="J17" i="111"/>
  <c r="I17" i="111"/>
  <c r="H17" i="111"/>
  <c r="G17" i="111"/>
  <c r="F17" i="111"/>
  <c r="E17" i="111"/>
  <c r="D17" i="111"/>
  <c r="C17" i="111"/>
  <c r="AX14" i="111"/>
  <c r="AX15" i="111" s="1"/>
  <c r="AJ14" i="111"/>
  <c r="AJ15" i="111" s="1"/>
  <c r="AI14" i="111"/>
  <c r="AI15" i="111" s="1"/>
  <c r="Y14" i="111"/>
  <c r="Y15" i="111" s="1"/>
  <c r="W14" i="111"/>
  <c r="W15" i="111" s="1"/>
  <c r="V14" i="111"/>
  <c r="V15" i="111" s="1"/>
  <c r="U14" i="111"/>
  <c r="U15" i="111" s="1"/>
  <c r="S14" i="111"/>
  <c r="S15" i="111" s="1"/>
  <c r="R14" i="111"/>
  <c r="R15" i="111" s="1"/>
  <c r="P14" i="111"/>
  <c r="P15" i="111" s="1"/>
  <c r="O14" i="111"/>
  <c r="O15" i="111" s="1"/>
  <c r="M14" i="111"/>
  <c r="M15" i="111" s="1"/>
  <c r="L14" i="111"/>
  <c r="L15" i="111" s="1"/>
  <c r="J14" i="111"/>
  <c r="J15" i="111" s="1"/>
  <c r="I14" i="111"/>
  <c r="I15" i="111" s="1"/>
  <c r="H14" i="111"/>
  <c r="H15" i="111" s="1"/>
  <c r="G14" i="111"/>
  <c r="G15" i="111" s="1"/>
  <c r="F14" i="111"/>
  <c r="F15" i="111" s="1"/>
  <c r="E14" i="111"/>
  <c r="E15" i="111" s="1"/>
  <c r="D14" i="111"/>
  <c r="D15" i="111" s="1"/>
  <c r="C14" i="111"/>
  <c r="C15" i="111" s="1"/>
  <c r="BC13" i="111"/>
  <c r="BB13" i="111"/>
  <c r="BA13" i="111"/>
  <c r="AZ13" i="111"/>
  <c r="AY13" i="111"/>
  <c r="AX13" i="111"/>
  <c r="AW13" i="111"/>
  <c r="AV13" i="111"/>
  <c r="AU13" i="111"/>
  <c r="AT13" i="111"/>
  <c r="AS13" i="111"/>
  <c r="AR13" i="111"/>
  <c r="AQ13" i="111"/>
  <c r="AP13" i="111"/>
  <c r="AO13" i="111"/>
  <c r="AN13" i="111"/>
  <c r="AM13" i="111"/>
  <c r="AL13" i="111"/>
  <c r="AK13" i="111"/>
  <c r="AJ13" i="111"/>
  <c r="AI13" i="111"/>
  <c r="AH13" i="111"/>
  <c r="AF13" i="111"/>
  <c r="AE13" i="111"/>
  <c r="AD13" i="111"/>
  <c r="AC13" i="111"/>
  <c r="AB13" i="111"/>
  <c r="AA13" i="111"/>
  <c r="Z13" i="111"/>
  <c r="Y13" i="111"/>
  <c r="X13" i="111"/>
  <c r="W13" i="111"/>
  <c r="V13" i="111"/>
  <c r="U13" i="111"/>
  <c r="T13" i="111"/>
  <c r="S13" i="111"/>
  <c r="R13" i="111"/>
  <c r="Q13" i="111"/>
  <c r="P13" i="111"/>
  <c r="O13" i="111"/>
  <c r="N13" i="111"/>
  <c r="M13" i="111"/>
  <c r="L13" i="111"/>
  <c r="K13" i="111"/>
  <c r="J13" i="111"/>
  <c r="I13" i="111"/>
  <c r="H13" i="111"/>
  <c r="G13" i="111"/>
  <c r="F13" i="111"/>
  <c r="E13" i="111"/>
  <c r="D13" i="111"/>
  <c r="C13" i="111"/>
  <c r="BA10" i="111"/>
  <c r="AZ10" i="111"/>
  <c r="T10" i="111"/>
  <c r="N10" i="111"/>
  <c r="N18" i="111" s="1"/>
  <c r="K10" i="111"/>
  <c r="K14" i="111" s="1"/>
  <c r="K15" i="111" s="1"/>
  <c r="CM9" i="111"/>
  <c r="CN9" i="111" s="1"/>
  <c r="BH8" i="111"/>
  <c r="BH21" i="111" s="1"/>
  <c r="BG21" i="111"/>
  <c r="BF8" i="111"/>
  <c r="BE21" i="111"/>
  <c r="BD8" i="111"/>
  <c r="BD21" i="111" s="1"/>
  <c r="AZ8" i="111"/>
  <c r="AY8" i="111"/>
  <c r="AW8" i="111"/>
  <c r="AV8" i="111"/>
  <c r="AM8" i="111"/>
  <c r="AL8" i="111"/>
  <c r="AH8" i="111"/>
  <c r="AH17" i="111" s="1"/>
  <c r="AG8" i="111"/>
  <c r="AG14" i="111" s="1"/>
  <c r="AG12" i="111" s="1"/>
  <c r="AG13" i="111" s="1"/>
  <c r="AF8" i="111"/>
  <c r="AF14" i="111" s="1"/>
  <c r="AF15" i="111" s="1"/>
  <c r="AE8" i="111"/>
  <c r="AD8" i="111"/>
  <c r="AD14" i="111" s="1"/>
  <c r="AD15" i="111" s="1"/>
  <c r="AC8" i="111"/>
  <c r="AC14" i="111" s="1"/>
  <c r="AC15" i="111" s="1"/>
  <c r="AB8" i="111"/>
  <c r="AB18" i="111" s="1"/>
  <c r="AA8" i="111"/>
  <c r="AA18" i="111" s="1"/>
  <c r="Q8" i="111"/>
  <c r="Q14" i="111" s="1"/>
  <c r="Q15" i="111" s="1"/>
  <c r="BP20" i="111"/>
  <c r="BL20" i="111"/>
  <c r="BJ20" i="111"/>
  <c r="BI20" i="111"/>
  <c r="BE20" i="111"/>
  <c r="BD7" i="111"/>
  <c r="BD20" i="111" s="1"/>
  <c r="BC7" i="111"/>
  <c r="BB7" i="111"/>
  <c r="BB17" i="111" s="1"/>
  <c r="DZ32" i="111" s="1"/>
  <c r="EB32" i="111" s="1"/>
  <c r="EC32" i="111" s="1"/>
  <c r="BA7" i="111"/>
  <c r="BA20" i="111" s="1"/>
  <c r="AZ7" i="111"/>
  <c r="AZ20" i="111" s="1"/>
  <c r="AY7" i="111"/>
  <c r="AW7" i="111"/>
  <c r="AV7" i="111"/>
  <c r="AU7" i="111"/>
  <c r="AU17" i="111" s="1"/>
  <c r="AT7" i="111"/>
  <c r="AT14" i="111" s="1"/>
  <c r="AT15" i="111" s="1"/>
  <c r="AS7" i="111"/>
  <c r="AS20" i="111" s="1"/>
  <c r="AR7" i="111"/>
  <c r="AR17" i="111" s="1"/>
  <c r="AQ7" i="111"/>
  <c r="AQ17" i="111" s="1"/>
  <c r="AP7" i="111"/>
  <c r="AO7" i="111"/>
  <c r="AO14" i="111" s="1"/>
  <c r="AO15" i="111" s="1"/>
  <c r="AN7" i="111"/>
  <c r="AN17" i="111" s="1"/>
  <c r="AM7" i="111"/>
  <c r="AL7" i="111"/>
  <c r="AK7" i="111"/>
  <c r="AK20" i="111" s="1"/>
  <c r="AB7" i="111"/>
  <c r="AB20" i="111" s="1"/>
  <c r="AA7" i="111"/>
  <c r="AA17" i="111" s="1"/>
  <c r="Z7" i="111"/>
  <c r="Z14" i="111" s="1"/>
  <c r="Z15" i="111" s="1"/>
  <c r="X7" i="111"/>
  <c r="X14" i="111" s="1"/>
  <c r="CP6" i="111"/>
  <c r="CQ6" i="111" s="1"/>
  <c r="CN6" i="111"/>
  <c r="X6" i="111"/>
  <c r="BP2" i="111"/>
  <c r="BO2" i="111"/>
  <c r="BN2" i="111"/>
  <c r="BM2" i="111"/>
  <c r="BL2" i="111"/>
  <c r="BK2" i="111"/>
  <c r="BJ2" i="111"/>
  <c r="BI2" i="111"/>
  <c r="BH2" i="111"/>
  <c r="BG2" i="111"/>
  <c r="BF2" i="111"/>
  <c r="BE2" i="111"/>
  <c r="BD2" i="111"/>
  <c r="BC2" i="111"/>
  <c r="BB2" i="111"/>
  <c r="BA2" i="111"/>
  <c r="AZ2" i="111"/>
  <c r="AY2" i="111"/>
  <c r="AX2" i="111"/>
  <c r="AW2" i="111"/>
  <c r="AV2" i="111"/>
  <c r="AU2" i="111"/>
  <c r="AT2" i="111"/>
  <c r="AS2" i="111"/>
  <c r="AR2" i="111"/>
  <c r="AQ2" i="111"/>
  <c r="AP2" i="111"/>
  <c r="AO2" i="111"/>
  <c r="AN2" i="111"/>
  <c r="AM2" i="111"/>
  <c r="AB58" i="111" l="1"/>
  <c r="AE58" i="111"/>
  <c r="G16" i="111"/>
  <c r="AA16" i="111"/>
  <c r="AC58" i="111"/>
  <c r="BN14" i="111"/>
  <c r="BN15" i="111" s="1"/>
  <c r="W16" i="111"/>
  <c r="BM14" i="111"/>
  <c r="BM15" i="111" s="1"/>
  <c r="BH52" i="111"/>
  <c r="O16" i="111"/>
  <c r="Y16" i="111"/>
  <c r="AM17" i="111"/>
  <c r="AM16" i="111" s="1"/>
  <c r="AQ16" i="111"/>
  <c r="AU16" i="111"/>
  <c r="U16" i="111"/>
  <c r="AI16" i="111"/>
  <c r="AW14" i="111"/>
  <c r="AW15" i="111" s="1"/>
  <c r="AD58" i="111"/>
  <c r="AN16" i="111"/>
  <c r="AR16" i="111"/>
  <c r="BF14" i="111"/>
  <c r="BF15" i="111" s="1"/>
  <c r="AX16" i="111"/>
  <c r="F16" i="111"/>
  <c r="J16" i="111"/>
  <c r="BB16" i="111"/>
  <c r="DZ31" i="111" s="1"/>
  <c r="EB31" i="111" s="1"/>
  <c r="EC31" i="111" s="1"/>
  <c r="AL14" i="111"/>
  <c r="AL15" i="111" s="1"/>
  <c r="AH16" i="111"/>
  <c r="D16" i="111"/>
  <c r="H16" i="111"/>
  <c r="P16" i="111"/>
  <c r="C16" i="111"/>
  <c r="AV14" i="111"/>
  <c r="AV15" i="111" s="1"/>
  <c r="R16" i="111"/>
  <c r="V16" i="111"/>
  <c r="AV17" i="111"/>
  <c r="AV16" i="111" s="1"/>
  <c r="AR14" i="111"/>
  <c r="AR15" i="111" s="1"/>
  <c r="AB17" i="111"/>
  <c r="AB16" i="111" s="1"/>
  <c r="AK17" i="111"/>
  <c r="AK16" i="111" s="1"/>
  <c r="BM17" i="111"/>
  <c r="BM16" i="111" s="1"/>
  <c r="AV20" i="111"/>
  <c r="N16" i="111"/>
  <c r="AG17" i="111"/>
  <c r="AG16" i="111" s="1"/>
  <c r="AS17" i="111"/>
  <c r="AS16" i="111" s="1"/>
  <c r="Q18" i="111"/>
  <c r="Q16" i="111" s="1"/>
  <c r="X20" i="111"/>
  <c r="BE14" i="111"/>
  <c r="N14" i="111"/>
  <c r="N15" i="111" s="1"/>
  <c r="AK14" i="111"/>
  <c r="AK15" i="111" s="1"/>
  <c r="BB20" i="111"/>
  <c r="AN14" i="111"/>
  <c r="AN15" i="111" s="1"/>
  <c r="L16" i="111"/>
  <c r="BE17" i="111"/>
  <c r="BE16" i="111" s="1"/>
  <c r="S16" i="111"/>
  <c r="AN20" i="111"/>
  <c r="BM20" i="111"/>
  <c r="BA52" i="111"/>
  <c r="X15" i="111"/>
  <c r="BN17" i="111"/>
  <c r="BN16" i="111" s="1"/>
  <c r="CM8" i="111"/>
  <c r="CO8" i="111" s="1"/>
  <c r="AZ52" i="111"/>
  <c r="AH14" i="111"/>
  <c r="AH15" i="111" s="1"/>
  <c r="AS14" i="111"/>
  <c r="AS15" i="111" s="1"/>
  <c r="BA14" i="111"/>
  <c r="BA15" i="111" s="1"/>
  <c r="BI14" i="111"/>
  <c r="BI15" i="111" s="1"/>
  <c r="AC17" i="111"/>
  <c r="AC16" i="111" s="1"/>
  <c r="BA17" i="111"/>
  <c r="BA16" i="111" s="1"/>
  <c r="BH17" i="111"/>
  <c r="BH16" i="111" s="1"/>
  <c r="BP17" i="111"/>
  <c r="BP16" i="111" s="1"/>
  <c r="AO20" i="111"/>
  <c r="AW20" i="111"/>
  <c r="BN20" i="111"/>
  <c r="BB52" i="111"/>
  <c r="AG15" i="111"/>
  <c r="BB14" i="111"/>
  <c r="BB15" i="111" s="1"/>
  <c r="X17" i="111"/>
  <c r="X16" i="111" s="1"/>
  <c r="AD17" i="111"/>
  <c r="AD16" i="111" s="1"/>
  <c r="AO17" i="111"/>
  <c r="AO16" i="111" s="1"/>
  <c r="AW17" i="111"/>
  <c r="AW16" i="111" s="1"/>
  <c r="BI17" i="111"/>
  <c r="BI16" i="111" s="1"/>
  <c r="K18" i="111"/>
  <c r="K16" i="111" s="1"/>
  <c r="AR20" i="111"/>
  <c r="BI21" i="111"/>
  <c r="BE52" i="111"/>
  <c r="AZ17" i="111"/>
  <c r="AZ16" i="111" s="1"/>
  <c r="CM10" i="111"/>
  <c r="CN10" i="111" s="1"/>
  <c r="E16" i="111"/>
  <c r="I16" i="111"/>
  <c r="M16" i="111"/>
  <c r="AF17" i="111"/>
  <c r="AF16" i="111" s="1"/>
  <c r="AJ16" i="111"/>
  <c r="BD17" i="111"/>
  <c r="BD16" i="111" s="1"/>
  <c r="BL17" i="111"/>
  <c r="BL16" i="111" s="1"/>
  <c r="T18" i="111"/>
  <c r="T16" i="111" s="1"/>
  <c r="T14" i="111"/>
  <c r="T15" i="111" s="1"/>
  <c r="Z20" i="111"/>
  <c r="Z17" i="111"/>
  <c r="Z16" i="111" s="1"/>
  <c r="AL17" i="111"/>
  <c r="AL16" i="111" s="1"/>
  <c r="AL20" i="111"/>
  <c r="AP20" i="111"/>
  <c r="AP17" i="111"/>
  <c r="AP16" i="111" s="1"/>
  <c r="AT17" i="111"/>
  <c r="AT16" i="111" s="1"/>
  <c r="AT20" i="111"/>
  <c r="AY64" i="111"/>
  <c r="AY17" i="111"/>
  <c r="AY16" i="111" s="1"/>
  <c r="AY20" i="111"/>
  <c r="AY14" i="111"/>
  <c r="AY15" i="111" s="1"/>
  <c r="CP7" i="111"/>
  <c r="CQ7" i="111" s="1"/>
  <c r="BC17" i="111"/>
  <c r="BC16" i="111" s="1"/>
  <c r="BC20" i="111"/>
  <c r="BC52" i="111"/>
  <c r="BC14" i="111"/>
  <c r="BC15" i="111" s="1"/>
  <c r="BG17" i="111"/>
  <c r="BG16" i="111" s="1"/>
  <c r="BG14" i="111"/>
  <c r="BG15" i="111" s="1"/>
  <c r="BG20" i="111"/>
  <c r="BG54" i="111" s="1"/>
  <c r="BG52" i="111"/>
  <c r="BK17" i="111"/>
  <c r="BK16" i="111" s="1"/>
  <c r="BK20" i="111"/>
  <c r="BK14" i="111"/>
  <c r="BK15" i="111" s="1"/>
  <c r="BO17" i="111"/>
  <c r="BO16" i="111" s="1"/>
  <c r="BO20" i="111"/>
  <c r="BO14" i="111"/>
  <c r="BO15" i="111" s="1"/>
  <c r="AE17" i="111"/>
  <c r="AE16" i="111" s="1"/>
  <c r="AE14" i="111"/>
  <c r="AE15" i="111" s="1"/>
  <c r="CP8" i="111"/>
  <c r="CQ8" i="111" s="1"/>
  <c r="AY52" i="111"/>
  <c r="BF52" i="111"/>
  <c r="BF21" i="111"/>
  <c r="BF54" i="111" s="1"/>
  <c r="BF17" i="111"/>
  <c r="BF16" i="111" s="1"/>
  <c r="BJ21" i="111"/>
  <c r="BJ17" i="111"/>
  <c r="BJ16" i="111" s="1"/>
  <c r="AP14" i="111"/>
  <c r="AP15" i="111" s="1"/>
  <c r="BJ14" i="111"/>
  <c r="BJ15" i="111" s="1"/>
  <c r="AA14" i="111"/>
  <c r="AA15" i="111" s="1"/>
  <c r="AM14" i="111"/>
  <c r="AM15" i="111" s="1"/>
  <c r="AA20" i="111"/>
  <c r="AQ20" i="111"/>
  <c r="BD52" i="111"/>
  <c r="CM7" i="111"/>
  <c r="AB14" i="111"/>
  <c r="AB15" i="111" s="1"/>
  <c r="AZ14" i="111"/>
  <c r="AZ15" i="111" s="1"/>
  <c r="BD14" i="111"/>
  <c r="BH14" i="111"/>
  <c r="BH15" i="111" s="1"/>
  <c r="BL14" i="111"/>
  <c r="BL15" i="111" s="1"/>
  <c r="BP14" i="111"/>
  <c r="BP15" i="111" s="1"/>
  <c r="BH20" i="111"/>
  <c r="BH54" i="111" s="1"/>
  <c r="AQ14" i="111"/>
  <c r="AQ15" i="111" s="1"/>
  <c r="AU14" i="111"/>
  <c r="AU15" i="111" s="1"/>
  <c r="AM20" i="111"/>
  <c r="AU20" i="111"/>
  <c r="BE15" i="111" l="1"/>
  <c r="CN8" i="111"/>
  <c r="CN7" i="111"/>
  <c r="CO7" i="111"/>
  <c r="BD15" i="111"/>
  <c r="BD13" i="111" l="1"/>
  <c r="BE13" i="111" l="1"/>
  <c r="BF13" i="111" l="1"/>
  <c r="BG13" i="111" l="1"/>
  <c r="BH13" i="111" l="1"/>
  <c r="BI13" i="111" l="1"/>
  <c r="BJ13" i="111" l="1"/>
  <c r="BK13" i="111" l="1"/>
  <c r="BL13" i="111" l="1"/>
  <c r="BM13" i="111" l="1"/>
  <c r="BO12" i="111" l="1"/>
  <c r="BN13" i="111"/>
  <c r="BO13" i="111" l="1"/>
  <c r="BP12" i="111"/>
  <c r="BP13" i="111" l="1"/>
  <c r="BQ12" i="111"/>
  <c r="E170" i="50"/>
  <c r="BQ13" i="111" l="1"/>
  <c r="BR12" i="111"/>
  <c r="BR13" i="111" l="1"/>
  <c r="BS12" i="111"/>
  <c r="BS13" i="111" l="1"/>
  <c r="BT12" i="111"/>
  <c r="BU12" i="111" s="1"/>
  <c r="BV12" i="111" l="1"/>
  <c r="BW12" i="111" s="1"/>
  <c r="BU13" i="111"/>
  <c r="BT13" i="111"/>
  <c r="BV13" i="111" l="1"/>
  <c r="S157" i="50"/>
  <c r="S183" i="50" s="1"/>
  <c r="U84" i="50" l="1"/>
  <c r="V84" i="50"/>
  <c r="W84" i="50"/>
  <c r="X84" i="50"/>
  <c r="Y84" i="50"/>
  <c r="Z84" i="50"/>
  <c r="AA84" i="50"/>
  <c r="AB84" i="50"/>
  <c r="AC84" i="50"/>
  <c r="AD84" i="50"/>
  <c r="Y87" i="50" l="1"/>
  <c r="Z85" i="50"/>
  <c r="Z87" i="50"/>
  <c r="AC85" i="50"/>
  <c r="AC87" i="50"/>
  <c r="AB85" i="50"/>
  <c r="AB87" i="50"/>
  <c r="AA87" i="50"/>
  <c r="AA85" i="50"/>
  <c r="AD85" i="50"/>
  <c r="AD87" i="50"/>
  <c r="BW13" i="111"/>
  <c r="BX12" i="111"/>
  <c r="R84" i="50"/>
  <c r="BX13" i="111" l="1"/>
  <c r="BY12" i="111"/>
  <c r="AC86" i="50"/>
  <c r="AC88" i="50"/>
  <c r="AA86" i="50"/>
  <c r="AA88" i="50"/>
  <c r="AB86" i="50"/>
  <c r="AB88" i="50"/>
  <c r="Z86" i="50"/>
  <c r="Z88" i="50"/>
  <c r="AD86" i="50"/>
  <c r="AD88" i="50"/>
  <c r="S84" i="50"/>
  <c r="T84" i="50"/>
  <c r="BY13" i="111" l="1"/>
  <c r="BZ12" i="111"/>
  <c r="CA12" i="111" s="1"/>
  <c r="CA13" i="111" s="1"/>
  <c r="AB89" i="50"/>
  <c r="AD89" i="50"/>
  <c r="AC89" i="50"/>
  <c r="Z89" i="50"/>
  <c r="AA89" i="50"/>
  <c r="I170" i="50"/>
  <c r="J170" i="50"/>
  <c r="K170" i="50"/>
  <c r="L170" i="50"/>
  <c r="O170" i="50"/>
  <c r="P170" i="50"/>
  <c r="I173" i="50"/>
  <c r="J173" i="50"/>
  <c r="K173" i="50"/>
  <c r="L173" i="50"/>
  <c r="M173" i="50"/>
  <c r="N173" i="50"/>
  <c r="O173" i="50"/>
  <c r="P173" i="50"/>
  <c r="I174" i="50"/>
  <c r="J174" i="50"/>
  <c r="K174" i="50"/>
  <c r="L174" i="50"/>
  <c r="M174" i="50"/>
  <c r="N174" i="50"/>
  <c r="O174" i="50"/>
  <c r="P174" i="50"/>
  <c r="I175" i="50"/>
  <c r="J175" i="50"/>
  <c r="K175" i="50"/>
  <c r="L175" i="50"/>
  <c r="O175" i="50"/>
  <c r="P175" i="50"/>
  <c r="Q170" i="50"/>
  <c r="Q173" i="50"/>
  <c r="Q174" i="50"/>
  <c r="Q175" i="50"/>
  <c r="S173" i="50"/>
  <c r="T173" i="50"/>
  <c r="U173" i="50"/>
  <c r="V173" i="50"/>
  <c r="W173" i="50"/>
  <c r="X173" i="50"/>
  <c r="Y173" i="50"/>
  <c r="Z173" i="50"/>
  <c r="AA173" i="50"/>
  <c r="AB173" i="50"/>
  <c r="AC173" i="50"/>
  <c r="AD173" i="50"/>
  <c r="R173" i="50"/>
  <c r="BZ13" i="111" l="1"/>
  <c r="S174" i="50"/>
  <c r="T174" i="50"/>
  <c r="U174" i="50"/>
  <c r="S175" i="50"/>
  <c r="T175" i="50"/>
  <c r="U175" i="50"/>
  <c r="V175" i="50"/>
  <c r="W175" i="50"/>
  <c r="X175" i="50"/>
  <c r="Y175" i="50"/>
  <c r="AA175" i="50"/>
  <c r="AB175" i="50"/>
  <c r="AC175" i="50"/>
  <c r="AD175" i="50"/>
  <c r="R175" i="50"/>
  <c r="R174" i="50"/>
  <c r="J163" i="50" l="1"/>
  <c r="M163" i="50"/>
  <c r="N163" i="50"/>
  <c r="I164" i="50"/>
  <c r="J164" i="50"/>
  <c r="K164" i="50"/>
  <c r="L164" i="50"/>
  <c r="M164" i="50"/>
  <c r="P164" i="50"/>
  <c r="Q164" i="50"/>
  <c r="I168" i="50"/>
  <c r="J168" i="50"/>
  <c r="K168" i="50"/>
  <c r="L168" i="50"/>
  <c r="M168" i="50"/>
  <c r="N168" i="50"/>
  <c r="O168" i="50"/>
  <c r="P168" i="50"/>
  <c r="Q168" i="50"/>
  <c r="M162" i="50" l="1"/>
  <c r="J162" i="50"/>
  <c r="S170" i="50" l="1"/>
  <c r="T170" i="50"/>
  <c r="R170" i="50"/>
  <c r="U42" i="56"/>
  <c r="U39" i="56"/>
  <c r="U23" i="56"/>
  <c r="U20" i="56"/>
  <c r="U13" i="56"/>
  <c r="U6" i="56"/>
  <c r="U19" i="56" s="1"/>
  <c r="U5" i="56"/>
  <c r="U4" i="56"/>
  <c r="S164" i="50"/>
  <c r="T164" i="50"/>
  <c r="U164" i="50"/>
  <c r="S168" i="50"/>
  <c r="T168" i="50"/>
  <c r="U168" i="50"/>
  <c r="V168" i="50"/>
  <c r="W168" i="50"/>
  <c r="X168" i="50"/>
  <c r="Y168" i="50"/>
  <c r="Z168" i="50"/>
  <c r="AA168" i="50"/>
  <c r="AB168" i="50"/>
  <c r="AC168" i="50"/>
  <c r="AD168" i="50"/>
  <c r="U12" i="56" s="1"/>
  <c r="U10" i="56"/>
  <c r="Z97" i="50"/>
  <c r="AA97" i="50"/>
  <c r="AB97" i="50"/>
  <c r="AD97" i="50"/>
  <c r="Y97" i="50"/>
  <c r="S97" i="50"/>
  <c r="S163" i="50" s="1"/>
  <c r="T97" i="50"/>
  <c r="T163" i="50" s="1"/>
  <c r="U97" i="50"/>
  <c r="V97" i="50"/>
  <c r="W97" i="50"/>
  <c r="W163" i="50" s="1"/>
  <c r="X97" i="50"/>
  <c r="X163" i="50" s="1"/>
  <c r="S23" i="50"/>
  <c r="R23" i="50"/>
  <c r="Y163" i="50" l="1"/>
  <c r="V163" i="50"/>
  <c r="U163" i="50"/>
  <c r="U162" i="50" s="1"/>
  <c r="U18" i="56"/>
  <c r="U3" i="56"/>
  <c r="T162" i="50"/>
  <c r="S162" i="50"/>
  <c r="AC97" i="50"/>
  <c r="AC6" i="50" s="1"/>
  <c r="AD6" i="50" l="1"/>
  <c r="AE6" i="50" s="1"/>
  <c r="AF6" i="50" s="1"/>
  <c r="AG6" i="50" s="1"/>
  <c r="AH6" i="50" s="1"/>
  <c r="AI6" i="50" s="1"/>
  <c r="X7" i="50"/>
  <c r="W7" i="50"/>
  <c r="V7" i="50"/>
  <c r="S19" i="50"/>
  <c r="T19" i="50"/>
  <c r="U19" i="50"/>
  <c r="R19" i="50"/>
  <c r="R56" i="50"/>
  <c r="AH7" i="50" l="1"/>
  <c r="AJ6" i="50"/>
  <c r="Y7" i="50"/>
  <c r="Q69" i="50"/>
  <c r="AD69" i="50"/>
  <c r="AC69" i="50"/>
  <c r="AB69" i="50"/>
  <c r="AA69" i="50"/>
  <c r="Z69" i="50"/>
  <c r="Y69" i="50"/>
  <c r="X69" i="50"/>
  <c r="W69" i="50"/>
  <c r="V69" i="50"/>
  <c r="U69" i="50"/>
  <c r="T69" i="50"/>
  <c r="S69" i="50"/>
  <c r="R69" i="50"/>
  <c r="AD68" i="50"/>
  <c r="AC68" i="50"/>
  <c r="AB68" i="50"/>
  <c r="AA68" i="50"/>
  <c r="Z68" i="50"/>
  <c r="Y68" i="50"/>
  <c r="X68" i="50"/>
  <c r="W68" i="50"/>
  <c r="V68" i="50"/>
  <c r="U68" i="50"/>
  <c r="T68" i="50"/>
  <c r="S68" i="50"/>
  <c r="R68" i="50"/>
  <c r="Q68" i="50"/>
  <c r="Q25" i="50" l="1"/>
  <c r="Q12" i="50"/>
  <c r="E18" i="50" l="1"/>
  <c r="F18" i="50"/>
  <c r="G18" i="50"/>
  <c r="H18" i="50"/>
  <c r="I18" i="50"/>
  <c r="J18" i="50"/>
  <c r="K18" i="50"/>
  <c r="L18" i="50"/>
  <c r="M18" i="50"/>
  <c r="N18" i="50"/>
  <c r="O18" i="50"/>
  <c r="P18" i="50"/>
  <c r="Q18" i="50"/>
  <c r="R18" i="50"/>
  <c r="S18" i="50" l="1"/>
  <c r="T18" i="50" l="1"/>
  <c r="U18" i="50" l="1"/>
  <c r="P12" i="50" l="1"/>
  <c r="O12" i="50"/>
  <c r="N12" i="50"/>
  <c r="M12" i="50"/>
  <c r="L12" i="50"/>
  <c r="P25" i="50"/>
  <c r="O25" i="50"/>
  <c r="N25" i="50"/>
  <c r="M25" i="50"/>
  <c r="L25" i="50"/>
  <c r="K25" i="50"/>
  <c r="J25" i="50"/>
  <c r="I25" i="50"/>
  <c r="H25" i="50"/>
  <c r="G25" i="50"/>
  <c r="F25" i="50"/>
  <c r="E25" i="50"/>
  <c r="Q20" i="50"/>
  <c r="P20" i="50"/>
  <c r="O20" i="50"/>
  <c r="N20" i="50"/>
  <c r="M20" i="50"/>
  <c r="L20" i="50"/>
  <c r="AD98" i="50" l="1"/>
  <c r="AD76" i="50"/>
  <c r="AD75" i="50"/>
  <c r="AD74" i="50"/>
  <c r="AD73" i="50"/>
  <c r="AD72" i="50"/>
  <c r="AD67" i="50"/>
  <c r="AD65" i="50"/>
  <c r="AD54" i="50"/>
  <c r="AD52" i="50"/>
  <c r="AD41" i="50"/>
  <c r="AD171" i="50" l="1"/>
  <c r="AD169" i="50"/>
  <c r="AD90" i="50"/>
  <c r="AD165" i="50"/>
  <c r="U11" i="56"/>
  <c r="AD185" i="50"/>
  <c r="AD184" i="50"/>
  <c r="AD93" i="50"/>
  <c r="AD77" i="50"/>
  <c r="AD172" i="50" l="1"/>
  <c r="U22" i="56"/>
  <c r="U21" i="56" s="1"/>
  <c r="U17" i="56"/>
  <c r="U16" i="56" s="1"/>
  <c r="U9" i="56"/>
  <c r="U7" i="56" s="1"/>
  <c r="AD187" i="50" l="1"/>
  <c r="W164" i="50"/>
  <c r="W162" i="50" s="1"/>
  <c r="X164" i="50"/>
  <c r="X162" i="50" s="1"/>
  <c r="V164" i="50"/>
  <c r="V162" i="50" s="1"/>
  <c r="W19" i="50" l="1"/>
  <c r="X19" i="50"/>
  <c r="V19" i="50"/>
  <c r="Y164" i="50" l="1"/>
  <c r="Y162" i="50" s="1"/>
  <c r="Y19" i="50"/>
  <c r="AB90" i="50" l="1"/>
  <c r="W90" i="50"/>
  <c r="X90" i="50"/>
  <c r="R90" i="50"/>
  <c r="T90" i="50"/>
  <c r="AA90" i="50"/>
  <c r="S90" i="50"/>
  <c r="Z90" i="50"/>
  <c r="V90" i="50"/>
  <c r="AC90" i="50"/>
  <c r="Y90" i="50"/>
  <c r="U90" i="50"/>
  <c r="S53" i="50"/>
  <c r="T53" i="50"/>
  <c r="U53" i="50"/>
  <c r="V53" i="50"/>
  <c r="W53" i="50"/>
  <c r="X53" i="50"/>
  <c r="W25" i="50" l="1"/>
  <c r="X25" i="50"/>
  <c r="M23" i="56" l="1"/>
  <c r="N23" i="56"/>
  <c r="O23" i="56"/>
  <c r="P23" i="56"/>
  <c r="Q23" i="56"/>
  <c r="R23" i="56"/>
  <c r="S23" i="56"/>
  <c r="T23" i="56"/>
  <c r="M20" i="56"/>
  <c r="N20" i="56"/>
  <c r="O20" i="56"/>
  <c r="P20" i="56"/>
  <c r="Q20" i="56"/>
  <c r="R20" i="56"/>
  <c r="S20" i="56"/>
  <c r="T20" i="56"/>
  <c r="N13" i="56"/>
  <c r="O13" i="56"/>
  <c r="P13" i="56"/>
  <c r="Q13" i="56"/>
  <c r="R13" i="56"/>
  <c r="S13" i="56"/>
  <c r="T13" i="56"/>
  <c r="N4" i="56"/>
  <c r="O4" i="56"/>
  <c r="P4" i="56"/>
  <c r="Q4" i="56"/>
  <c r="R4" i="56"/>
  <c r="S4" i="56"/>
  <c r="T4" i="56"/>
  <c r="N5" i="56"/>
  <c r="O5" i="56"/>
  <c r="P5" i="56"/>
  <c r="Q5" i="56"/>
  <c r="R5" i="56"/>
  <c r="S5" i="56"/>
  <c r="T5" i="56"/>
  <c r="N6" i="56"/>
  <c r="N19" i="56" s="1"/>
  <c r="O6" i="56"/>
  <c r="O19" i="56" s="1"/>
  <c r="P6" i="56"/>
  <c r="P19" i="56" s="1"/>
  <c r="Q6" i="56"/>
  <c r="Q19" i="56" s="1"/>
  <c r="R6" i="56"/>
  <c r="R19" i="56" s="1"/>
  <c r="S6" i="56"/>
  <c r="S19" i="56" s="1"/>
  <c r="T6" i="56"/>
  <c r="T19" i="56" s="1"/>
  <c r="T42" i="56"/>
  <c r="T39" i="56"/>
  <c r="S42" i="56"/>
  <c r="S39" i="56"/>
  <c r="N18" i="56" l="1"/>
  <c r="R18" i="56"/>
  <c r="Q18" i="56"/>
  <c r="R3" i="56"/>
  <c r="Q3" i="56"/>
  <c r="T3" i="56"/>
  <c r="T18" i="56"/>
  <c r="P18" i="56"/>
  <c r="S3" i="56"/>
  <c r="S18" i="56"/>
  <c r="O18" i="56"/>
  <c r="P3" i="56"/>
  <c r="T12" i="56" l="1"/>
  <c r="T10" i="56"/>
  <c r="T11" i="56"/>
  <c r="AC98" i="50"/>
  <c r="AC76" i="50"/>
  <c r="AC75" i="50"/>
  <c r="AC74" i="50"/>
  <c r="AC73" i="50"/>
  <c r="AC72" i="50"/>
  <c r="AC67" i="50"/>
  <c r="AC65" i="50"/>
  <c r="AC54" i="50"/>
  <c r="AC52" i="50"/>
  <c r="AC41" i="50"/>
  <c r="AC171" i="50" l="1"/>
  <c r="AC169" i="50"/>
  <c r="AC165" i="50"/>
  <c r="AC184" i="50"/>
  <c r="AC185" i="50"/>
  <c r="T22" i="56"/>
  <c r="T21" i="56" s="1"/>
  <c r="T17" i="56"/>
  <c r="T16" i="56" s="1"/>
  <c r="T9" i="56"/>
  <c r="AC77" i="50"/>
  <c r="AC93" i="50"/>
  <c r="AC172" i="50" l="1"/>
  <c r="AW28" i="56"/>
  <c r="AW29" i="56"/>
  <c r="AW30" i="56"/>
  <c r="AW31" i="56"/>
  <c r="AW32" i="56"/>
  <c r="AW27" i="56"/>
  <c r="AC187" i="50" l="1"/>
  <c r="P103" i="50"/>
  <c r="R97" i="50"/>
  <c r="Q97" i="50"/>
  <c r="Q163" i="50" s="1"/>
  <c r="Q162" i="50" s="1"/>
  <c r="P97" i="50"/>
  <c r="P163" i="50" l="1"/>
  <c r="P162" i="50" s="1"/>
  <c r="R53" i="50"/>
  <c r="R163" i="50"/>
  <c r="P98" i="50"/>
  <c r="Q98" i="50"/>
  <c r="R98" i="50"/>
  <c r="S98" i="50"/>
  <c r="T98" i="50"/>
  <c r="U98" i="50"/>
  <c r="V98" i="50"/>
  <c r="W98" i="50"/>
  <c r="X98" i="50"/>
  <c r="Y98" i="50"/>
  <c r="Z98" i="50"/>
  <c r="AA98" i="50"/>
  <c r="AB98" i="50"/>
  <c r="S12" i="56" l="1"/>
  <c r="S10" i="56"/>
  <c r="AB76" i="50"/>
  <c r="AB75" i="50"/>
  <c r="AB74" i="50"/>
  <c r="AB73" i="50"/>
  <c r="AB72" i="50"/>
  <c r="AB67" i="50"/>
  <c r="AB65" i="50"/>
  <c r="AB54" i="50"/>
  <c r="AB52" i="50"/>
  <c r="AB41" i="50"/>
  <c r="AB171" i="50" l="1"/>
  <c r="AB169" i="50"/>
  <c r="AB165" i="50"/>
  <c r="AB184" i="50"/>
  <c r="AB185" i="50"/>
  <c r="AB77" i="50"/>
  <c r="AB93" i="50"/>
  <c r="S11" i="56"/>
  <c r="AB172" i="50" l="1"/>
  <c r="S22" i="56"/>
  <c r="S21" i="56" s="1"/>
  <c r="S9" i="56"/>
  <c r="S17" i="56"/>
  <c r="S16" i="56" s="1"/>
  <c r="AB187" i="50" l="1"/>
  <c r="O105" i="50"/>
  <c r="O164" i="50" s="1"/>
  <c r="Q155" i="50" l="1"/>
  <c r="Q183" i="50" s="1"/>
  <c r="R155" i="50"/>
  <c r="R183" i="50" s="1"/>
  <c r="P155" i="50"/>
  <c r="P183" i="50" s="1"/>
  <c r="P159" i="50" l="1"/>
  <c r="Q159" i="50"/>
  <c r="R159" i="50"/>
  <c r="R184" i="50" s="1"/>
  <c r="S159" i="50"/>
  <c r="T159" i="50"/>
  <c r="T184" i="50" s="1"/>
  <c r="U159" i="50"/>
  <c r="V159" i="50"/>
  <c r="P160" i="50"/>
  <c r="Q160" i="50"/>
  <c r="R160" i="50"/>
  <c r="S160" i="50"/>
  <c r="S185" i="50" s="1"/>
  <c r="T160" i="50"/>
  <c r="T185" i="50" s="1"/>
  <c r="U160" i="50"/>
  <c r="U185" i="50" s="1"/>
  <c r="V160" i="50"/>
  <c r="V185" i="50" s="1"/>
  <c r="W185" i="50"/>
  <c r="X185" i="50"/>
  <c r="Y185" i="50"/>
  <c r="AA185" i="50"/>
  <c r="V171" i="50" l="1"/>
  <c r="V172" i="50" s="1"/>
  <c r="V187" i="50" s="1"/>
  <c r="Z184" i="50"/>
  <c r="Z171" i="50"/>
  <c r="X184" i="50"/>
  <c r="X171" i="50"/>
  <c r="W184" i="50"/>
  <c r="W171" i="50"/>
  <c r="V184" i="50"/>
  <c r="AA184" i="50"/>
  <c r="AA171" i="50"/>
  <c r="Y184" i="50"/>
  <c r="Y171" i="50"/>
  <c r="U184" i="50"/>
  <c r="U171" i="50"/>
  <c r="U172" i="50" s="1"/>
  <c r="X169" i="50"/>
  <c r="W169" i="50"/>
  <c r="S184" i="50"/>
  <c r="S169" i="50"/>
  <c r="Y169" i="50"/>
  <c r="V169" i="50"/>
  <c r="R169" i="50"/>
  <c r="Z169" i="50"/>
  <c r="T169" i="50"/>
  <c r="U169" i="50"/>
  <c r="AA169" i="50"/>
  <c r="P180" i="50"/>
  <c r="P181" i="50" s="1"/>
  <c r="Q169" i="50"/>
  <c r="P169" i="50"/>
  <c r="P171" i="50"/>
  <c r="Q171" i="50"/>
  <c r="Q165" i="50"/>
  <c r="Q180" i="50"/>
  <c r="Q181" i="50" s="1"/>
  <c r="P165" i="50"/>
  <c r="R171" i="50"/>
  <c r="R172" i="50" s="1"/>
  <c r="S171" i="50"/>
  <c r="S172" i="50" s="1"/>
  <c r="T171" i="50"/>
  <c r="T172" i="50" s="1"/>
  <c r="R180" i="50"/>
  <c r="S165" i="50"/>
  <c r="W180" i="50"/>
  <c r="W181" i="50" s="1"/>
  <c r="V165" i="50"/>
  <c r="Y180" i="50"/>
  <c r="Y181" i="50" s="1"/>
  <c r="S180" i="50"/>
  <c r="S181" i="50" s="1"/>
  <c r="X165" i="50"/>
  <c r="Y165" i="50"/>
  <c r="U165" i="50"/>
  <c r="U161" i="50" s="1"/>
  <c r="X180" i="50"/>
  <c r="X181" i="50" s="1"/>
  <c r="T180" i="50"/>
  <c r="T181" i="50" s="1"/>
  <c r="U180" i="50"/>
  <c r="U181" i="50" s="1"/>
  <c r="Z165" i="50"/>
  <c r="Z185" i="50"/>
  <c r="W165" i="50"/>
  <c r="AA165" i="50"/>
  <c r="V180" i="50"/>
  <c r="V181" i="50" s="1"/>
  <c r="T165" i="50"/>
  <c r="R42" i="56"/>
  <c r="R39" i="56"/>
  <c r="Z172" i="50" l="1"/>
  <c r="X172" i="50"/>
  <c r="X187" i="50" s="1"/>
  <c r="Y172" i="50"/>
  <c r="AA172" i="50"/>
  <c r="W172" i="50"/>
  <c r="W187" i="50" s="1"/>
  <c r="R12" i="56"/>
  <c r="AA76" i="50"/>
  <c r="AA75" i="50"/>
  <c r="AA74" i="50"/>
  <c r="AA73" i="50"/>
  <c r="AA72" i="50"/>
  <c r="AA67" i="50"/>
  <c r="AA65" i="50"/>
  <c r="AA54" i="50"/>
  <c r="AA52" i="50"/>
  <c r="AA41" i="50"/>
  <c r="Y187" i="50" l="1"/>
  <c r="AA187" i="50"/>
  <c r="Z187" i="50"/>
  <c r="AA77" i="50"/>
  <c r="N105" i="50" l="1"/>
  <c r="N164" i="50" l="1"/>
  <c r="N162" i="50" s="1"/>
  <c r="O103" i="50"/>
  <c r="O163" i="50" l="1"/>
  <c r="O162" i="50" s="1"/>
  <c r="N109" i="50"/>
  <c r="N92" i="50" l="1"/>
  <c r="N167" i="50"/>
  <c r="N170" i="50"/>
  <c r="E20" i="56"/>
  <c r="F20" i="56"/>
  <c r="G20" i="56"/>
  <c r="H20" i="56"/>
  <c r="I20" i="56"/>
  <c r="J20" i="56"/>
  <c r="K20" i="56"/>
  <c r="L20" i="56"/>
  <c r="O134" i="50" l="1"/>
  <c r="O159" i="50"/>
  <c r="O160" i="50"/>
  <c r="O169" i="50" l="1"/>
  <c r="I42" i="56"/>
  <c r="E42" i="56"/>
  <c r="F42" i="56"/>
  <c r="G42" i="56"/>
  <c r="H42" i="56"/>
  <c r="J42" i="56"/>
  <c r="K42" i="56"/>
  <c r="L42" i="56"/>
  <c r="M42" i="56"/>
  <c r="N42" i="56"/>
  <c r="O42" i="56"/>
  <c r="P42" i="56"/>
  <c r="Q42" i="56"/>
  <c r="C20" i="56" l="1"/>
  <c r="E13" i="56"/>
  <c r="F13" i="56"/>
  <c r="G13" i="56"/>
  <c r="H13" i="56"/>
  <c r="I13" i="56"/>
  <c r="J13" i="56"/>
  <c r="K13" i="56"/>
  <c r="L13" i="56"/>
  <c r="M13" i="56"/>
  <c r="D13" i="56"/>
  <c r="E6" i="56"/>
  <c r="F6" i="56"/>
  <c r="G6" i="56"/>
  <c r="H6" i="56"/>
  <c r="I6" i="56"/>
  <c r="J6" i="56"/>
  <c r="K6" i="56"/>
  <c r="L6" i="56"/>
  <c r="M6" i="56"/>
  <c r="D6" i="56"/>
  <c r="E4" i="56"/>
  <c r="F4" i="56"/>
  <c r="G4" i="56"/>
  <c r="H4" i="56"/>
  <c r="I4" i="56"/>
  <c r="J4" i="56"/>
  <c r="K4" i="56"/>
  <c r="L4" i="56"/>
  <c r="M4" i="56"/>
  <c r="E5" i="56"/>
  <c r="F5" i="56"/>
  <c r="G5" i="56"/>
  <c r="H5" i="56"/>
  <c r="I5" i="56"/>
  <c r="J5" i="56"/>
  <c r="K5" i="56"/>
  <c r="L5" i="56"/>
  <c r="M5" i="56"/>
  <c r="D4" i="56"/>
  <c r="Q39" i="56"/>
  <c r="J3" i="56" l="1"/>
  <c r="H3" i="56"/>
  <c r="O3" i="56"/>
  <c r="G3" i="56"/>
  <c r="K3" i="56"/>
  <c r="L3" i="56"/>
  <c r="F3" i="56"/>
  <c r="M3" i="56"/>
  <c r="N3" i="56"/>
  <c r="I3" i="56"/>
  <c r="Q12" i="56" l="1"/>
  <c r="Z76" i="50"/>
  <c r="Z75" i="50"/>
  <c r="Z74" i="50"/>
  <c r="Z73" i="50"/>
  <c r="Z72" i="50"/>
  <c r="Z67" i="50"/>
  <c r="Z65" i="50"/>
  <c r="Z54" i="50"/>
  <c r="Z52" i="50"/>
  <c r="Z41" i="50"/>
  <c r="Z77" i="50" l="1"/>
  <c r="M123" i="50" l="1"/>
  <c r="M166" i="50" s="1"/>
  <c r="M170" i="50" l="1"/>
  <c r="D42" i="56"/>
  <c r="P39" i="56"/>
  <c r="O39" i="56"/>
  <c r="N39" i="56"/>
  <c r="M39" i="56"/>
  <c r="L39" i="56"/>
  <c r="K39" i="56"/>
  <c r="J39" i="56"/>
  <c r="I39" i="56"/>
  <c r="H39" i="56"/>
  <c r="G39" i="56"/>
  <c r="F39" i="56"/>
  <c r="E39" i="56"/>
  <c r="D39" i="56"/>
  <c r="T29" i="56"/>
  <c r="U29" i="56" s="1"/>
  <c r="V29" i="56" s="1"/>
  <c r="W29" i="56" s="1"/>
  <c r="X29" i="56" s="1"/>
  <c r="Y29" i="56" s="1"/>
  <c r="Z29" i="56" s="1"/>
  <c r="AA29" i="56" s="1"/>
  <c r="AB29" i="56" s="1"/>
  <c r="AC29" i="56" s="1"/>
  <c r="AD29" i="56" s="1"/>
  <c r="AE29" i="56" s="1"/>
  <c r="AF29" i="56" s="1"/>
  <c r="T27" i="56"/>
  <c r="L23" i="56"/>
  <c r="K23" i="56"/>
  <c r="J23" i="56"/>
  <c r="I23" i="56"/>
  <c r="H23" i="56"/>
  <c r="G23" i="56"/>
  <c r="F23" i="56"/>
  <c r="E23" i="56"/>
  <c r="D23" i="56"/>
  <c r="C23" i="56"/>
  <c r="C22" i="56"/>
  <c r="D20" i="56"/>
  <c r="M19" i="56"/>
  <c r="M18" i="56" s="1"/>
  <c r="L19" i="56"/>
  <c r="L18" i="56" s="1"/>
  <c r="K19" i="56"/>
  <c r="K18" i="56" s="1"/>
  <c r="J19" i="56"/>
  <c r="J18" i="56" s="1"/>
  <c r="I19" i="56"/>
  <c r="I18" i="56" s="1"/>
  <c r="H19" i="56"/>
  <c r="H18" i="56" s="1"/>
  <c r="G19" i="56"/>
  <c r="G18" i="56" s="1"/>
  <c r="F19" i="56"/>
  <c r="F18" i="56" s="1"/>
  <c r="E19" i="56"/>
  <c r="E18" i="56" s="1"/>
  <c r="D19" i="56"/>
  <c r="C19" i="56"/>
  <c r="C18" i="56" s="1"/>
  <c r="C17" i="56"/>
  <c r="C9" i="56"/>
  <c r="C7" i="56" s="1"/>
  <c r="E3" i="56"/>
  <c r="C3" i="56"/>
  <c r="U27" i="56" l="1"/>
  <c r="V27" i="56" s="1"/>
  <c r="W27" i="56" s="1"/>
  <c r="X27" i="56" s="1"/>
  <c r="Y27" i="56" s="1"/>
  <c r="Z27" i="56" s="1"/>
  <c r="AA27" i="56" s="1"/>
  <c r="AB27" i="56" s="1"/>
  <c r="AC27" i="56" s="1"/>
  <c r="AD27" i="56" s="1"/>
  <c r="AE27" i="56" s="1"/>
  <c r="AF27" i="56" s="1"/>
  <c r="T28" i="56"/>
  <c r="U28" i="56" s="1"/>
  <c r="V28" i="56" s="1"/>
  <c r="W28" i="56" s="1"/>
  <c r="X28" i="56" s="1"/>
  <c r="Y28" i="56" s="1"/>
  <c r="Z28" i="56" s="1"/>
  <c r="AA28" i="56" s="1"/>
  <c r="AB28" i="56" s="1"/>
  <c r="AC28" i="56" s="1"/>
  <c r="AD28" i="56" s="1"/>
  <c r="AE28" i="56" s="1"/>
  <c r="AF28" i="56" s="1"/>
  <c r="C16" i="56"/>
  <c r="C21" i="56"/>
  <c r="D18" i="56"/>
  <c r="N90" i="50" l="1"/>
  <c r="R168" i="50"/>
  <c r="N12" i="56"/>
  <c r="O12" i="56"/>
  <c r="P12" i="56"/>
  <c r="L2" i="50"/>
  <c r="H12" i="56" l="1"/>
  <c r="G12" i="56"/>
  <c r="K12" i="56"/>
  <c r="F12" i="56"/>
  <c r="M12" i="56"/>
  <c r="E12" i="56"/>
  <c r="E10" i="56"/>
  <c r="J12" i="56"/>
  <c r="I12" i="56"/>
  <c r="L12" i="56"/>
  <c r="D12" i="56"/>
  <c r="G10" i="56"/>
  <c r="F10" i="56"/>
  <c r="O171" i="50"/>
  <c r="N159" i="50"/>
  <c r="N160" i="50"/>
  <c r="N157" i="50"/>
  <c r="M157" i="50"/>
  <c r="M159" i="50"/>
  <c r="M160" i="50"/>
  <c r="M175" i="50" l="1"/>
  <c r="M183" i="50"/>
  <c r="N175" i="50"/>
  <c r="N183" i="50"/>
  <c r="N171" i="50"/>
  <c r="M169" i="50"/>
  <c r="N169" i="50"/>
  <c r="N180" i="50"/>
  <c r="N181" i="50" s="1"/>
  <c r="N165" i="50"/>
  <c r="O165" i="50"/>
  <c r="O180" i="50"/>
  <c r="O181" i="50" s="1"/>
  <c r="E11" i="56"/>
  <c r="E9" i="56" s="1"/>
  <c r="O90" i="50"/>
  <c r="E22" i="56" l="1"/>
  <c r="E21" i="56" s="1"/>
  <c r="E17" i="56"/>
  <c r="E16" i="56" s="1"/>
  <c r="F11" i="56"/>
  <c r="F22" i="56" s="1"/>
  <c r="F21" i="56" s="1"/>
  <c r="F9" i="56" l="1"/>
  <c r="F17" i="56"/>
  <c r="F16" i="56" s="1"/>
  <c r="T32" i="56" l="1"/>
  <c r="U32" i="56" s="1"/>
  <c r="V32" i="56" s="1"/>
  <c r="W32" i="56" s="1"/>
  <c r="X32" i="56" s="1"/>
  <c r="Y32" i="56" l="1"/>
  <c r="P53" i="50"/>
  <c r="Q53" i="50"/>
  <c r="M53" i="50"/>
  <c r="O53" i="50"/>
  <c r="Z32" i="56" l="1"/>
  <c r="N53" i="50"/>
  <c r="R164" i="50"/>
  <c r="H164" i="50"/>
  <c r="F164" i="50"/>
  <c r="E164" i="50"/>
  <c r="E163" i="50"/>
  <c r="M185" i="50"/>
  <c r="L160" i="50"/>
  <c r="K160" i="50"/>
  <c r="J160" i="50"/>
  <c r="I160" i="50"/>
  <c r="H160" i="50"/>
  <c r="G160" i="50"/>
  <c r="F160" i="50"/>
  <c r="F185" i="50" s="1"/>
  <c r="E160" i="50"/>
  <c r="E185" i="50" s="1"/>
  <c r="N184" i="50"/>
  <c r="L159" i="50"/>
  <c r="L184" i="50" s="1"/>
  <c r="K159" i="50"/>
  <c r="K184" i="50" s="1"/>
  <c r="J159" i="50"/>
  <c r="J184" i="50" s="1"/>
  <c r="I159" i="50"/>
  <c r="H159" i="50"/>
  <c r="G159" i="50"/>
  <c r="F159" i="50"/>
  <c r="E159" i="50"/>
  <c r="L155" i="50"/>
  <c r="L183" i="50" s="1"/>
  <c r="K155" i="50"/>
  <c r="K183" i="50" s="1"/>
  <c r="J155" i="50"/>
  <c r="J183" i="50" s="1"/>
  <c r="I155" i="50"/>
  <c r="I183" i="50" s="1"/>
  <c r="H155" i="50"/>
  <c r="H183" i="50" s="1"/>
  <c r="G155" i="50"/>
  <c r="G183" i="50" s="1"/>
  <c r="F155" i="50"/>
  <c r="F183" i="50" s="1"/>
  <c r="E155" i="50"/>
  <c r="E183" i="50" s="1"/>
  <c r="H110" i="50"/>
  <c r="H170" i="50" s="1"/>
  <c r="G109" i="50"/>
  <c r="G170" i="50" s="1"/>
  <c r="F109" i="50"/>
  <c r="F170" i="50" s="1"/>
  <c r="G105" i="50"/>
  <c r="G164" i="50" s="1"/>
  <c r="I103" i="50"/>
  <c r="H103" i="50"/>
  <c r="G103" i="50"/>
  <c r="G163" i="50" s="1"/>
  <c r="L97" i="50"/>
  <c r="L163" i="50" s="1"/>
  <c r="L162" i="50" s="1"/>
  <c r="K97" i="50"/>
  <c r="K163" i="50" s="1"/>
  <c r="K162" i="50" s="1"/>
  <c r="I97" i="50"/>
  <c r="H97" i="50"/>
  <c r="F97" i="50"/>
  <c r="F163" i="50" s="1"/>
  <c r="O98" i="50"/>
  <c r="N98" i="50"/>
  <c r="M98" i="50"/>
  <c r="L98" i="50"/>
  <c r="K98" i="50"/>
  <c r="J98" i="50"/>
  <c r="I98" i="50"/>
  <c r="H98" i="50"/>
  <c r="G98" i="50"/>
  <c r="F98" i="50"/>
  <c r="E98" i="50"/>
  <c r="O93" i="50"/>
  <c r="O84" i="50"/>
  <c r="N84" i="50"/>
  <c r="K84" i="50"/>
  <c r="Y76" i="50"/>
  <c r="X76" i="50"/>
  <c r="W76" i="50"/>
  <c r="V76" i="50"/>
  <c r="U76" i="50"/>
  <c r="T76" i="50"/>
  <c r="S76" i="50"/>
  <c r="R76" i="50"/>
  <c r="Q76" i="50"/>
  <c r="P76" i="50"/>
  <c r="O76" i="50"/>
  <c r="N76" i="50"/>
  <c r="M76" i="50"/>
  <c r="L76" i="50"/>
  <c r="K76" i="50"/>
  <c r="J76" i="50"/>
  <c r="I76" i="50"/>
  <c r="H76" i="50"/>
  <c r="G76" i="50"/>
  <c r="F76" i="50"/>
  <c r="E76" i="50"/>
  <c r="Y75" i="50"/>
  <c r="X75" i="50"/>
  <c r="W75" i="50"/>
  <c r="V75" i="50"/>
  <c r="U75" i="50"/>
  <c r="T75" i="50"/>
  <c r="S75" i="50"/>
  <c r="R75" i="50"/>
  <c r="Q75" i="50"/>
  <c r="P75" i="50"/>
  <c r="O75" i="50"/>
  <c r="N75" i="50"/>
  <c r="M75" i="50"/>
  <c r="L75" i="50"/>
  <c r="K75" i="50"/>
  <c r="J75" i="50"/>
  <c r="I75" i="50"/>
  <c r="H75" i="50"/>
  <c r="G75" i="50"/>
  <c r="F75" i="50"/>
  <c r="E75" i="50"/>
  <c r="Y74" i="50"/>
  <c r="X74" i="50"/>
  <c r="W74" i="50"/>
  <c r="V74" i="50"/>
  <c r="U74" i="50"/>
  <c r="T74" i="50"/>
  <c r="S74" i="50"/>
  <c r="R74" i="50"/>
  <c r="Q74" i="50"/>
  <c r="P74" i="50"/>
  <c r="O74" i="50"/>
  <c r="N74" i="50"/>
  <c r="M74" i="50"/>
  <c r="L74" i="50"/>
  <c r="K74" i="50"/>
  <c r="J74" i="50"/>
  <c r="I74" i="50"/>
  <c r="H74" i="50"/>
  <c r="G74" i="50"/>
  <c r="F74" i="50"/>
  <c r="E74" i="50"/>
  <c r="Y73" i="50"/>
  <c r="X73" i="50"/>
  <c r="W73" i="50"/>
  <c r="V73" i="50"/>
  <c r="U73" i="50"/>
  <c r="T73" i="50"/>
  <c r="S73" i="50"/>
  <c r="R73" i="50"/>
  <c r="Q73" i="50"/>
  <c r="P73" i="50"/>
  <c r="O73" i="50"/>
  <c r="N73" i="50"/>
  <c r="L73" i="50"/>
  <c r="K73" i="50"/>
  <c r="J73" i="50"/>
  <c r="I73" i="50"/>
  <c r="H73" i="50"/>
  <c r="G73" i="50"/>
  <c r="F73" i="50"/>
  <c r="E73" i="50"/>
  <c r="Y72" i="50"/>
  <c r="X72" i="50"/>
  <c r="W72" i="50"/>
  <c r="V72" i="50"/>
  <c r="U72" i="50"/>
  <c r="T72" i="50"/>
  <c r="S72" i="50"/>
  <c r="R72" i="50"/>
  <c r="Q72" i="50"/>
  <c r="P72" i="50"/>
  <c r="O72" i="50"/>
  <c r="N72" i="50"/>
  <c r="M72" i="50"/>
  <c r="L72" i="50"/>
  <c r="K72" i="50"/>
  <c r="J72" i="50"/>
  <c r="I72" i="50"/>
  <c r="H72" i="50"/>
  <c r="G72" i="50"/>
  <c r="F72" i="50"/>
  <c r="E72" i="50"/>
  <c r="Y67" i="50"/>
  <c r="X67" i="50"/>
  <c r="W67" i="50"/>
  <c r="V67" i="50"/>
  <c r="U67" i="50"/>
  <c r="T67" i="50"/>
  <c r="S67" i="50"/>
  <c r="R67" i="50"/>
  <c r="Q67" i="50"/>
  <c r="P67" i="50"/>
  <c r="O67" i="50"/>
  <c r="N67" i="50"/>
  <c r="M67" i="50"/>
  <c r="L67" i="50"/>
  <c r="K67" i="50"/>
  <c r="J67" i="50"/>
  <c r="I67" i="50"/>
  <c r="H67" i="50"/>
  <c r="G67" i="50"/>
  <c r="F67" i="50"/>
  <c r="E67" i="50"/>
  <c r="Y65" i="50"/>
  <c r="X65" i="50"/>
  <c r="W65" i="50"/>
  <c r="V65" i="50"/>
  <c r="U65" i="50"/>
  <c r="T65" i="50"/>
  <c r="S65" i="50"/>
  <c r="R65" i="50"/>
  <c r="Q65" i="50"/>
  <c r="P65" i="50"/>
  <c r="O65" i="50"/>
  <c r="N65" i="50"/>
  <c r="L65" i="50"/>
  <c r="K65" i="50"/>
  <c r="J65" i="50"/>
  <c r="I65" i="50"/>
  <c r="H65" i="50"/>
  <c r="G65" i="50"/>
  <c r="F65" i="50"/>
  <c r="E65" i="50"/>
  <c r="M61" i="50"/>
  <c r="Y54" i="50"/>
  <c r="X54" i="50"/>
  <c r="W54" i="50"/>
  <c r="V54" i="50"/>
  <c r="U54" i="50"/>
  <c r="T54" i="50"/>
  <c r="S54" i="50"/>
  <c r="R54" i="50"/>
  <c r="Q54" i="50"/>
  <c r="P54" i="50"/>
  <c r="O54" i="50"/>
  <c r="N54" i="50"/>
  <c r="M54" i="50"/>
  <c r="L54" i="50"/>
  <c r="K54" i="50"/>
  <c r="J54" i="50"/>
  <c r="I54" i="50"/>
  <c r="H54" i="50"/>
  <c r="G54" i="50"/>
  <c r="F54" i="50"/>
  <c r="E54" i="50"/>
  <c r="Y52" i="50"/>
  <c r="X52" i="50"/>
  <c r="W52" i="50"/>
  <c r="V52" i="50"/>
  <c r="U52" i="50"/>
  <c r="T52" i="50"/>
  <c r="S52" i="50"/>
  <c r="R52" i="50"/>
  <c r="Q52" i="50"/>
  <c r="P52" i="50"/>
  <c r="O52" i="50"/>
  <c r="N52" i="50"/>
  <c r="M52" i="50"/>
  <c r="L52" i="50"/>
  <c r="K52" i="50"/>
  <c r="J52" i="50"/>
  <c r="I52" i="50"/>
  <c r="H52" i="50"/>
  <c r="G52" i="50"/>
  <c r="F52" i="50"/>
  <c r="E52" i="50"/>
  <c r="Y41" i="50"/>
  <c r="X41" i="50"/>
  <c r="W41" i="50"/>
  <c r="V41" i="50"/>
  <c r="U41" i="50"/>
  <c r="T41" i="50"/>
  <c r="S41" i="50"/>
  <c r="R41" i="50"/>
  <c r="Q41" i="50"/>
  <c r="P41" i="50"/>
  <c r="O41" i="50"/>
  <c r="N41" i="50"/>
  <c r="M41" i="50"/>
  <c r="L41" i="50"/>
  <c r="K41" i="50"/>
  <c r="J41" i="50"/>
  <c r="I41" i="50"/>
  <c r="H41" i="50"/>
  <c r="G41" i="50"/>
  <c r="F41" i="50"/>
  <c r="E41" i="50"/>
  <c r="R185" i="50"/>
  <c r="P185" i="50"/>
  <c r="O185" i="50"/>
  <c r="O184" i="50"/>
  <c r="M184" i="50"/>
  <c r="L9" i="50"/>
  <c r="L8" i="50"/>
  <c r="L92" i="50" s="1"/>
  <c r="H8" i="50"/>
  <c r="L7" i="50"/>
  <c r="K7" i="50"/>
  <c r="J7" i="50"/>
  <c r="I7" i="50"/>
  <c r="H7" i="50"/>
  <c r="G7" i="50"/>
  <c r="F7" i="50"/>
  <c r="E7" i="50"/>
  <c r="AA32" i="56" l="1"/>
  <c r="M137" i="50"/>
  <c r="M171" i="50" s="1"/>
  <c r="K171" i="50"/>
  <c r="L171" i="50"/>
  <c r="J171" i="50"/>
  <c r="L169" i="50"/>
  <c r="I171" i="50"/>
  <c r="I180" i="50"/>
  <c r="J169" i="50"/>
  <c r="L165" i="50"/>
  <c r="L180" i="50"/>
  <c r="I163" i="50"/>
  <c r="I162" i="50" s="1"/>
  <c r="I165" i="50"/>
  <c r="I169" i="50"/>
  <c r="J180" i="50"/>
  <c r="J165" i="50"/>
  <c r="K180" i="50"/>
  <c r="K165" i="50"/>
  <c r="K169" i="50"/>
  <c r="G184" i="50"/>
  <c r="M65" i="50"/>
  <c r="D5" i="56"/>
  <c r="D3" i="56" s="1"/>
  <c r="H185" i="50"/>
  <c r="I185" i="50"/>
  <c r="G185" i="50"/>
  <c r="K185" i="50"/>
  <c r="J185" i="50"/>
  <c r="F184" i="50"/>
  <c r="E184" i="50"/>
  <c r="H184" i="50"/>
  <c r="G162" i="50"/>
  <c r="K90" i="50"/>
  <c r="F162" i="50"/>
  <c r="N8" i="56"/>
  <c r="O8" i="56"/>
  <c r="Q77" i="50"/>
  <c r="Y77" i="50"/>
  <c r="T77" i="50"/>
  <c r="H180" i="50"/>
  <c r="P77" i="50"/>
  <c r="X77" i="50"/>
  <c r="K77" i="50"/>
  <c r="L77" i="50"/>
  <c r="U77" i="50"/>
  <c r="Q185" i="50"/>
  <c r="I77" i="50"/>
  <c r="H77" i="50"/>
  <c r="H163" i="50"/>
  <c r="H162" i="50" s="1"/>
  <c r="E77" i="50"/>
  <c r="S77" i="50"/>
  <c r="N93" i="50"/>
  <c r="R162" i="50"/>
  <c r="R181" i="50" s="1"/>
  <c r="N185" i="50"/>
  <c r="M73" i="50"/>
  <c r="M77" i="50" s="1"/>
  <c r="L84" i="50"/>
  <c r="F77" i="50"/>
  <c r="N77" i="50"/>
  <c r="V77" i="50"/>
  <c r="M84" i="50"/>
  <c r="G77" i="50"/>
  <c r="O77" i="50"/>
  <c r="W77" i="50"/>
  <c r="J77" i="50"/>
  <c r="R77" i="50"/>
  <c r="E180" i="50"/>
  <c r="E162" i="50"/>
  <c r="F180" i="50"/>
  <c r="G180" i="50"/>
  <c r="I184" i="50"/>
  <c r="L185" i="50"/>
  <c r="L90" i="50"/>
  <c r="AB32" i="56" l="1"/>
  <c r="AC32" i="56" s="1"/>
  <c r="AD32" i="56" s="1"/>
  <c r="AE32" i="56" s="1"/>
  <c r="AF32" i="56" s="1"/>
  <c r="M92" i="50"/>
  <c r="M167" i="50"/>
  <c r="M182" i="50"/>
  <c r="M180" i="50"/>
  <c r="M181" i="50" s="1"/>
  <c r="M165" i="50"/>
  <c r="D10" i="56"/>
  <c r="E8" i="56"/>
  <c r="E7" i="56" s="1"/>
  <c r="D8" i="56"/>
  <c r="G8" i="56"/>
  <c r="L8" i="56"/>
  <c r="K8" i="56"/>
  <c r="J8" i="56"/>
  <c r="H8" i="56"/>
  <c r="F8" i="56"/>
  <c r="F7" i="56" s="1"/>
  <c r="I8" i="56"/>
  <c r="M8" i="56"/>
  <c r="M90" i="50"/>
  <c r="M93" i="50"/>
  <c r="M7" i="50"/>
  <c r="D11" i="56" l="1"/>
  <c r="D22" i="56" s="1"/>
  <c r="D21" i="56" s="1"/>
  <c r="M2" i="50"/>
  <c r="D17" i="56" l="1"/>
  <c r="D16" i="56" s="1"/>
  <c r="D9" i="56"/>
  <c r="D7" i="56" s="1"/>
  <c r="D14" i="56"/>
  <c r="D34" i="56" s="1"/>
  <c r="D40" i="56" s="1"/>
  <c r="D41" i="56" s="1"/>
  <c r="O7" i="50"/>
  <c r="N2" i="50"/>
  <c r="N7" i="50"/>
  <c r="E14" i="56" l="1"/>
  <c r="O2" i="50"/>
  <c r="E34" i="56" l="1"/>
  <c r="E40" i="56" s="1"/>
  <c r="E41" i="56" s="1"/>
  <c r="F14" i="56"/>
  <c r="F34" i="56" l="1"/>
  <c r="F40" i="56" s="1"/>
  <c r="F41" i="56" s="1"/>
  <c r="P184" i="50" l="1"/>
  <c r="R165" i="50"/>
  <c r="P90" i="50"/>
  <c r="P84" i="50"/>
  <c r="Q84" i="50"/>
  <c r="Q90" i="50"/>
  <c r="AA93" i="50"/>
  <c r="Y93" i="50"/>
  <c r="T93" i="50"/>
  <c r="X93" i="50"/>
  <c r="W93" i="50"/>
  <c r="S93" i="50"/>
  <c r="O10" i="56"/>
  <c r="Q10" i="56"/>
  <c r="Q184" i="50"/>
  <c r="R93" i="50"/>
  <c r="U93" i="50"/>
  <c r="Q93" i="50"/>
  <c r="O11" i="56"/>
  <c r="R11" i="56"/>
  <c r="V93" i="50"/>
  <c r="R10" i="56"/>
  <c r="Z93" i="50"/>
  <c r="Q11" i="56"/>
  <c r="N11" i="56"/>
  <c r="P11" i="56"/>
  <c r="P93" i="50"/>
  <c r="P2" i="50"/>
  <c r="N10" i="56"/>
  <c r="P10" i="56"/>
  <c r="O22" i="56" l="1"/>
  <c r="O21" i="56" s="1"/>
  <c r="O9" i="56"/>
  <c r="O7" i="56" s="1"/>
  <c r="O17" i="56"/>
  <c r="O16" i="56" s="1"/>
  <c r="R17" i="56"/>
  <c r="R16" i="56" s="1"/>
  <c r="R22" i="56"/>
  <c r="R21" i="56" s="1"/>
  <c r="R9" i="56"/>
  <c r="N17" i="56"/>
  <c r="N16" i="56" s="1"/>
  <c r="N22" i="56"/>
  <c r="N21" i="56" s="1"/>
  <c r="N9" i="56"/>
  <c r="N7" i="56" s="1"/>
  <c r="Q9" i="56"/>
  <c r="Q17" i="56"/>
  <c r="Q16" i="56" s="1"/>
  <c r="Q22" i="56"/>
  <c r="Q21" i="56" s="1"/>
  <c r="P22" i="56"/>
  <c r="P21" i="56" s="1"/>
  <c r="P17" i="56"/>
  <c r="P16" i="56" s="1"/>
  <c r="P9" i="56"/>
  <c r="L10" i="56"/>
  <c r="I10" i="56"/>
  <c r="K10" i="56"/>
  <c r="H10" i="56"/>
  <c r="M10" i="56"/>
  <c r="J10" i="56"/>
  <c r="K11" i="56"/>
  <c r="K17" i="56" s="1"/>
  <c r="K16" i="56" s="1"/>
  <c r="H11" i="56"/>
  <c r="H22" i="56" s="1"/>
  <c r="H21" i="56" s="1"/>
  <c r="G14" i="56"/>
  <c r="G34" i="56" s="1"/>
  <c r="G40" i="56" s="1"/>
  <c r="G41" i="56" s="1"/>
  <c r="I11" i="56"/>
  <c r="I22" i="56" s="1"/>
  <c r="I21" i="56" s="1"/>
  <c r="G11" i="56"/>
  <c r="G9" i="56" s="1"/>
  <c r="G7" i="56" s="1"/>
  <c r="J11" i="56"/>
  <c r="J22" i="56" s="1"/>
  <c r="J21" i="56" s="1"/>
  <c r="L11" i="56"/>
  <c r="L17" i="56" s="1"/>
  <c r="L16" i="56" s="1"/>
  <c r="M11" i="56"/>
  <c r="M22" i="56" s="1"/>
  <c r="M21" i="56" s="1"/>
  <c r="P7" i="50"/>
  <c r="I17" i="56" l="1"/>
  <c r="I16" i="56" s="1"/>
  <c r="J17" i="56"/>
  <c r="J16" i="56" s="1"/>
  <c r="K22" i="56"/>
  <c r="K21" i="56" s="1"/>
  <c r="M9" i="56"/>
  <c r="M7" i="56" s="1"/>
  <c r="K9" i="56"/>
  <c r="K7" i="56" s="1"/>
  <c r="G17" i="56"/>
  <c r="G16" i="56" s="1"/>
  <c r="H9" i="56"/>
  <c r="H7" i="56" s="1"/>
  <c r="H17" i="56"/>
  <c r="H16" i="56" s="1"/>
  <c r="M17" i="56"/>
  <c r="M16" i="56" s="1"/>
  <c r="I9" i="56"/>
  <c r="I7" i="56" s="1"/>
  <c r="G22" i="56"/>
  <c r="G21" i="56" s="1"/>
  <c r="L22" i="56"/>
  <c r="L21" i="56" s="1"/>
  <c r="L9" i="56"/>
  <c r="L7" i="56" s="1"/>
  <c r="J9" i="56"/>
  <c r="J7" i="56" s="1"/>
  <c r="Q7" i="50"/>
  <c r="Q2" i="50"/>
  <c r="H14" i="56" l="1"/>
  <c r="H34" i="56" s="1"/>
  <c r="H40" i="56" s="1"/>
  <c r="H41" i="56" s="1"/>
  <c r="R7" i="50"/>
  <c r="R2" i="50"/>
  <c r="R25" i="50" l="1"/>
  <c r="I14" i="56"/>
  <c r="I34" i="56" s="1"/>
  <c r="I40" i="56" s="1"/>
  <c r="I41" i="56" s="1"/>
  <c r="S7" i="50"/>
  <c r="S2" i="50"/>
  <c r="S25" i="50" l="1"/>
  <c r="J14" i="56"/>
  <c r="J34" i="56" s="1"/>
  <c r="J40" i="56" s="1"/>
  <c r="J41" i="56" s="1"/>
  <c r="T7" i="50"/>
  <c r="T2" i="50"/>
  <c r="T25" i="50" l="1"/>
  <c r="K14" i="56"/>
  <c r="K34" i="56" s="1"/>
  <c r="K40" i="56" s="1"/>
  <c r="K41" i="56" s="1"/>
  <c r="U7" i="50"/>
  <c r="U2" i="50"/>
  <c r="U25" i="50" l="1"/>
  <c r="L14" i="56"/>
  <c r="L34" i="56" s="1"/>
  <c r="L40" i="56" s="1"/>
  <c r="L41" i="56" s="1"/>
  <c r="V2" i="50"/>
  <c r="V25" i="50" l="1"/>
  <c r="M14" i="56"/>
  <c r="W2" i="50"/>
  <c r="N14" i="56" s="1"/>
  <c r="N34" i="56" s="1"/>
  <c r="M34" i="56" l="1"/>
  <c r="M40" i="56" s="1"/>
  <c r="M41" i="56" s="1"/>
  <c r="N40" i="56"/>
  <c r="N41" i="56" s="1"/>
  <c r="X2" i="50"/>
  <c r="O14" i="56" s="1"/>
  <c r="O34" i="56" s="1"/>
  <c r="O40" i="56" l="1"/>
  <c r="O41" i="56" s="1"/>
  <c r="V18" i="50" l="1"/>
  <c r="X18" i="50" l="1"/>
  <c r="W18" i="50"/>
  <c r="Y18" i="50" l="1"/>
  <c r="Y53" i="50" l="1"/>
  <c r="P8" i="56"/>
  <c r="P7" i="56" s="1"/>
  <c r="Y25" i="50" l="1"/>
  <c r="Y2" i="50"/>
  <c r="P14" i="56" s="1"/>
  <c r="P34" i="56" l="1"/>
  <c r="P40" i="56" s="1"/>
  <c r="P41" i="56" s="1"/>
  <c r="Z25" i="50"/>
  <c r="AB53" i="50" l="1"/>
  <c r="AF53" i="50"/>
  <c r="W8" i="56"/>
  <c r="W7" i="56" s="1"/>
  <c r="AC162" i="50"/>
  <c r="AC161" i="50" s="1"/>
  <c r="Z19" i="50"/>
  <c r="AB162" i="50"/>
  <c r="AA162" i="50"/>
  <c r="R8" i="56" s="1"/>
  <c r="R7" i="56" s="1"/>
  <c r="Z162" i="50"/>
  <c r="AA8" i="56"/>
  <c r="AA7" i="56" s="1"/>
  <c r="AF19" i="50"/>
  <c r="AA19" i="50"/>
  <c r="AD19" i="50"/>
  <c r="AA53" i="50"/>
  <c r="AC53" i="50"/>
  <c r="AD53" i="50"/>
  <c r="AJ53" i="50"/>
  <c r="AC19" i="50"/>
  <c r="AJ19" i="50"/>
  <c r="Z53" i="50"/>
  <c r="AB19" i="50"/>
  <c r="T8" i="56" l="1"/>
  <c r="T7" i="56" s="1"/>
  <c r="AC181" i="50"/>
  <c r="S8" i="56"/>
  <c r="S7" i="56" s="1"/>
  <c r="AB181" i="50"/>
  <c r="AJ181" i="50"/>
  <c r="AA181" i="50"/>
  <c r="AI7" i="50"/>
  <c r="Z18" i="50"/>
  <c r="Z7" i="50"/>
  <c r="Z2" i="50"/>
  <c r="Q14" i="56" s="1"/>
  <c r="Q34" i="56" s="1"/>
  <c r="Q40" i="56" s="1"/>
  <c r="Q41" i="56" s="1"/>
  <c r="AA2" i="50"/>
  <c r="R14" i="56" s="1"/>
  <c r="R34" i="56" s="1"/>
  <c r="Z181" i="50"/>
  <c r="Q8" i="56"/>
  <c r="Q7" i="56" s="1"/>
  <c r="R40" i="56" l="1"/>
  <c r="R41" i="56" s="1"/>
  <c r="AJ7" i="50"/>
  <c r="AA18" i="50"/>
  <c r="AA7" i="50"/>
  <c r="AB18" i="50"/>
  <c r="AB2" i="50" l="1"/>
  <c r="S14" i="56" s="1"/>
  <c r="S34" i="56" s="1"/>
  <c r="S40" i="56" s="1"/>
  <c r="S41" i="56" s="1"/>
  <c r="AB7" i="50"/>
  <c r="AC2" i="50"/>
  <c r="T14" i="56" s="1"/>
  <c r="T34" i="56" s="1"/>
  <c r="T40" i="56" s="1"/>
  <c r="T41" i="56" s="1"/>
  <c r="AC7" i="50"/>
  <c r="AC18" i="50"/>
  <c r="AD7" i="50" l="1"/>
  <c r="AD2" i="50"/>
  <c r="U14" i="56" s="1"/>
  <c r="U34" i="56" s="1"/>
  <c r="U40" i="56" s="1"/>
  <c r="U41" i="56" s="1"/>
  <c r="AD18" i="50"/>
  <c r="AE18" i="50" l="1"/>
  <c r="AE7" i="50"/>
  <c r="AE2" i="50"/>
  <c r="V14" i="56" s="1"/>
  <c r="V34" i="56" s="1"/>
  <c r="V40" i="56" s="1"/>
  <c r="V41" i="56" s="1"/>
  <c r="AF2" i="50" l="1"/>
  <c r="W14" i="56" s="1"/>
  <c r="W34" i="56" s="1"/>
  <c r="W40" i="56" s="1"/>
  <c r="W41" i="56" s="1"/>
  <c r="AF7" i="50"/>
  <c r="AF18" i="50"/>
  <c r="AG18" i="50" l="1"/>
  <c r="AG2" i="50"/>
  <c r="X14" i="56" s="1"/>
  <c r="X34" i="56" s="1"/>
  <c r="X40" i="56" s="1"/>
  <c r="X41" i="56" s="1"/>
  <c r="AG7" i="50"/>
  <c r="AH2" i="50" l="1"/>
  <c r="Y14" i="56" s="1"/>
  <c r="Y34" i="56" s="1"/>
  <c r="Y40" i="56" s="1"/>
  <c r="Y41" i="56" s="1"/>
  <c r="AH18" i="50"/>
  <c r="AJ18" i="50" l="1"/>
  <c r="AI18" i="50"/>
  <c r="AI2" i="50"/>
  <c r="Z14" i="56" l="1"/>
  <c r="Z34" i="56" s="1"/>
  <c r="Z40" i="56" s="1"/>
  <c r="Z41" i="56" s="1"/>
  <c r="AJ2" i="50"/>
  <c r="AA14" i="56" l="1"/>
  <c r="AA34" i="56" s="1"/>
  <c r="AA40" i="56" s="1"/>
  <c r="AA41" i="56" s="1"/>
  <c r="AK30" i="50"/>
  <c r="AK32" i="50" s="1"/>
  <c r="AB8" i="56"/>
  <c r="AB7" i="56" s="1"/>
  <c r="AK24" i="50"/>
  <c r="AL24" i="50" s="1"/>
  <c r="AK97" i="50"/>
  <c r="AK53" i="50" s="1"/>
  <c r="AK6" i="50" l="1"/>
  <c r="AK7" i="50" s="1"/>
  <c r="AK181" i="50"/>
  <c r="AL25" i="50"/>
  <c r="AM24" i="50"/>
  <c r="AL30" i="50"/>
  <c r="AK25" i="50"/>
  <c r="AM25" i="50" l="1"/>
  <c r="AN24" i="50"/>
  <c r="AK2" i="50"/>
  <c r="AB14" i="56" s="1"/>
  <c r="AB34" i="56" s="1"/>
  <c r="AB40" i="56" s="1"/>
  <c r="AB41" i="56" s="1"/>
  <c r="AL6" i="50"/>
  <c r="AL32" i="50"/>
  <c r="AM30" i="50"/>
  <c r="AM6" i="50" l="1"/>
  <c r="AN6" i="50" s="1"/>
  <c r="AO6" i="50" s="1"/>
  <c r="AO24" i="50"/>
  <c r="AO25" i="50" s="1"/>
  <c r="AN25" i="50"/>
  <c r="AM32" i="50"/>
  <c r="AN30" i="50"/>
  <c r="AO30" i="50" s="1"/>
  <c r="AO32" i="50" s="1"/>
  <c r="AL2" i="50"/>
  <c r="AC14" i="56" s="1"/>
  <c r="AC34" i="56" s="1"/>
  <c r="AC40" i="56" s="1"/>
  <c r="AC41" i="56" s="1"/>
  <c r="AL7" i="50"/>
  <c r="AM7" i="50" l="1"/>
  <c r="AN7" i="50"/>
  <c r="AN2" i="50"/>
  <c r="AE14" i="56" s="1"/>
  <c r="AE34" i="56" s="1"/>
  <c r="AE40" i="56" s="1"/>
  <c r="AE41" i="56" s="1"/>
  <c r="AM2" i="50"/>
  <c r="AD14" i="56" s="1"/>
  <c r="AD34" i="56" s="1"/>
  <c r="AD40" i="56" s="1"/>
  <c r="AD41" i="56" s="1"/>
  <c r="AN32" i="50"/>
  <c r="AO2" i="50" l="1"/>
  <c r="AF14" i="56" s="1"/>
  <c r="AO7" i="50"/>
  <c r="AF34" i="56" l="1"/>
  <c r="AF40" i="56" s="1"/>
  <c r="AF41" i="5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Chalida</author>
  </authors>
  <commentList>
    <comment ref="H24" authorId="0" shapeId="0" xr:uid="{77D2167B-73C6-7C42-8787-1158B7961704}">
      <text>
        <r>
          <rPr>
            <b/>
            <sz val="9"/>
            <color rgb="FF000000"/>
            <rFont val="Tahoma"/>
            <family val="2"/>
          </rPr>
          <t>Windows User:</t>
        </r>
        <r>
          <rPr>
            <sz val="9"/>
            <color rgb="FF000000"/>
            <rFont val="Tahoma"/>
            <family val="2"/>
          </rPr>
          <t xml:space="preserve">
</t>
        </r>
        <r>
          <rPr>
            <sz val="9"/>
            <color rgb="FF000000"/>
            <rFont val="Tahoma"/>
            <family val="2"/>
          </rPr>
          <t xml:space="preserve">rev0 = 10 Ton/hr.
</t>
        </r>
        <r>
          <rPr>
            <sz val="9"/>
            <color rgb="FF000000"/>
            <rFont val="Tahoma"/>
            <family val="2"/>
          </rPr>
          <t xml:space="preserve">rev1 = 15 Ton/hr.
</t>
        </r>
        <r>
          <rPr>
            <sz val="9"/>
            <color rgb="FF000000"/>
            <rFont val="Tahoma"/>
            <family val="2"/>
          </rPr>
          <t>rev2 = 16.2 Ton/hr.</t>
        </r>
      </text>
    </comment>
    <comment ref="I24" authorId="0" shapeId="0" xr:uid="{33800B11-1106-8B43-8BD3-6E0946E6D212}">
      <text>
        <r>
          <rPr>
            <b/>
            <sz val="9"/>
            <color rgb="FF000000"/>
            <rFont val="Tahoma"/>
            <family val="2"/>
          </rPr>
          <t xml:space="preserve">Windows User:
</t>
        </r>
        <r>
          <rPr>
            <sz val="9"/>
            <color rgb="FF000000"/>
            <rFont val="Tahoma"/>
            <family val="2"/>
          </rPr>
          <t xml:space="preserve">rev0 = 13.55 KT (10,080 Ton)
</t>
        </r>
        <r>
          <rPr>
            <sz val="9"/>
            <color rgb="FF000000"/>
            <rFont val="Tahoma"/>
            <family val="2"/>
          </rPr>
          <t>rev1 = 15 KT</t>
        </r>
      </text>
    </comment>
    <comment ref="A29" authorId="1" shapeId="0" xr:uid="{077335F7-4C95-6E43-825B-F2FE2086B985}">
      <text>
        <r>
          <rPr>
            <b/>
            <sz val="9"/>
            <color indexed="81"/>
            <rFont val="Tahoma"/>
            <family val="2"/>
          </rPr>
          <t xml:space="preserve">Chalida:inp
input abilty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Chalida</author>
  </authors>
  <commentList>
    <comment ref="H24" authorId="0" shapeId="0" xr:uid="{D154D1FE-12EB-427F-B5B2-97B9BB9C5251}">
      <text>
        <r>
          <rPr>
            <b/>
            <sz val="9"/>
            <color rgb="FF000000"/>
            <rFont val="Tahoma"/>
            <family val="2"/>
          </rPr>
          <t>Windows User:</t>
        </r>
        <r>
          <rPr>
            <sz val="9"/>
            <color rgb="FF000000"/>
            <rFont val="Tahoma"/>
            <family val="2"/>
          </rPr>
          <t xml:space="preserve">
</t>
        </r>
        <r>
          <rPr>
            <sz val="9"/>
            <color rgb="FF000000"/>
            <rFont val="Tahoma"/>
            <family val="2"/>
          </rPr>
          <t xml:space="preserve">rev0 = 10 Ton/hr.
</t>
        </r>
        <r>
          <rPr>
            <sz val="9"/>
            <color rgb="FF000000"/>
            <rFont val="Tahoma"/>
            <family val="2"/>
          </rPr>
          <t xml:space="preserve">rev1 = 15 Ton/hr.
</t>
        </r>
        <r>
          <rPr>
            <sz val="9"/>
            <color rgb="FF000000"/>
            <rFont val="Tahoma"/>
            <family val="2"/>
          </rPr>
          <t>rev2 = 16.2 Ton/hr.</t>
        </r>
      </text>
    </comment>
    <comment ref="I24" authorId="0" shapeId="0" xr:uid="{908B81F2-F1E7-40AB-9F47-C34C856CB068}">
      <text>
        <r>
          <rPr>
            <b/>
            <sz val="9"/>
            <color indexed="81"/>
            <rFont val="Tahoma"/>
            <family val="2"/>
          </rPr>
          <t xml:space="preserve">Windows User:
</t>
        </r>
        <r>
          <rPr>
            <sz val="9"/>
            <color indexed="81"/>
            <rFont val="Tahoma"/>
            <family val="2"/>
          </rPr>
          <t>rev0 = 13.55 KT (10,080 Ton)
rev1 = 15 KT</t>
        </r>
      </text>
    </comment>
    <comment ref="A29" authorId="1" shapeId="0" xr:uid="{197990BC-EBBE-4A4C-B244-F03F9C2C7D63}">
      <text>
        <r>
          <rPr>
            <b/>
            <sz val="9"/>
            <color indexed="81"/>
            <rFont val="Tahoma"/>
            <family val="2"/>
          </rPr>
          <t xml:space="preserve">Chalida:inp
input abilty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 User</author>
    <author>Chalida</author>
  </authors>
  <commentList>
    <comment ref="H24" authorId="0" shapeId="0" xr:uid="{00000000-0006-0000-0000-000001000000}">
      <text>
        <r>
          <rPr>
            <b/>
            <sz val="9"/>
            <color rgb="FF000000"/>
            <rFont val="Tahoma"/>
            <family val="2"/>
          </rPr>
          <t>Windows User:</t>
        </r>
        <r>
          <rPr>
            <sz val="9"/>
            <color rgb="FF000000"/>
            <rFont val="Tahoma"/>
            <family val="2"/>
          </rPr>
          <t xml:space="preserve">
</t>
        </r>
        <r>
          <rPr>
            <sz val="9"/>
            <color rgb="FF000000"/>
            <rFont val="Tahoma"/>
            <family val="2"/>
          </rPr>
          <t xml:space="preserve">rev0 = 10 Ton/hr.
</t>
        </r>
        <r>
          <rPr>
            <sz val="9"/>
            <color rgb="FF000000"/>
            <rFont val="Tahoma"/>
            <family val="2"/>
          </rPr>
          <t xml:space="preserve">rev1 = 15 Ton/hr.
</t>
        </r>
        <r>
          <rPr>
            <sz val="9"/>
            <color rgb="FF000000"/>
            <rFont val="Tahoma"/>
            <family val="2"/>
          </rPr>
          <t>rev2 = 16.2 Ton/hr.</t>
        </r>
      </text>
    </comment>
    <comment ref="I24" authorId="0" shapeId="0" xr:uid="{00000000-0006-0000-0000-000002000000}">
      <text>
        <r>
          <rPr>
            <b/>
            <sz val="9"/>
            <color rgb="FF000000"/>
            <rFont val="Tahoma"/>
            <family val="2"/>
          </rPr>
          <t xml:space="preserve">Windows User:
</t>
        </r>
        <r>
          <rPr>
            <sz val="9"/>
            <color rgb="FF000000"/>
            <rFont val="Tahoma"/>
            <family val="2"/>
          </rPr>
          <t xml:space="preserve">rev0 = 13.55 KT (10,080 Ton)
</t>
        </r>
        <r>
          <rPr>
            <sz val="9"/>
            <color rgb="FF000000"/>
            <rFont val="Tahoma"/>
            <family val="2"/>
          </rPr>
          <t>rev1 = 15 KT</t>
        </r>
      </text>
    </comment>
    <comment ref="A29" authorId="1" shapeId="0" xr:uid="{B796788A-9CD0-4291-8410-67C06FD5A2ED}">
      <text>
        <r>
          <rPr>
            <b/>
            <sz val="9"/>
            <color indexed="81"/>
            <rFont val="Tahoma"/>
            <family val="2"/>
          </rPr>
          <t xml:space="preserve">Chalida:inp
input abilty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Quantumuser</author>
  </authors>
  <commentList>
    <comment ref="A34" authorId="0" shapeId="0" xr:uid="{00000000-0006-0000-0100-000001000000}">
      <text>
        <r>
          <rPr>
            <b/>
            <sz val="9"/>
            <color rgb="FF000000"/>
            <rFont val="Tahoma"/>
            <family val="2"/>
          </rPr>
          <t>Quantumuser:</t>
        </r>
        <r>
          <rPr>
            <sz val="9"/>
            <color rgb="FF000000"/>
            <rFont val="Tahoma"/>
            <family val="2"/>
          </rPr>
          <t xml:space="preserve">
</t>
        </r>
        <r>
          <rPr>
            <sz val="9"/>
            <color rgb="FF000000"/>
            <rFont val="Tahoma"/>
            <family val="2"/>
          </rPr>
          <t>แต่ละจุดห้ามต่ำกว่า</t>
        </r>
        <r>
          <rPr>
            <sz val="9"/>
            <color rgb="FF000000"/>
            <rFont val="Tahoma"/>
            <family val="2"/>
          </rPr>
          <t xml:space="preserve"> GSP 6 KT, MT 7 KT, BRP 1 KT = 14 KT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Quantumuser</author>
    <author>tc={69E289C2-E852-FD4B-9FC9-DD70E4803C57}</author>
    <author>tc={BA1EEB90-9ACA-1C40-806D-5FDC0CB303BE}</author>
    <author>tc={5240FB1E-DF6D-4447-96C8-F39FB4F39A7D}</author>
  </authors>
  <commentList>
    <comment ref="V24" authorId="0" shapeId="0" xr:uid="{3DD895E9-7968-FB46-A369-DA704E74F8EF}">
      <text>
        <r>
          <rPr>
            <b/>
            <sz val="9"/>
            <color indexed="81"/>
            <rFont val="Tahoma"/>
            <family val="2"/>
          </rPr>
          <t>Quantumuser:</t>
        </r>
        <r>
          <rPr>
            <sz val="9"/>
            <color indexed="81"/>
            <rFont val="Tahoma"/>
            <family val="2"/>
          </rPr>
          <t xml:space="preserve">
rev0 = 1.5KT
rev1 = 0.55KT เขมร demand drop, lock down
rev2=1.25 demand increase
rev3 = 2.7 demand increase</t>
        </r>
      </text>
    </comment>
    <comment ref="W24" authorId="0" shapeId="0" xr:uid="{0661240D-E7B6-8947-ADCB-2B47AAFEC7A9}">
      <text>
        <r>
          <rPr>
            <b/>
            <sz val="9"/>
            <color indexed="81"/>
            <rFont val="Tahoma"/>
            <family val="2"/>
          </rPr>
          <t>Quantumuser:</t>
        </r>
        <r>
          <rPr>
            <sz val="9"/>
            <color indexed="81"/>
            <rFont val="Tahoma"/>
            <family val="2"/>
          </rPr>
          <t xml:space="preserve">
rev0 = 1.5
Rev1 = 5 cambodia demand increase (รอ confirm 26 jul)</t>
        </r>
      </text>
    </comment>
    <comment ref="X24" authorId="0" shapeId="0" xr:uid="{E30CD7F1-8825-484E-BDD9-BE687AE5CB2A}">
      <text>
        <r>
          <rPr>
            <b/>
            <sz val="9"/>
            <color indexed="81"/>
            <rFont val="Tahoma"/>
            <family val="2"/>
          </rPr>
          <t>Quantumuser:</t>
        </r>
        <r>
          <rPr>
            <sz val="9"/>
            <color indexed="81"/>
            <rFont val="Tahoma"/>
            <family val="2"/>
          </rPr>
          <t xml:space="preserve">
rev0 4.5
rev1 = 3.5 เวียดนาม demand drop เลยส่งของราคาถูกไปประเทศอื่นๆ
</t>
        </r>
      </text>
    </comment>
    <comment ref="Y24" authorId="0" shapeId="0" xr:uid="{15064ED7-CBF4-D94C-BF5B-45B8F072083E}">
      <text>
        <r>
          <rPr>
            <b/>
            <sz val="9"/>
            <color indexed="81"/>
            <rFont val="Tahoma"/>
            <family val="2"/>
          </rPr>
          <t>Quantumuser:
Rev0 =4
Rev1 =3.3
rev 2 4</t>
        </r>
      </text>
    </comment>
    <comment ref="Z24" authorId="0" shapeId="0" xr:uid="{BFCB65C3-713D-4F42-B236-917C50DF9C09}">
      <text>
        <r>
          <rPr>
            <b/>
            <sz val="9"/>
            <color indexed="81"/>
            <rFont val="Tahoma"/>
            <family val="2"/>
          </rPr>
          <t>Quantumuser:</t>
        </r>
        <r>
          <rPr>
            <sz val="9"/>
            <color indexed="81"/>
            <rFont val="Tahoma"/>
            <family val="2"/>
          </rPr>
          <t xml:space="preserve">
rev0 =1.5</t>
        </r>
      </text>
    </comment>
    <comment ref="AA24" authorId="0" shapeId="0" xr:uid="{15CB1845-A239-674E-B1B4-ADAACEB2DE09}">
      <text>
        <r>
          <rPr>
            <b/>
            <sz val="9"/>
            <color indexed="81"/>
            <rFont val="Tahoma"/>
            <family val="2"/>
          </rPr>
          <t>Quantumuser:</t>
        </r>
        <r>
          <rPr>
            <sz val="9"/>
            <color indexed="81"/>
            <rFont val="Tahoma"/>
            <family val="2"/>
          </rPr>
          <t xml:space="preserve">
rev0 1.5
rev2 5</t>
        </r>
      </text>
    </comment>
    <comment ref="U26" authorId="0" shapeId="0" xr:uid="{1DFFC2CC-E083-E844-8AF1-E57340FA168D}">
      <text>
        <r>
          <rPr>
            <b/>
            <sz val="9"/>
            <color indexed="81"/>
            <rFont val="Tahoma"/>
            <family val="2"/>
          </rPr>
          <t>Quantumuser:</t>
        </r>
        <r>
          <rPr>
            <sz val="9"/>
            <color indexed="81"/>
            <rFont val="Tahoma"/>
            <family val="2"/>
          </rPr>
          <t xml:space="preserve">
rev0 = 0.6KT
rev1 = 1KT Demand increase
rev2 = 1.5KT demand increase</t>
        </r>
      </text>
    </comment>
    <comment ref="V26" authorId="0" shapeId="0" xr:uid="{56C1F22E-2A13-BE4A-A48C-8EC615DA0B91}">
      <text>
        <r>
          <rPr>
            <b/>
            <sz val="9"/>
            <color indexed="81"/>
            <rFont val="Tahoma"/>
            <family val="2"/>
          </rPr>
          <t>Quantumuser:
rev0 = 0.7
rev1 = 1 or demand increase</t>
        </r>
      </text>
    </comment>
    <comment ref="W26" authorId="0" shapeId="0" xr:uid="{F346073C-6289-F242-98C2-27CD5AB1C87D}">
      <text>
        <r>
          <rPr>
            <b/>
            <sz val="9"/>
            <color indexed="81"/>
            <rFont val="Tahoma"/>
            <family val="2"/>
          </rPr>
          <t>Quantumuser:</t>
        </r>
        <r>
          <rPr>
            <sz val="9"/>
            <color indexed="81"/>
            <rFont val="Tahoma"/>
            <family val="2"/>
          </rPr>
          <t xml:space="preserve">
rev0 = 1.050
Rev1 =1.4 demand increase</t>
        </r>
      </text>
    </comment>
    <comment ref="X26" authorId="0" shapeId="0" xr:uid="{A16B7B5C-A209-D14F-ACDD-F3B7CD6766A6}">
      <text>
        <r>
          <rPr>
            <b/>
            <sz val="9"/>
            <color indexed="81"/>
            <rFont val="Tahoma"/>
            <family val="2"/>
          </rPr>
          <t>Quantumuser:</t>
        </r>
        <r>
          <rPr>
            <sz val="9"/>
            <color indexed="81"/>
            <rFont val="Tahoma"/>
            <family val="2"/>
          </rPr>
          <t xml:space="preserve">
Rev0 =1.05
Rev1 = 1.65 Or requestd เพิ่ม</t>
        </r>
      </text>
    </comment>
    <comment ref="Y26" authorId="0" shapeId="0" xr:uid="{2ADBB83D-9204-5341-93F2-FCEB95393C2F}">
      <text>
        <r>
          <rPr>
            <b/>
            <sz val="9"/>
            <color indexed="81"/>
            <rFont val="Tahoma"/>
            <family val="2"/>
          </rPr>
          <t>Quantumuser:</t>
        </r>
        <r>
          <rPr>
            <sz val="9"/>
            <color indexed="81"/>
            <rFont val="Tahoma"/>
            <family val="2"/>
          </rPr>
          <t xml:space="preserve">
Rev0 = 0.88
Rev1 = 1 OR ขอ 2.6 แต่ GSP invent low ก่อนเรือเข้า พย เลยไม่อยากให้
Rev2 = 1.8 OR โยกจาก BRP ในประเทศ</t>
        </r>
      </text>
    </comment>
    <comment ref="A33" authorId="1" shapeId="0" xr:uid="{69E289C2-E852-FD4B-9FC9-DD70E4803C57}">
      <text>
        <t>[Threaded comment]
Your version of Excel allows you to read this threaded comment; however, any edits to it will get removed if the file is opened in a newer version of Excel. Learn more: https://go.microsoft.com/fwlink/?linkid=870924
Comment:
    คือ row 47 - c3 split cargo to scg</t>
      </text>
    </comment>
    <comment ref="A34" authorId="0" shapeId="0" xr:uid="{5847B310-DFAD-D54B-B08E-652082CACFB3}">
      <text>
        <r>
          <rPr>
            <b/>
            <sz val="9"/>
            <color rgb="FF000000"/>
            <rFont val="Tahoma"/>
            <family val="2"/>
          </rPr>
          <t>Quantumuser:</t>
        </r>
        <r>
          <rPr>
            <sz val="9"/>
            <color rgb="FF000000"/>
            <rFont val="Tahoma"/>
            <family val="2"/>
          </rPr>
          <t xml:space="preserve">
</t>
        </r>
        <r>
          <rPr>
            <sz val="9"/>
            <color rgb="FF000000"/>
            <rFont val="Tahoma"/>
            <family val="2"/>
          </rPr>
          <t>แต่ละจุดห้ามต่ำกว่า</t>
        </r>
        <r>
          <rPr>
            <sz val="9"/>
            <color rgb="FF000000"/>
            <rFont val="Tahoma"/>
            <family val="2"/>
          </rPr>
          <t xml:space="preserve"> GSP 6 KT, MT 7 KT, BRP 1 KT = 14 KT
</t>
        </r>
        <r>
          <rPr>
            <sz val="9"/>
            <color rgb="FF000000"/>
            <rFont val="Tahoma"/>
            <family val="2"/>
          </rPr>
          <t xml:space="preserve">
</t>
        </r>
        <r>
          <rPr>
            <sz val="9"/>
            <color rgb="FF000000"/>
            <rFont val="Tahoma"/>
            <family val="2"/>
          </rPr>
          <t>ประมาณ</t>
        </r>
        <r>
          <rPr>
            <sz val="9"/>
            <color rgb="FF000000"/>
            <rFont val="Tahoma"/>
            <family val="2"/>
          </rPr>
          <t xml:space="preserve"> 50 </t>
        </r>
        <r>
          <rPr>
            <sz val="9"/>
            <color rgb="FF000000"/>
            <rFont val="Tahoma"/>
            <family val="2"/>
          </rPr>
          <t>จะไม่เกิด</t>
        </r>
        <r>
          <rPr>
            <sz val="9"/>
            <color rgb="FF000000"/>
            <rFont val="Tahoma"/>
            <family val="2"/>
          </rPr>
          <t xml:space="preserve"> dem 
</t>
        </r>
        <r>
          <rPr>
            <sz val="9"/>
            <color rgb="FF000000"/>
            <rFont val="Tahoma"/>
            <family val="2"/>
          </rPr>
          <t xml:space="preserve">
</t>
        </r>
        <r>
          <rPr>
            <sz val="9"/>
            <color rgb="FF000000"/>
            <rFont val="Tahoma"/>
            <family val="2"/>
          </rPr>
          <t>ถึง</t>
        </r>
        <r>
          <rPr>
            <sz val="9"/>
            <color rgb="FF000000"/>
            <rFont val="Tahoma"/>
            <family val="2"/>
          </rPr>
          <t xml:space="preserve"> 30 </t>
        </r>
        <r>
          <rPr>
            <sz val="9"/>
            <color rgb="FF000000"/>
            <rFont val="Tahoma"/>
            <family val="2"/>
          </rPr>
          <t>มิ</t>
        </r>
        <r>
          <rPr>
            <sz val="9"/>
            <color rgb="FF000000"/>
            <rFont val="Tahoma"/>
            <family val="2"/>
          </rPr>
          <t>.</t>
        </r>
        <r>
          <rPr>
            <sz val="9"/>
            <color rgb="FF000000"/>
            <rFont val="Tahoma"/>
            <family val="2"/>
          </rPr>
          <t>ย</t>
        </r>
        <r>
          <rPr>
            <sz val="9"/>
            <color rgb="FF000000"/>
            <rFont val="Tahoma"/>
            <family val="2"/>
          </rPr>
          <t xml:space="preserve">. 64 : min </t>
        </r>
        <r>
          <rPr>
            <sz val="9"/>
            <color rgb="FF000000"/>
            <rFont val="Tahoma"/>
            <family val="2"/>
          </rPr>
          <t>กม</t>
        </r>
        <r>
          <rPr>
            <sz val="9"/>
            <color rgb="FF000000"/>
            <rFont val="Tahoma"/>
            <family val="2"/>
          </rPr>
          <t xml:space="preserve">. 19 KT/ internal LR 36 KT
</t>
        </r>
        <r>
          <rPr>
            <sz val="9"/>
            <color rgb="FF000000"/>
            <rFont val="Tahoma"/>
            <family val="2"/>
          </rPr>
          <t>ตั้งแต่</t>
        </r>
        <r>
          <rPr>
            <sz val="9"/>
            <color rgb="FF000000"/>
            <rFont val="Tahoma"/>
            <family val="2"/>
          </rPr>
          <t xml:space="preserve"> 1 </t>
        </r>
        <r>
          <rPr>
            <sz val="9"/>
            <color rgb="FF000000"/>
            <rFont val="Tahoma"/>
            <family val="2"/>
          </rPr>
          <t>ก</t>
        </r>
        <r>
          <rPr>
            <sz val="9"/>
            <color rgb="FF000000"/>
            <rFont val="Tahoma"/>
            <family val="2"/>
          </rPr>
          <t>.</t>
        </r>
        <r>
          <rPr>
            <sz val="9"/>
            <color rgb="FF000000"/>
            <rFont val="Tahoma"/>
            <family val="2"/>
          </rPr>
          <t>ค</t>
        </r>
        <r>
          <rPr>
            <sz val="9"/>
            <color rgb="FF000000"/>
            <rFont val="Tahoma"/>
            <family val="2"/>
          </rPr>
          <t xml:space="preserve">. 64 : min </t>
        </r>
        <r>
          <rPr>
            <sz val="9"/>
            <color rgb="FF000000"/>
            <rFont val="Tahoma"/>
            <family val="2"/>
          </rPr>
          <t>กม</t>
        </r>
        <r>
          <rPr>
            <sz val="9"/>
            <color rgb="FF000000"/>
            <rFont val="Tahoma"/>
            <family val="2"/>
          </rPr>
          <t xml:space="preserve">. 22.03 KT/ internal LR 39.03 KT
</t>
        </r>
        <r>
          <rPr>
            <sz val="9"/>
            <color rgb="FF000000"/>
            <rFont val="Tahoma"/>
            <family val="2"/>
          </rPr>
          <t xml:space="preserve">
</t>
        </r>
        <r>
          <rPr>
            <sz val="9"/>
            <color rgb="FF000000"/>
            <rFont val="Tahoma"/>
            <family val="2"/>
          </rPr>
          <t>ตั้งแต่</t>
        </r>
        <r>
          <rPr>
            <sz val="9"/>
            <color rgb="FF000000"/>
            <rFont val="Tahoma"/>
            <family val="2"/>
          </rPr>
          <t xml:space="preserve"> 1 </t>
        </r>
        <r>
          <rPr>
            <sz val="9"/>
            <color rgb="FF000000"/>
            <rFont val="Tahoma"/>
            <family val="2"/>
          </rPr>
          <t>มค</t>
        </r>
        <r>
          <rPr>
            <sz val="9"/>
            <color rgb="FF000000"/>
            <rFont val="Tahoma"/>
            <family val="2"/>
          </rPr>
          <t xml:space="preserve"> 65 min 37.6KT / inter 54.6</t>
        </r>
      </text>
    </comment>
    <comment ref="V34" authorId="0" shapeId="0" xr:uid="{A2F78D1D-B1B1-3A46-A54C-2A027CB59616}">
      <text>
        <r>
          <rPr>
            <b/>
            <sz val="9"/>
            <color indexed="81"/>
            <rFont val="Tahoma"/>
            <family val="2"/>
          </rPr>
          <t>Quantumuser:</t>
        </r>
        <r>
          <rPr>
            <sz val="9"/>
            <color indexed="81"/>
            <rFont val="Tahoma"/>
            <family val="2"/>
          </rPr>
          <t xml:space="preserve">
GSP เพิ่งปรับ LR</t>
        </r>
      </text>
    </comment>
    <comment ref="AE42" authorId="0" shapeId="0" xr:uid="{B42CB7AF-D511-D047-B717-0B9E709D7A15}">
      <text>
        <r>
          <rPr>
            <b/>
            <sz val="9"/>
            <color indexed="81"/>
            <rFont val="Tahoma"/>
            <family val="2"/>
          </rPr>
          <t>Quantumuser:</t>
        </r>
        <r>
          <rPr>
            <sz val="9"/>
            <color indexed="81"/>
            <rFont val="Tahoma"/>
            <family val="2"/>
          </rPr>
          <t xml:space="preserve">
C3 revserd pipeline to SCG</t>
        </r>
      </text>
    </comment>
    <comment ref="A43" authorId="2" shapeId="0" xr:uid="{BA1EEB90-9ACA-1C40-806D-5FDC0CB303BE}">
      <text>
        <t xml:space="preserve">[Threaded comment]
Your version of Excel allows you to read this threaded comment; however, any edits to it will get removed if the file is opened in a newer version of Excel. Learn more: https://go.microsoft.com/fwlink/?linkid=870924
Comment:
    ต้นทางมาจากหน่วยงาน กผ.
</t>
      </text>
    </comment>
    <comment ref="A47" authorId="3" shapeId="0" xr:uid="{5240FB1E-DF6D-4447-96C8-F39FB4F39A7D}">
      <text>
        <t>[Threaded comment]
Your version of Excel allows you to read this threaded comment; however, any edits to it will get removed if the file is opened in a newer version of Excel. Learn more: https://go.microsoft.com/fwlink/?linkid=870924
Comment:
    22 KT = ครึ่งลำ
44 KT = 1ลำ
66 KT = 1ลำ ครึ่ง
88 KT = 2 ลำ</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Quantumuser</author>
    <author>tc={DF010D19-FFE4-7A4C-9F6A-156D1B6B5E29}</author>
    <author>tc={31525DE5-402F-D04C-A782-607827001621}</author>
    <author>Windows User</author>
  </authors>
  <commentList>
    <comment ref="AF3" authorId="0" shapeId="0" xr:uid="{9ECE8709-5CD5-5C4D-A51D-9FB80BB442FF}">
      <text>
        <r>
          <rPr>
            <b/>
            <sz val="9"/>
            <color indexed="81"/>
            <rFont val="Tahoma"/>
            <family val="2"/>
          </rPr>
          <t>Quantumuser:</t>
        </r>
        <r>
          <rPr>
            <sz val="9"/>
            <color indexed="81"/>
            <rFont val="Tahoma"/>
            <family val="2"/>
          </rPr>
          <t xml:space="preserve">
GSP 5 ปรับ mode Max petro ลด C3 ปรับแล้วกลับมาไม่ได้แล้ว</t>
        </r>
      </text>
    </comment>
    <comment ref="AH3" authorId="0" shapeId="0" xr:uid="{9C926126-2440-AD4C-BC11-B7875D5F699C}">
      <text>
        <r>
          <rPr>
            <b/>
            <sz val="9"/>
            <color indexed="81"/>
            <rFont val="Tahoma"/>
            <family val="2"/>
          </rPr>
          <t>Quantumuser:</t>
        </r>
        <r>
          <rPr>
            <sz val="9"/>
            <color indexed="81"/>
            <rFont val="Tahoma"/>
            <family val="2"/>
          </rPr>
          <t xml:space="preserve">
เปลี่ยนถ่ายสัปทาน ได้ก๊าซน้อย ต้องลด feed ทั้งปี 2022 เริ่มเยอะ พค
chervon --&gt; pttep</t>
        </r>
      </text>
    </comment>
    <comment ref="AW6" authorId="1" shapeId="0" xr:uid="{DF010D19-FFE4-7A4C-9F6A-156D1B6B5E29}">
      <text>
        <t xml:space="preserve">[Threaded comment]
Your version of Excel allows you to read this threaded comment; however, any edits to it will get removed if the file is opened in a newer version of Excel. Learn more: https://go.microsoft.com/fwlink/?linkid=870924
Comment:
    ได้มาจาก 24377 (oct-21) +ability เดือน nov21 ของ C3 และ LGP -ยอดขายลูกค้า C3 และ LPG </t>
      </text>
    </comment>
    <comment ref="AH7" authorId="0" shapeId="0" xr:uid="{AC33F39B-2108-B246-84C8-BBEB067C758F}">
      <text>
        <r>
          <rPr>
            <b/>
            <sz val="9"/>
            <color indexed="81"/>
            <rFont val="Tahoma"/>
            <family val="2"/>
          </rPr>
          <t>Quantumuser:</t>
        </r>
        <r>
          <rPr>
            <sz val="9"/>
            <color indexed="81"/>
            <rFont val="Tahoma"/>
            <family val="2"/>
          </rPr>
          <t xml:space="preserve">
 25.10 กผ ต้องปิดเดือน 35%</t>
        </r>
      </text>
    </comment>
    <comment ref="AK7" authorId="0" shapeId="0" xr:uid="{3413A6BE-E415-434E-B8FD-2D2BCF2C50B9}">
      <text>
        <r>
          <rPr>
            <b/>
            <sz val="9"/>
            <color indexed="81"/>
            <rFont val="Tahoma"/>
            <family val="2"/>
          </rPr>
          <t>Quantumuser:</t>
        </r>
        <r>
          <rPr>
            <sz val="9"/>
            <color indexed="81"/>
            <rFont val="Tahoma"/>
            <family val="2"/>
          </rPr>
          <t xml:space="preserve">
ต้องปิดขั้นต่ำ 60%</t>
        </r>
      </text>
    </comment>
    <comment ref="A8" authorId="2" shapeId="0" xr:uid="{31525DE5-402F-D04C-A782-607827001621}">
      <text>
        <t xml:space="preserve">[Threaded comment]
Your version of Excel allows you to read this threaded comment; however, any edits to it will get removed if the file is opened in a newer version of Excel. Learn more: https://go.microsoft.com/fwlink/?linkid=870924
Comment:
    ข้อมูลมาจากการรันโมเดล จากdemand มากกว่า supply
</t>
      </text>
    </comment>
    <comment ref="J8" authorId="0" shapeId="0" xr:uid="{4404B996-B772-4A4F-9FC4-44281D9E1C06}">
      <text>
        <r>
          <rPr>
            <b/>
            <sz val="9"/>
            <color indexed="81"/>
            <rFont val="Tahoma"/>
            <family val="2"/>
          </rPr>
          <t>Quantumuser:</t>
        </r>
        <r>
          <rPr>
            <sz val="9"/>
            <color indexed="81"/>
            <rFont val="Tahoma"/>
            <family val="2"/>
          </rPr>
          <t xml:space="preserve">
rev0 = 26 KT
rev1 = 33 KT
</t>
        </r>
      </text>
    </comment>
    <comment ref="K8" authorId="0" shapeId="0" xr:uid="{4B385067-5E15-1E4F-B0C9-6D3A3C7B4C95}">
      <text>
        <r>
          <rPr>
            <b/>
            <sz val="9"/>
            <color indexed="81"/>
            <rFont val="Tahoma"/>
            <family val="2"/>
          </rPr>
          <t>Quantumuser:</t>
        </r>
        <r>
          <rPr>
            <sz val="9"/>
            <color indexed="81"/>
            <rFont val="Tahoma"/>
            <family val="2"/>
          </rPr>
          <t xml:space="preserve">
rev0 = 18 KT
rev1 = 13 KT โยกไปเดือน ธค 62 = 5 KT
rev2 = 11.6 ดึงต่ำกว่าแผน
</t>
        </r>
      </text>
    </comment>
    <comment ref="L8" authorId="0" shapeId="0" xr:uid="{38592BEE-8909-8345-8D44-C24A0410A335}">
      <text>
        <r>
          <rPr>
            <b/>
            <sz val="9"/>
            <color indexed="81"/>
            <rFont val="Tahoma"/>
            <family val="2"/>
          </rPr>
          <t>Quantumuser:</t>
        </r>
        <r>
          <rPr>
            <sz val="9"/>
            <color indexed="81"/>
            <rFont val="Tahoma"/>
            <family val="2"/>
          </rPr>
          <t xml:space="preserve">
rev0 = 5
rev1 = 10 โยกมาจากเดือน พย 62
rev2 = 12 เพื่อ clear block ถัง
rev3 = 14.1 KT โยกมาจากเดือน มค. 63 เนื่องจาก ปก. แจ้ง งแต่วันที่ 25 ธ.ค. 62 Tax LPG ใน Sphere มีปริมาณค่อนข้างน้อย ซึ่งจะส่งผลให้เรือในประเทศที่มารับ LPG ที่ MT delay ดังนั้น เพื่อไม่ให้เกิดผลกระทบต่อลูกค้า LPG ทั้งหมดของ PTT รบกวน PTT พิจารณาเพิ่มการใช้ Impo-Untax/Untax สำหรับในประเทศเป็นปริมาณ 2,100 ตัน (ในกรณีที่ ปก. เพิ่มการรับ LPG จาก GSP เพื่อเพิ่มปริมาณ Tax ให้เพียงพอในการจ่ายลูกค้า จะส่งผลให้เรือ Import delay แทน)</t>
        </r>
      </text>
    </comment>
    <comment ref="M8" authorId="0" shapeId="0" xr:uid="{FFDE01F7-64A3-6D40-A6BE-14D4A9DECBF7}">
      <text>
        <r>
          <rPr>
            <b/>
            <sz val="9"/>
            <color indexed="81"/>
            <rFont val="Tahoma"/>
            <family val="2"/>
          </rPr>
          <t>Quantumuser:</t>
        </r>
        <r>
          <rPr>
            <sz val="9"/>
            <color indexed="81"/>
            <rFont val="Tahoma"/>
            <family val="2"/>
          </rPr>
          <t xml:space="preserve">
rev0 = 15
rev1 = 22 KT เพื่อ balance ถังให้ปิดที่ 36%
rev2 = 19.9 KT โยกไปจ่ายเดือน ธค. 62 ก่อน
rev3 = 0 KT Petro ลดการรับ (HMC, PTTAC, GC) และ GSP ลดกำลังการผลิต เนื่องจาก Petro blackout
</t>
        </r>
      </text>
    </comment>
    <comment ref="R8" authorId="3" shapeId="0" xr:uid="{15098D5B-0A9B-044D-A48D-2FC6BF582666}">
      <text>
        <r>
          <rPr>
            <b/>
            <sz val="9"/>
            <color indexed="81"/>
            <rFont val="Tahoma"/>
            <family val="2"/>
          </rPr>
          <t>Windows User:</t>
        </r>
        <r>
          <rPr>
            <sz val="9"/>
            <color indexed="81"/>
            <rFont val="Tahoma"/>
            <family val="2"/>
          </rPr>
          <t xml:space="preserve">
ดึง import ได้ max 3 KT</t>
        </r>
      </text>
    </comment>
    <comment ref="S8" authorId="3" shapeId="0" xr:uid="{543F750E-065D-3146-8AC6-35EAF5CD417D}">
      <text>
        <r>
          <rPr>
            <b/>
            <sz val="9"/>
            <color indexed="81"/>
            <rFont val="Tahoma"/>
            <family val="2"/>
          </rPr>
          <t>Windows User:</t>
        </r>
        <r>
          <rPr>
            <sz val="9"/>
            <color indexed="81"/>
            <rFont val="Tahoma"/>
            <family val="2"/>
          </rPr>
          <t xml:space="preserve">
import ที่สามารถดึงได้ 13 KT
</t>
        </r>
      </text>
    </comment>
    <comment ref="U8" authorId="3" shapeId="0" xr:uid="{7804C911-30F9-2C44-89C4-282050A4ACF2}">
      <text>
        <r>
          <rPr>
            <b/>
            <sz val="9"/>
            <color indexed="81"/>
            <rFont val="Tahoma"/>
            <family val="2"/>
          </rPr>
          <t>Windows User:</t>
        </r>
        <r>
          <rPr>
            <sz val="9"/>
            <color indexed="81"/>
            <rFont val="Tahoma"/>
            <family val="2"/>
          </rPr>
          <t xml:space="preserve">
GC 6 
PTTOR 4</t>
        </r>
      </text>
    </comment>
    <comment ref="Z8" authorId="3" shapeId="0" xr:uid="{82F0F97B-645C-444B-B5A0-86624CE445E8}">
      <text>
        <r>
          <rPr>
            <b/>
            <sz val="9"/>
            <color indexed="81"/>
            <rFont val="Tahoma"/>
            <family val="2"/>
          </rPr>
          <t xml:space="preserve">Windows User:
ดึงจริง 34 KT เนื่องจาก </t>
        </r>
        <r>
          <rPr>
            <sz val="9"/>
            <color indexed="81"/>
            <rFont val="Tahoma"/>
            <family val="2"/>
          </rPr>
          <t>บป. ดึงต่ำกว่าแผน เนื่องจาก GSP ถังสูง ต้องเปลี่ยนมารับ GSP บางส่วน</t>
        </r>
      </text>
    </comment>
    <comment ref="AB8" authorId="3" shapeId="0" xr:uid="{4B02F26B-3397-3240-B485-88ACE83445AE}">
      <text>
        <r>
          <rPr>
            <b/>
            <sz val="9"/>
            <color indexed="81"/>
            <rFont val="Tahoma"/>
            <family val="2"/>
          </rPr>
          <t>Windows User:</t>
        </r>
        <r>
          <rPr>
            <sz val="9"/>
            <color indexed="81"/>
            <rFont val="Tahoma"/>
            <family val="2"/>
          </rPr>
          <t xml:space="preserve">
import เมย์จะดึง 34.5 KT</t>
        </r>
      </text>
    </comment>
    <comment ref="AC8" authorId="3" shapeId="0" xr:uid="{0C0AE7FC-201C-4B4A-AA35-55727CD81D6F}">
      <text>
        <r>
          <rPr>
            <b/>
            <sz val="9"/>
            <color indexed="81"/>
            <rFont val="Tahoma"/>
            <family val="2"/>
          </rPr>
          <t>Windows User:</t>
        </r>
        <r>
          <rPr>
            <sz val="9"/>
            <color indexed="81"/>
            <rFont val="Tahoma"/>
            <family val="2"/>
          </rPr>
          <t xml:space="preserve">
rev0 = 36
rev1 = 30 เนื่องจาก OR demand drop 2-7.5 KT</t>
        </r>
      </text>
    </comment>
    <comment ref="AD8" authorId="0" shapeId="0" xr:uid="{6BD58DAF-C464-984A-B4E4-CE084EA508D3}">
      <text>
        <r>
          <rPr>
            <b/>
            <sz val="9"/>
            <color indexed="81"/>
            <rFont val="Tahoma"/>
            <family val="2"/>
          </rPr>
          <t xml:space="preserve">Quantumuser:
</t>
        </r>
        <r>
          <rPr>
            <sz val="9"/>
            <color indexed="81"/>
            <rFont val="Tahoma"/>
            <family val="2"/>
          </rPr>
          <t>1/06: เมย์ขอดึง 26KT รอ hmc ก่อน
rev1 = 31.5 demand increase</t>
        </r>
        <r>
          <rPr>
            <b/>
            <sz val="9"/>
            <color indexed="81"/>
            <rFont val="Tahoma"/>
            <family val="2"/>
          </rPr>
          <t xml:space="preserve">
</t>
        </r>
      </text>
    </comment>
    <comment ref="AE8" authorId="0" shapeId="0" xr:uid="{5CBA8A4B-170F-C54E-A273-3B55B697E665}">
      <text>
        <r>
          <rPr>
            <b/>
            <sz val="9"/>
            <color indexed="81"/>
            <rFont val="Tahoma"/>
            <family val="2"/>
          </rPr>
          <t>Quantumuser:</t>
        </r>
        <r>
          <rPr>
            <sz val="9"/>
            <color indexed="81"/>
            <rFont val="Tahoma"/>
            <family val="2"/>
          </rPr>
          <t xml:space="preserve">
rev0 = 97
rev1 = 99 or demand increase 1.4
rev2 = 97  OR demand drop covid lock down
rev3 = 94 Or demand drop
rev4 = 98 or demand increase + รายวัน ต่ำ
rev5 = 97 demand increase (รอ cf)</t>
        </r>
      </text>
    </comment>
    <comment ref="AF8" authorId="0" shapeId="0" xr:uid="{AB155C68-905A-E641-A2CF-E1885412741C}">
      <text>
        <r>
          <rPr>
            <b/>
            <sz val="9"/>
            <color rgb="FF000000"/>
            <rFont val="Tahoma"/>
            <family val="2"/>
          </rPr>
          <t>Quantumuser:</t>
        </r>
        <r>
          <rPr>
            <sz val="9"/>
            <color rgb="FF000000"/>
            <rFont val="Tahoma"/>
            <family val="2"/>
          </rPr>
          <t xml:space="preserve">
</t>
        </r>
        <r>
          <rPr>
            <sz val="9"/>
            <color rgb="FF000000"/>
            <rFont val="Tahoma"/>
            <family val="2"/>
          </rPr>
          <t xml:space="preserve">Rev0 =31
</t>
        </r>
        <r>
          <rPr>
            <sz val="9"/>
            <color rgb="FF000000"/>
            <rFont val="Tahoma"/>
            <family val="2"/>
          </rPr>
          <t xml:space="preserve">rev1 =26 Dom demand drop </t>
        </r>
        <r>
          <rPr>
            <sz val="9"/>
            <color rgb="FF000000"/>
            <rFont val="Tahoma"/>
            <family val="2"/>
          </rPr>
          <t>แต่ต้องดึง</t>
        </r>
        <r>
          <rPr>
            <sz val="9"/>
            <color rgb="FF000000"/>
            <rFont val="Tahoma"/>
            <family val="2"/>
          </rPr>
          <t xml:space="preserve"> 26 </t>
        </r>
        <r>
          <rPr>
            <sz val="9"/>
            <color rgb="FF000000"/>
            <rFont val="Tahoma"/>
            <family val="2"/>
          </rPr>
          <t>เพื่อไม่เกิด</t>
        </r>
        <r>
          <rPr>
            <sz val="9"/>
            <color rgb="FF000000"/>
            <rFont val="Tahoma"/>
            <family val="2"/>
          </rPr>
          <t xml:space="preserve"> dem
</t>
        </r>
        <r>
          <rPr>
            <sz val="9"/>
            <color rgb="FF000000"/>
            <rFont val="Tahoma"/>
            <family val="2"/>
          </rPr>
          <t xml:space="preserve">rev2 = 23 inventory </t>
        </r>
        <r>
          <rPr>
            <sz val="9"/>
            <color rgb="FF000000"/>
            <rFont val="Tahoma"/>
            <family val="2"/>
          </rPr>
          <t>เพิ่ม</t>
        </r>
        <r>
          <rPr>
            <sz val="9"/>
            <color rgb="FF000000"/>
            <rFont val="Tahoma"/>
            <family val="2"/>
          </rPr>
          <t xml:space="preserve"> + demand export increase 1.5 --&gt; 6.1
</t>
        </r>
        <r>
          <rPr>
            <sz val="9"/>
            <color rgb="FF000000"/>
            <rFont val="Tahoma"/>
            <family val="2"/>
          </rPr>
          <t xml:space="preserve">rev2 </t>
        </r>
      </text>
    </comment>
    <comment ref="AG8" authorId="0" shapeId="0" xr:uid="{18BF0AB5-03EA-9B45-9628-5F767B1ADCA0}">
      <text>
        <r>
          <rPr>
            <b/>
            <sz val="9"/>
            <color rgb="FF000000"/>
            <rFont val="Tahoma"/>
            <family val="2"/>
          </rPr>
          <t>Quantumuser:</t>
        </r>
        <r>
          <rPr>
            <sz val="9"/>
            <color rgb="FF000000"/>
            <rFont val="Tahoma"/>
            <family val="2"/>
          </rPr>
          <t xml:space="preserve">
</t>
        </r>
        <r>
          <rPr>
            <sz val="9"/>
            <color rgb="FF000000"/>
            <rFont val="Tahoma"/>
            <family val="2"/>
          </rPr>
          <t>เมย์ได้อีก</t>
        </r>
        <r>
          <rPr>
            <sz val="9"/>
            <color rgb="FF000000"/>
            <rFont val="Tahoma"/>
            <family val="2"/>
          </rPr>
          <t xml:space="preserve"> 4.5</t>
        </r>
      </text>
    </comment>
    <comment ref="AH8" authorId="0" shapeId="0" xr:uid="{51D01403-8CC7-B541-B9A6-8207AEB78B2D}">
      <text>
        <r>
          <rPr>
            <b/>
            <sz val="9"/>
            <color rgb="FF000000"/>
            <rFont val="Tahoma"/>
            <family val="2"/>
          </rPr>
          <t>Quantumuser:</t>
        </r>
        <r>
          <rPr>
            <sz val="9"/>
            <color rgb="FF000000"/>
            <rFont val="Tahoma"/>
            <family val="2"/>
          </rPr>
          <t xml:space="preserve">
</t>
        </r>
        <r>
          <rPr>
            <sz val="9"/>
            <color rgb="FF000000"/>
            <rFont val="Tahoma"/>
            <family val="2"/>
          </rPr>
          <t>มีของแค่</t>
        </r>
        <r>
          <rPr>
            <sz val="9"/>
            <color rgb="FF000000"/>
            <rFont val="Tahoma"/>
            <family val="2"/>
          </rPr>
          <t xml:space="preserve"> 38KT
</t>
        </r>
        <r>
          <rPr>
            <sz val="9"/>
            <color rgb="FF000000"/>
            <rFont val="Tahoma"/>
            <family val="2"/>
          </rPr>
          <t xml:space="preserve">Rev1 = 39KT MT </t>
        </r>
        <r>
          <rPr>
            <sz val="9"/>
            <color rgb="FF000000"/>
            <rFont val="Tahoma"/>
            <family val="2"/>
          </rPr>
          <t>ขอดึงเพิ่ม</t>
        </r>
        <r>
          <rPr>
            <sz val="9"/>
            <color rgb="FF000000"/>
            <rFont val="Tahoma"/>
            <family val="2"/>
          </rPr>
          <t xml:space="preserve">
</t>
        </r>
        <r>
          <rPr>
            <sz val="9"/>
            <color rgb="FF000000"/>
            <rFont val="Tahoma"/>
            <family val="2"/>
          </rPr>
          <t xml:space="preserve">Rev2 = 39.6 </t>
        </r>
        <r>
          <rPr>
            <sz val="9"/>
            <color rgb="FF000000"/>
            <rFont val="Tahoma"/>
            <family val="2"/>
          </rPr>
          <t>ขอดึงเพิ่ม</t>
        </r>
        <r>
          <rPr>
            <sz val="9"/>
            <color rgb="FF000000"/>
            <rFont val="Tahoma"/>
            <family val="2"/>
          </rPr>
          <t xml:space="preserve"> Run pig
</t>
        </r>
        <r>
          <rPr>
            <sz val="9"/>
            <color rgb="FF000000"/>
            <rFont val="Tahoma"/>
            <family val="2"/>
          </rPr>
          <t xml:space="preserve">Rev3 = 42 GSP runpig </t>
        </r>
        <r>
          <rPr>
            <sz val="9"/>
            <color rgb="FF000000"/>
            <rFont val="Tahoma"/>
            <family val="2"/>
          </rPr>
          <t>ท่อไป</t>
        </r>
        <r>
          <rPr>
            <sz val="9"/>
            <color rgb="FF000000"/>
            <rFont val="Tahoma"/>
            <family val="2"/>
          </rPr>
          <t xml:space="preserve"> MT </t>
        </r>
        <r>
          <rPr>
            <sz val="9"/>
            <color rgb="FF000000"/>
            <rFont val="Tahoma"/>
            <family val="2"/>
          </rPr>
          <t>ทำให้</t>
        </r>
        <r>
          <rPr>
            <sz val="9"/>
            <color rgb="FF000000"/>
            <rFont val="Tahoma"/>
            <family val="2"/>
          </rPr>
          <t xml:space="preserve"> </t>
        </r>
        <r>
          <rPr>
            <sz val="9"/>
            <color rgb="FF000000"/>
            <rFont val="Tahoma"/>
            <family val="2"/>
          </rPr>
          <t>มีของ</t>
        </r>
        <r>
          <rPr>
            <sz val="9"/>
            <color rgb="FF000000"/>
            <rFont val="Tahoma"/>
            <family val="2"/>
          </rPr>
          <t xml:space="preserve"> Tax </t>
        </r>
        <r>
          <rPr>
            <sz val="9"/>
            <color rgb="FF000000"/>
            <rFont val="Tahoma"/>
            <family val="2"/>
          </rPr>
          <t>ส่งไปจ่ายลูกค้าไม่พอต้องเอา</t>
        </r>
        <r>
          <rPr>
            <sz val="9"/>
            <color rgb="FF000000"/>
            <rFont val="Tahoma"/>
            <family val="2"/>
          </rPr>
          <t xml:space="preserve"> untax </t>
        </r>
        <r>
          <rPr>
            <sz val="9"/>
            <color rgb="FF000000"/>
            <rFont val="Tahoma"/>
            <family val="2"/>
          </rPr>
          <t>จ่าย</t>
        </r>
        <r>
          <rPr>
            <sz val="9"/>
            <color rgb="FF000000"/>
            <rFont val="Tahoma"/>
            <family val="2"/>
          </rPr>
          <t xml:space="preserve">
</t>
        </r>
      </text>
    </comment>
    <comment ref="U9" authorId="3" shapeId="0" xr:uid="{533E9476-A6EB-4D4F-8B58-622E336F3BEA}">
      <text>
        <r>
          <rPr>
            <b/>
            <sz val="9"/>
            <color indexed="81"/>
            <rFont val="Tahoma"/>
            <family val="2"/>
          </rPr>
          <t>Windows User:</t>
        </r>
        <r>
          <rPr>
            <sz val="9"/>
            <color indexed="81"/>
            <rFont val="Tahoma"/>
            <family val="2"/>
          </rPr>
          <t xml:space="preserve">
บป. ลดรับ LPG จาก GSP เนื่องจาก Oriental king เพิ่ง load เสร็จ sphere แน่น
</t>
        </r>
      </text>
    </comment>
    <comment ref="AB9" authorId="3" shapeId="0" xr:uid="{7C24796F-7049-634E-89A6-AE0E7BF50F35}">
      <text>
        <r>
          <rPr>
            <b/>
            <sz val="9"/>
            <color indexed="81"/>
            <rFont val="Tahoma"/>
            <family val="2"/>
          </rPr>
          <t>Windows User:</t>
        </r>
        <r>
          <rPr>
            <sz val="9"/>
            <color indexed="81"/>
            <rFont val="Tahoma"/>
            <family val="2"/>
          </rPr>
          <t xml:space="preserve">
GSP ลดกำลังการผลิต -4 KT
SGP - 3.2 KT
PTT TANK -2 KT
</t>
        </r>
      </text>
    </comment>
    <comment ref="AF9" authorId="0" shapeId="0" xr:uid="{5BF20B39-2616-144E-8474-7F786854EAED}">
      <text>
        <r>
          <rPr>
            <b/>
            <sz val="9"/>
            <color indexed="81"/>
            <rFont val="Tahoma"/>
            <family val="2"/>
          </rPr>
          <t>Quantumuser:</t>
        </r>
        <r>
          <rPr>
            <sz val="9"/>
            <color indexed="81"/>
            <rFont val="Tahoma"/>
            <family val="2"/>
          </rPr>
          <t xml:space="preserve">
4 Aug: BRP Tank SD ต้องลดรับ GSP = Stock มาปูดที่ GSP 
รอคืน vol. เดือน มค</t>
        </r>
      </text>
    </comment>
    <comment ref="AC17" authorId="0" shapeId="0" xr:uid="{DF4707CA-B434-0E49-B213-6323B4FB65C5}">
      <text>
        <r>
          <rPr>
            <b/>
            <sz val="9"/>
            <color indexed="81"/>
            <rFont val="Tahoma"/>
            <family val="2"/>
          </rPr>
          <t>Quantumuser:</t>
        </r>
        <r>
          <rPr>
            <sz val="9"/>
            <color indexed="81"/>
            <rFont val="Tahoma"/>
            <family val="2"/>
          </rPr>
          <t xml:space="preserve">
C3 ปิดสูงขึ้น จากเดิม 6.4 --&gt; 6.7 แปลว่าปิดสูงขึ้น = cross น้อยลง ต้องเอามาลบ cross to LPG
โทรถามบ๋อม</t>
        </r>
      </text>
    </comment>
    <comment ref="AE17" authorId="0" shapeId="0" xr:uid="{A4A24777-F8FB-4743-BE1E-7F8AC72587F3}">
      <text>
        <r>
          <rPr>
            <b/>
            <sz val="9"/>
            <color indexed="81"/>
            <rFont val="Tahoma"/>
            <family val="2"/>
          </rPr>
          <t>Quantumuser:</t>
        </r>
        <r>
          <rPr>
            <sz val="9"/>
            <color indexed="81"/>
            <rFont val="Tahoma"/>
            <family val="2"/>
          </rPr>
          <t xml:space="preserve">
rev0 =3KT
rev1 = 3.9KT KT cross ไปช่วยรายวัน LPG petro ต่ำ</t>
        </r>
      </text>
    </comment>
    <comment ref="AH18" authorId="0" shapeId="0" xr:uid="{228146B7-B86E-904A-ADF9-916911527D9C}">
      <text>
        <r>
          <rPr>
            <b/>
            <sz val="9"/>
            <color rgb="FF000000"/>
            <rFont val="Tahoma"/>
            <family val="2"/>
          </rPr>
          <t>Quantumuser:</t>
        </r>
        <r>
          <rPr>
            <sz val="9"/>
            <color rgb="FF000000"/>
            <rFont val="Tahoma"/>
            <family val="2"/>
          </rPr>
          <t xml:space="preserve">
</t>
        </r>
        <r>
          <rPr>
            <sz val="9"/>
            <color rgb="FF000000"/>
            <rFont val="Tahoma"/>
            <family val="2"/>
          </rPr>
          <t xml:space="preserve">27.10 </t>
        </r>
        <r>
          <rPr>
            <sz val="9"/>
            <color rgb="FF000000"/>
            <rFont val="Tahoma"/>
            <family val="2"/>
          </rPr>
          <t>หารือรายวันปิด</t>
        </r>
        <r>
          <rPr>
            <sz val="9"/>
            <color rgb="FF000000"/>
            <rFont val="Tahoma"/>
            <family val="2"/>
          </rPr>
          <t xml:space="preserve"> 43%</t>
        </r>
      </text>
    </comment>
    <comment ref="AI18" authorId="0" shapeId="0" xr:uid="{EA486C1F-9532-324E-9158-35D1F5C7BF88}">
      <text>
        <r>
          <rPr>
            <b/>
            <sz val="9"/>
            <color indexed="81"/>
            <rFont val="Tahoma"/>
            <family val="2"/>
          </rPr>
          <t>Quantumuser:</t>
        </r>
        <r>
          <rPr>
            <sz val="9"/>
            <color indexed="81"/>
            <rFont val="Tahoma"/>
            <family val="2"/>
          </rPr>
          <t xml:space="preserve">
ต้อง cross 6.3 เนื่องจาก invent ต่ำก่อนเรือเข้า</t>
        </r>
      </text>
    </comment>
    <comment ref="AC31" authorId="0" shapeId="0" xr:uid="{D347FB75-AB70-7D4C-BD49-CAA8C7FE2C07}">
      <text>
        <r>
          <rPr>
            <b/>
            <sz val="9"/>
            <color indexed="81"/>
            <rFont val="Tahoma"/>
            <family val="2"/>
          </rPr>
          <t>Quantumuser:</t>
        </r>
        <r>
          <rPr>
            <sz val="9"/>
            <color indexed="81"/>
            <rFont val="Tahoma"/>
            <family val="2"/>
          </rPr>
          <t xml:space="preserve">
+/- หลักการเดี่ยวกับข้างบน
ถามบ๋อม</t>
        </r>
      </text>
    </comment>
    <comment ref="AC36" authorId="0" shapeId="0" xr:uid="{AC39500B-E1E1-E54A-8DBB-81EA43F9FFA4}">
      <text>
        <r>
          <rPr>
            <b/>
            <sz val="9"/>
            <color indexed="81"/>
            <rFont val="Tahoma"/>
            <family val="2"/>
          </rPr>
          <t>Quantumuser:</t>
        </r>
        <r>
          <rPr>
            <sz val="9"/>
            <color indexed="81"/>
            <rFont val="Tahoma"/>
            <family val="2"/>
          </rPr>
          <t xml:space="preserve">
สีแดง = tank cap</t>
        </r>
      </text>
    </comment>
    <comment ref="M46" authorId="0" shapeId="0" xr:uid="{AD26E514-D00F-8D4D-BE19-D58FA3A1B818}">
      <text>
        <r>
          <rPr>
            <b/>
            <sz val="9"/>
            <color indexed="81"/>
            <rFont val="Tahoma"/>
            <family val="2"/>
          </rPr>
          <t>Quantumuser:</t>
        </r>
        <r>
          <rPr>
            <sz val="9"/>
            <color indexed="81"/>
            <rFont val="Tahoma"/>
            <family val="2"/>
          </rPr>
          <t xml:space="preserve">
Quantumuser: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t>
        </r>
      </text>
    </comment>
    <comment ref="N46" authorId="0" shapeId="0" xr:uid="{8054B09F-B66F-5741-9DC3-4BF66CABB29D}">
      <text>
        <r>
          <rPr>
            <b/>
            <sz val="9"/>
            <color indexed="81"/>
            <rFont val="Tahoma"/>
            <family val="2"/>
          </rPr>
          <t>Quantumuser:</t>
        </r>
        <r>
          <rPr>
            <sz val="9"/>
            <color indexed="81"/>
            <rFont val="Tahoma"/>
            <family val="2"/>
          </rPr>
          <t xml:space="preserve">
Quantumuser: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t>
        </r>
      </text>
    </comment>
    <comment ref="A55" authorId="3" shapeId="0" xr:uid="{AFD95493-E288-F14B-8BFC-D669AB05B239}">
      <text>
        <r>
          <rPr>
            <b/>
            <sz val="9"/>
            <color rgb="FF000000"/>
            <rFont val="Tahoma"/>
            <family val="2"/>
          </rPr>
          <t xml:space="preserve">Windows User:
</t>
        </r>
        <r>
          <rPr>
            <b/>
            <sz val="9"/>
            <color rgb="FF000000"/>
            <rFont val="Tahoma"/>
            <family val="2"/>
          </rPr>
          <t xml:space="preserve">ability row 50
</t>
        </r>
      </text>
    </comment>
    <comment ref="AE55" authorId="0" shapeId="0" xr:uid="{A5AC07A2-4EE1-B04C-BE32-20D244C130F4}">
      <text>
        <r>
          <rPr>
            <b/>
            <sz val="9"/>
            <color indexed="81"/>
            <rFont val="Tahoma"/>
            <family val="2"/>
          </rPr>
          <t>Quantumuser:</t>
        </r>
        <r>
          <rPr>
            <sz val="9"/>
            <color indexed="81"/>
            <rFont val="Tahoma"/>
            <family val="2"/>
          </rPr>
          <t xml:space="preserve">
rev0 =50.1794210852837
rev1 =48.061</t>
        </r>
      </text>
    </comment>
    <comment ref="A57" authorId="3" shapeId="0" xr:uid="{A7CDFD0D-FBAA-0649-9C76-E23AF95C77CB}">
      <text>
        <r>
          <rPr>
            <b/>
            <sz val="9"/>
            <color indexed="81"/>
            <rFont val="Tahoma"/>
            <family val="2"/>
          </rPr>
          <t>Windows User:</t>
        </r>
        <r>
          <rPr>
            <sz val="9"/>
            <color indexed="81"/>
            <rFont val="Tahoma"/>
            <family val="2"/>
          </rPr>
          <t xml:space="preserve">
ability row 58</t>
        </r>
      </text>
    </comment>
    <comment ref="A58" authorId="3" shapeId="0" xr:uid="{63D02961-A523-8841-9713-162B45C40B11}">
      <text>
        <r>
          <rPr>
            <b/>
            <sz val="9"/>
            <color indexed="81"/>
            <rFont val="Tahoma"/>
            <family val="2"/>
          </rPr>
          <t>Windows User:</t>
        </r>
        <r>
          <rPr>
            <sz val="9"/>
            <color indexed="81"/>
            <rFont val="Tahoma"/>
            <family val="2"/>
          </rPr>
          <t xml:space="preserve">
ability row 59
</t>
        </r>
      </text>
    </comment>
    <comment ref="A59" authorId="3" shapeId="0" xr:uid="{6935B3FA-644C-DB41-900B-00B5FF991AAF}">
      <text>
        <r>
          <rPr>
            <b/>
            <sz val="9"/>
            <color indexed="81"/>
            <rFont val="Tahoma"/>
            <family val="2"/>
          </rPr>
          <t>Windows User:</t>
        </r>
        <r>
          <rPr>
            <sz val="9"/>
            <color indexed="81"/>
            <rFont val="Tahoma"/>
            <family val="2"/>
          </rPr>
          <t xml:space="preserve">
ability row 66</t>
        </r>
      </text>
    </comment>
    <comment ref="G59" authorId="0" shapeId="0" xr:uid="{85FA7128-6E0C-0841-B301-2ADC8272D1BF}">
      <text>
        <r>
          <rPr>
            <b/>
            <sz val="9"/>
            <color indexed="81"/>
            <rFont val="Tahoma"/>
            <family val="2"/>
          </rPr>
          <t>Quantumuser:</t>
        </r>
        <r>
          <rPr>
            <sz val="9"/>
            <color indexed="81"/>
            <rFont val="Tahoma"/>
            <family val="2"/>
          </rPr>
          <t xml:space="preserve">
• วันที่ 13-17 ก.ค. 62 โรงแยกก๊าซฯหน่วยที่ 3 หยุดการเดินเครื่อง เนื่องจากอุปกรณ์ Sale Gas compressor Trip จากอุปกรณ์เตาระบายไอเสีย WHRS ชำรุด </t>
        </r>
      </text>
    </comment>
    <comment ref="H59" authorId="0" shapeId="0" xr:uid="{A1E94524-568E-4D45-A1F8-B6B6D2FA4A64}">
      <text>
        <r>
          <rPr>
            <b/>
            <sz val="9"/>
            <color indexed="81"/>
            <rFont val="Tahoma"/>
            <family val="2"/>
          </rPr>
          <t>Quantumuser:</t>
        </r>
        <r>
          <rPr>
            <sz val="9"/>
            <color indexed="81"/>
            <rFont val="Tahoma"/>
            <family val="2"/>
          </rPr>
          <t xml:space="preserve">
GSP6 มีปัญหา expander
2-5 ส.ค. 62 TD 10%
6-12 ส.ค. 62 ธฏ 25%</t>
        </r>
      </text>
    </comment>
    <comment ref="I59" authorId="3" shapeId="0" xr:uid="{4440F87B-1A93-9045-9233-6B06B3897298}">
      <text>
        <r>
          <rPr>
            <b/>
            <sz val="9"/>
            <color indexed="81"/>
            <rFont val="Tahoma"/>
            <family val="2"/>
          </rPr>
          <t>Windows User:</t>
        </r>
        <r>
          <rPr>
            <sz val="9"/>
            <color indexed="81"/>
            <rFont val="Tahoma"/>
            <family val="2"/>
          </rPr>
          <t xml:space="preserve">
During 13-17 Sep GSP6 reducr feed gas 10% to fix reboiler leakage problem</t>
        </r>
      </text>
    </comment>
    <comment ref="J59" authorId="3" shapeId="0" xr:uid="{65AE99B1-A369-3140-A3C3-D5F09FEA5AD7}">
      <text>
        <r>
          <rPr>
            <b/>
            <sz val="9"/>
            <color indexed="81"/>
            <rFont val="Tahoma"/>
            <family val="2"/>
          </rPr>
          <t>Windows User:</t>
        </r>
        <r>
          <rPr>
            <sz val="9"/>
            <color indexed="81"/>
            <rFont val="Tahoma"/>
            <family val="2"/>
          </rPr>
          <t xml:space="preserve">
• วันที่ 1 – 3 ต.ค. โรงแยกก๊าซฯหน่วยที่ 5 ลดกำลังการผลิต 27.5% เพื่อแก้ไขปัญหา Sieve Bed A ที่หน่วยกำจัดน้ำ (Dehydration unit)
• วันที่ 4 – 10 ต.ค. โรงแยกก๊าซฯหน่วยที่ 5 ลดกำลังการผลิต 50% เพื่อดำเนินการแก้ไขปัญหา Sieve ที่หน่วยกำจัดน้ำต่อเนื่อง และ ดำเนินการทำความสะอาดอุปกรณ์ Selective Catalytic Reduction (SCR)
• วันที่ 17 – 30 ต.ค. โรงแยกก๊าซฯหน่วยที่ 6 ลดกำลังการผลิต 5% เพื่อดำเนินการเปลี่ยน sieve อุปกรณ์หน่วยกำจัดน้ำ (Dehydration unit) กระทบปริมาณ LPG 2.1 KT  , Ethane ไม่กระทบ , NGL ปริมาณลดลง 420 M3
</t>
        </r>
      </text>
    </comment>
    <comment ref="K59" authorId="0" shapeId="0" xr:uid="{611A843E-D4E6-E242-A04F-0BF7CA64008B}">
      <text>
        <r>
          <rPr>
            <b/>
            <sz val="9"/>
            <color indexed="81"/>
            <rFont val="Tahoma"/>
            <family val="2"/>
          </rPr>
          <t>Quantumuser:</t>
        </r>
        <r>
          <rPr>
            <sz val="9"/>
            <color indexed="81"/>
            <rFont val="Tahoma"/>
            <family val="2"/>
          </rPr>
          <t xml:space="preserve">
• โรงแยกก๊าซฯหน่วยที่ 1 ลดกำลังการผลิต 8% เพื่อควบคุมปริมาณ Flow และ ปริมาณ CO2 ที่เข้าหน่วยกำจัดคาร์บอนไดออกไซด์ (Benfield unit)
 --&gt; ไม่มีผลต่อ C2 295 Ton/hr
--&gt; C3/LPG ลดลง 2.5 KT</t>
        </r>
      </text>
    </comment>
    <comment ref="L59" authorId="0" shapeId="0" xr:uid="{A9BED17E-C217-574C-9E3E-AF91AF76A41B}">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GSP1 เลื่อนเร็วขึ้น 1 วัน ลดลง 1.5 KT
compo ลดลงวันละ 300 - 500 Ton</t>
        </r>
      </text>
    </comment>
    <comment ref="M59" authorId="0" shapeId="0" xr:uid="{1E95D154-DECD-084C-AA25-72940A99DF59}">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
ability 288 (low)
เนื่องด้วย CO2 ในท่อ 34" มีแนวโน้มสูงมากว่า 18 mol% ส่งผลให้ GSP1, ESP,GSP5 ไม่สามารถเดินได้ 100%
now 275 </t>
        </r>
      </text>
    </comment>
    <comment ref="N59" authorId="0" shapeId="0" xr:uid="{759960B7-F6F5-4B48-A686-4261FAC14D0F}">
      <text>
        <r>
          <rPr>
            <b/>
            <sz val="9"/>
            <color indexed="81"/>
            <rFont val="Tahoma"/>
            <family val="2"/>
          </rPr>
          <t>Quantumuser:</t>
        </r>
        <r>
          <rPr>
            <sz val="9"/>
            <color indexed="81"/>
            <rFont val="Tahoma"/>
            <family val="2"/>
          </rPr>
          <t xml:space="preserve">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
GSP6 re-boiler leak -2.5KT
</t>
        </r>
      </text>
    </comment>
    <comment ref="Q59" authorId="3" shapeId="0" xr:uid="{C8CB296A-198B-9042-91DD-6B5D4A44DC1B}">
      <text>
        <r>
          <rPr>
            <b/>
            <sz val="9"/>
            <color indexed="81"/>
            <rFont val="Tahoma"/>
            <family val="2"/>
          </rPr>
          <t>Windows User:</t>
        </r>
        <r>
          <rPr>
            <sz val="9"/>
            <color indexed="81"/>
            <rFont val="Tahoma"/>
            <family val="2"/>
          </rPr>
          <t xml:space="preserve">
rev0 = 233.5 (ability 6 rev0)
rev1 = 223.5 (PTTAC ESD GSP จึงลด feed เพื่อ balance inv)
• GSP1 TD 50% : 1-15 May (15 days)
• GSP1 SD : 16-31 May (16 days)
• GSP5 TD 50% : 1-5 May (5 days)
• GSP5 SD : 6-15 May (10 days)
• GSP5 TD 50% : 16-24 -&gt; 16-31  May (9 -&gt; 16 days)
• New: ESP Complex (ESP,GSP2, GSP3) TD 9% 13-31 May  ใช้โอกาสในการแก้ไขงาน turbine 6 วัน ช่วงที่ ต้องการผลิต C3/LPG ลดลง
</t>
        </r>
      </text>
    </comment>
    <comment ref="R59" authorId="0" shapeId="0" xr:uid="{E03C87AC-91BA-D54C-814E-B6CDC5ECA72D}">
      <text>
        <r>
          <rPr>
            <b/>
            <sz val="9"/>
            <color indexed="81"/>
            <rFont val="Tahoma"/>
            <family val="2"/>
          </rPr>
          <t>Quantumuser:</t>
        </r>
        <r>
          <rPr>
            <sz val="9"/>
            <color indexed="81"/>
            <rFont val="Tahoma"/>
            <family val="2"/>
          </rPr>
          <t xml:space="preserve">
โรงแยกก๊าซฯหน่วยที่ 1 หยุดซ่อมบำรุงใหญ่ตามวาระ (25 วัน)</t>
        </r>
      </text>
    </comment>
    <comment ref="T59" authorId="0" shapeId="0" xr:uid="{E5AA2567-DF6B-484F-A146-A7BA5AAE105F}">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U59" authorId="0" shapeId="0" xr:uid="{78200D56-C276-C64A-8B51-2EBBCFD05E85}">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V59" authorId="0" shapeId="0" xr:uid="{ABAAC216-3365-8C4C-9831-FA967F03B9D3}">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W59" authorId="0" shapeId="0" xr:uid="{E76FD365-3B37-6A47-B1C7-8FF5B28EFA95}">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AE59" authorId="0" shapeId="0" xr:uid="{FE110EF1-5D12-2C40-8909-6DCF5B0E5FE4}">
      <text>
        <r>
          <rPr>
            <b/>
            <sz val="9"/>
            <color indexed="81"/>
            <rFont val="Tahoma"/>
            <family val="2"/>
          </rPr>
          <t>Quantumuser:</t>
        </r>
        <r>
          <rPr>
            <sz val="9"/>
            <color indexed="81"/>
            <rFont val="Tahoma"/>
            <family val="2"/>
          </rPr>
          <t xml:space="preserve">
Rev0 =214.002628530209
rev1 =212</t>
        </r>
      </text>
    </comment>
    <comment ref="AF59" authorId="0" shapeId="0" xr:uid="{4A2C787C-B111-5045-ABB8-6D99468B3525}">
      <text>
        <r>
          <rPr>
            <b/>
            <sz val="9"/>
            <color indexed="81"/>
            <rFont val="Tahoma"/>
            <family val="2"/>
          </rPr>
          <t>Quantumuser:</t>
        </r>
        <r>
          <rPr>
            <sz val="9"/>
            <color indexed="81"/>
            <rFont val="Tahoma"/>
            <family val="2"/>
          </rPr>
          <t xml:space="preserve">
283.116459825357
rev 1= 279</t>
        </r>
      </text>
    </comment>
    <comment ref="AY59" authorId="0" shapeId="0" xr:uid="{84EC8E17-885A-7B4E-8245-34ED16EA3043}">
      <text>
        <r>
          <rPr>
            <b/>
            <sz val="9"/>
            <color indexed="81"/>
            <rFont val="Tahoma"/>
            <family val="2"/>
          </rPr>
          <t>Quantumuser:</t>
        </r>
        <r>
          <rPr>
            <sz val="9"/>
            <color indexed="81"/>
            <rFont val="Tahoma"/>
            <family val="2"/>
          </rPr>
          <t xml:space="preserve">
รวม ขนอม</t>
        </r>
      </text>
    </comment>
    <comment ref="R60" authorId="3" shapeId="0" xr:uid="{83101C04-DDF7-B541-9067-205851F81C08}">
      <text>
        <r>
          <rPr>
            <b/>
            <sz val="9"/>
            <color indexed="81"/>
            <rFont val="Tahoma"/>
            <family val="2"/>
          </rPr>
          <t>Windows User:</t>
        </r>
        <r>
          <rPr>
            <sz val="9"/>
            <color indexed="81"/>
            <rFont val="Tahoma"/>
            <family val="2"/>
          </rPr>
          <t xml:space="preserve">
rev0= 0.6 KT
rev1 = 0 KT IRPC ESD
</t>
        </r>
      </text>
    </comment>
    <comment ref="V60" authorId="3" shapeId="0" xr:uid="{25173265-8219-4344-B178-F668869A8C93}">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W60" authorId="3" shapeId="0" xr:uid="{1FB50773-FBD0-A84B-BBE8-61F851C997A7}">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F61" authorId="0" shapeId="0" xr:uid="{4899BF56-D869-2043-B632-C9B5651E98B2}">
      <text>
        <r>
          <rPr>
            <b/>
            <sz val="9"/>
            <color indexed="81"/>
            <rFont val="Tahoma"/>
            <family val="2"/>
          </rPr>
          <t xml:space="preserve">Quantumuser:
rev0 = 19 KT
rev1 = 18.5 KT เนื่องจาก Aro1 plant SD and start up on 15 Jun’19 ...
จาก delay start up แล้วพอ start มาแล้วก็ ลงไปอีก เลยทำให้ตอนแรกที่ยอกว่าจะส่ง้หลือ 18 kt ตอนนี้กลับมาเหลือ 16 kt
</t>
        </r>
      </text>
    </comment>
    <comment ref="K61" authorId="0" shapeId="0" xr:uid="{0A430F76-2D41-0642-8687-0074A906F27B}">
      <text>
        <r>
          <rPr>
            <b/>
            <sz val="9"/>
            <color indexed="81"/>
            <rFont val="Tahoma"/>
            <family val="2"/>
          </rPr>
          <t>Quantumuser:</t>
        </r>
        <r>
          <rPr>
            <sz val="9"/>
            <color indexed="81"/>
            <rFont val="Tahoma"/>
            <family val="2"/>
          </rPr>
          <t xml:space="preserve">
rev0 = 21
rev1= 23
</t>
        </r>
      </text>
    </comment>
    <comment ref="N61" authorId="0" shapeId="0" xr:uid="{8BADA973-AC41-844A-9C4A-C81F0064CBA5}">
      <text>
        <r>
          <rPr>
            <b/>
            <sz val="9"/>
            <color indexed="81"/>
            <rFont val="Tahoma"/>
            <family val="2"/>
          </rPr>
          <t xml:space="preserve">Quantumuser:
</t>
        </r>
        <r>
          <rPr>
            <sz val="9"/>
            <color indexed="81"/>
            <rFont val="Tahoma"/>
            <family val="2"/>
          </rPr>
          <t>rev0</t>
        </r>
        <r>
          <rPr>
            <b/>
            <sz val="9"/>
            <color indexed="81"/>
            <rFont val="Tahoma"/>
            <family val="2"/>
          </rPr>
          <t xml:space="preserve"> = </t>
        </r>
        <r>
          <rPr>
            <sz val="9"/>
            <color indexed="81"/>
            <rFont val="Tahoma"/>
            <family val="2"/>
          </rPr>
          <t>19 KT
rev1 = 15 KT เนื่องจาก จาก GC โรง ARO I, FHU มีปัญหา แนวโน้วผลิตได้ลดลง
rev2 = 16 KT เพิ่ม 1 KT โยกมาจากเดือน มี.ค. 1 KT
rev3 = 18 KT เพิ่ม 2 KT โยกมาจากเดือน มี.ค. 2 KT</t>
        </r>
      </text>
    </comment>
    <comment ref="O61" authorId="0" shapeId="0" xr:uid="{9E2FE595-FB05-5C49-AC50-3A294A5400AC}">
      <text>
        <r>
          <rPr>
            <b/>
            <sz val="9"/>
            <color indexed="81"/>
            <rFont val="Tahoma"/>
            <family val="2"/>
          </rPr>
          <t>Quantumuser:</t>
        </r>
        <r>
          <rPr>
            <sz val="9"/>
            <color indexed="81"/>
            <rFont val="Tahoma"/>
            <family val="2"/>
          </rPr>
          <t xml:space="preserve">
rev0 = 14.5
rev1 = 10 
rev2 = 9 KT ส่งเพิ่มในเดือน กพ. แล้ว 1 KT
REV3 = 7 kt ส่งเพิ่มในเดือน กพ. แล้ว 2 KT
REV4 = 5 kt GC ลดรับในเดือน กพ. 2 KT จึงลดรับ เท่ากัน 2 KT
REV5 = 7 kt GSP call Vol เพิ่ม</t>
        </r>
      </text>
    </comment>
    <comment ref="P61" authorId="3" shapeId="0" xr:uid="{DCB14225-C168-EF48-B80F-E1FE9F6131A7}">
      <text>
        <r>
          <rPr>
            <b/>
            <sz val="9"/>
            <color indexed="81"/>
            <rFont val="Tahoma"/>
            <family val="2"/>
          </rPr>
          <t>Windows User:</t>
        </r>
        <r>
          <rPr>
            <sz val="9"/>
            <color indexed="81"/>
            <rFont val="Tahoma"/>
            <family val="2"/>
          </rPr>
          <t xml:space="preserve">
rev0 = 7 KT
rev1 = 2 KT GC ขอปรับลดDomestic Condensate shortage and have to reduce Aromatic plant operating rate</t>
        </r>
      </text>
    </comment>
    <comment ref="T61" authorId="3" shapeId="0" xr:uid="{046C7DD1-6420-8A4D-8B2E-B03FA0A657BA}">
      <text>
        <r>
          <rPr>
            <b/>
            <sz val="9"/>
            <color indexed="81"/>
            <rFont val="Tahoma"/>
            <family val="2"/>
          </rPr>
          <t>Windows User:</t>
        </r>
        <r>
          <rPr>
            <sz val="9"/>
            <color indexed="81"/>
            <rFont val="Tahoma"/>
            <family val="2"/>
          </rPr>
          <t xml:space="preserve">
rev0 = 0
rev1 = 1.8
rev2 = 1.2</t>
        </r>
      </text>
    </comment>
    <comment ref="W61" authorId="0" shapeId="0" xr:uid="{E8845ECF-49C5-DE4C-A559-7E0EE4B7A1D1}">
      <text>
        <r>
          <rPr>
            <b/>
            <sz val="9"/>
            <color indexed="81"/>
            <rFont val="Tahoma"/>
            <family val="2"/>
          </rPr>
          <t>Quantumuser:</t>
        </r>
        <r>
          <rPr>
            <sz val="9"/>
            <color indexed="81"/>
            <rFont val="Tahoma"/>
            <family val="2"/>
          </rPr>
          <t xml:space="preserve">
rev0 = 11
rev1 = 13 GC ขอปรับเพิ่ม</t>
        </r>
      </text>
    </comment>
    <comment ref="X61" authorId="3" shapeId="0" xr:uid="{63BCBDCF-8CCA-5846-A0E1-CDAB7FC2CB39}">
      <text>
        <r>
          <rPr>
            <b/>
            <sz val="9"/>
            <color indexed="81"/>
            <rFont val="Tahoma"/>
            <family val="2"/>
          </rPr>
          <t>Windows User:</t>
        </r>
        <r>
          <rPr>
            <sz val="9"/>
            <color indexed="81"/>
            <rFont val="Tahoma"/>
            <family val="2"/>
          </rPr>
          <t xml:space="preserve">
rev0 = 14
rev1 = 11 KT เหตุ GSP5 เลื่อน TD50% ถึง 21 Jan'21
</t>
        </r>
      </text>
    </comment>
    <comment ref="Y61" authorId="3" shapeId="0" xr:uid="{2D56ABA5-4F1C-F642-A6D8-77A6541C2DC4}">
      <text>
        <r>
          <rPr>
            <b/>
            <sz val="9"/>
            <color indexed="81"/>
            <rFont val="Tahoma"/>
            <family val="2"/>
          </rPr>
          <t>Windows User:</t>
        </r>
        <r>
          <rPr>
            <sz val="9"/>
            <color indexed="81"/>
            <rFont val="Tahoma"/>
            <family val="2"/>
          </rPr>
          <t xml:space="preserve">
rev0 = 10
rev1 = 2.5 KT เหตุ GSP5 เลื่อน TD50% ถึง 21 Jan'21
</t>
        </r>
      </text>
    </comment>
    <comment ref="P62" authorId="3" shapeId="0" xr:uid="{6D51D0AB-2B49-F749-89BC-401125954305}">
      <text>
        <r>
          <rPr>
            <b/>
            <sz val="9"/>
            <color indexed="81"/>
            <rFont val="Tahoma"/>
            <family val="2"/>
          </rPr>
          <t>Windows User:</t>
        </r>
        <r>
          <rPr>
            <sz val="9"/>
            <color indexed="81"/>
            <rFont val="Tahoma"/>
            <family val="2"/>
          </rPr>
          <t xml:space="preserve">
rev0 = 6.3
rev1 = 5.1
rev2 = 4.3
</t>
        </r>
      </text>
    </comment>
    <comment ref="Q62" authorId="3" shapeId="0" xr:uid="{DEEADC66-BF18-F142-9758-4D98261EADB8}">
      <text>
        <r>
          <rPr>
            <b/>
            <sz val="9"/>
            <color indexed="81"/>
            <rFont val="Tahoma"/>
            <family val="2"/>
          </rPr>
          <t>Windows User:</t>
        </r>
        <r>
          <rPr>
            <sz val="9"/>
            <color indexed="81"/>
            <rFont val="Tahoma"/>
            <family val="2"/>
          </rPr>
          <t xml:space="preserve">
rev0 = 3.5
rev1 = 3 KT • SPRC แจ้งปรับลดการจัดส่ง จากแผน 3.5 KT เป็น 3.0 KT เนื่องจาก Demand Drop จาก COVID-19 จึงลดกำลังการผลิตลง </t>
        </r>
      </text>
    </comment>
    <comment ref="R62" authorId="3" shapeId="0" xr:uid="{DEAC86E3-1148-6845-BF32-811B9806A7F2}">
      <text>
        <r>
          <rPr>
            <b/>
            <sz val="9"/>
            <color indexed="81"/>
            <rFont val="Tahoma"/>
            <family val="2"/>
          </rPr>
          <t>Windows User:</t>
        </r>
        <r>
          <rPr>
            <sz val="9"/>
            <color indexed="81"/>
            <rFont val="Tahoma"/>
            <family val="2"/>
          </rPr>
          <t xml:space="preserve">
rev0 = 3.6
rev1 = 3.0 เนื่องจาก WP under </t>
        </r>
      </text>
    </comment>
    <comment ref="V62" authorId="3" shapeId="0" xr:uid="{B5DCE38C-D82C-6A40-BD6D-004C0E5AB2DE}">
      <text>
        <r>
          <rPr>
            <b/>
            <sz val="9"/>
            <color indexed="81"/>
            <rFont val="Tahoma"/>
            <family val="2"/>
          </rPr>
          <t>Windows User:</t>
        </r>
        <r>
          <rPr>
            <sz val="9"/>
            <color indexed="81"/>
            <rFont val="Tahoma"/>
            <family val="2"/>
          </rPr>
          <t xml:space="preserve">
rev0 = 7.36
rev1= 8.06 KT SPRC ปรับเพิ่ม
rev2= 6.06 KT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t>
        </r>
      </text>
    </comment>
    <comment ref="W62" authorId="0" shapeId="0" xr:uid="{F0CCD8EA-CE46-8147-A98D-E89A541B4694}">
      <text>
        <r>
          <rPr>
            <b/>
            <sz val="9"/>
            <color indexed="81"/>
            <rFont val="Tahoma"/>
            <family val="2"/>
          </rPr>
          <t>Quantumuser:</t>
        </r>
        <r>
          <rPr>
            <sz val="9"/>
            <color indexed="81"/>
            <rFont val="Tahoma"/>
            <family val="2"/>
          </rPr>
          <t xml:space="preserve">
rev0 = 7.36
rev1= 5.36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
rev2 = 6.06 SPRC ปรับเพิ่ม เนื่องจาก SPRC Over supply </t>
        </r>
      </text>
    </comment>
    <comment ref="AD62" authorId="0" shapeId="0" xr:uid="{7137E90F-7428-5E4D-8620-E710A6198141}">
      <text>
        <r>
          <rPr>
            <b/>
            <sz val="9"/>
            <color indexed="81"/>
            <rFont val="Tahoma"/>
            <family val="2"/>
          </rPr>
          <t>Quantumuser:</t>
        </r>
        <r>
          <rPr>
            <sz val="9"/>
            <color indexed="81"/>
            <rFont val="Tahoma"/>
            <family val="2"/>
          </rPr>
          <t xml:space="preserve">
rev0 =5.78
rev1 = 4.97 sprc tank top ส่งออกเพิ่ม dom ของน้อยลง</t>
        </r>
      </text>
    </comment>
    <comment ref="AE62" authorId="0" shapeId="0" xr:uid="{E2F180F4-C9B1-1B4C-A723-45ED145D92E4}">
      <text>
        <r>
          <rPr>
            <b/>
            <sz val="9"/>
            <color indexed="81"/>
            <rFont val="Tahoma"/>
            <family val="2"/>
          </rPr>
          <t>Quantumuser:</t>
        </r>
        <r>
          <rPr>
            <sz val="9"/>
            <color indexed="81"/>
            <rFont val="Tahoma"/>
            <family val="2"/>
          </rPr>
          <t xml:space="preserve">
rev0 =6.12
rev1 = 5.40 SPRC ปรับ production</t>
        </r>
      </text>
    </comment>
    <comment ref="AH62" authorId="0" shapeId="0" xr:uid="{D1230A40-B517-894F-9B6E-39D8F9DA5FD1}">
      <text>
        <r>
          <rPr>
            <b/>
            <sz val="9"/>
            <color indexed="81"/>
            <rFont val="Tahoma"/>
            <family val="2"/>
          </rPr>
          <t>Quantumuser:</t>
        </r>
        <r>
          <rPr>
            <sz val="9"/>
            <color indexed="81"/>
            <rFont val="Tahoma"/>
            <family val="2"/>
          </rPr>
          <t xml:space="preserve">
Rev0 = 5.4
Rev1 =4.5 SPRC มีปัญหา Plant</t>
        </r>
      </text>
    </comment>
    <comment ref="F63" authorId="0" shapeId="0" xr:uid="{F4850796-0EDD-1C4C-9416-CB4A090A2D40}">
      <text>
        <r>
          <rPr>
            <b/>
            <sz val="9"/>
            <color indexed="81"/>
            <rFont val="Tahoma"/>
            <family val="2"/>
          </rPr>
          <t>Quantumuser:</t>
        </r>
        <r>
          <rPr>
            <sz val="9"/>
            <color indexed="81"/>
            <rFont val="Tahoma"/>
            <family val="2"/>
          </rPr>
          <t xml:space="preserve">
rrev0 = 5.7
rrev1 = 6.22</t>
        </r>
      </text>
    </comment>
    <comment ref="K63" authorId="0" shapeId="0" xr:uid="{77197BDF-D8D6-F246-8C81-AE57B760CD1D}">
      <text>
        <r>
          <rPr>
            <b/>
            <sz val="9"/>
            <color indexed="81"/>
            <rFont val="Tahoma"/>
            <family val="2"/>
          </rPr>
          <t>Quantumuser:</t>
        </r>
        <r>
          <rPr>
            <sz val="9"/>
            <color indexed="81"/>
            <rFont val="Tahoma"/>
            <family val="2"/>
          </rPr>
          <t xml:space="preserve">
rev0 = 5.85
rev1 = 6.63
</t>
        </r>
      </text>
    </comment>
    <comment ref="R63" authorId="3" shapeId="0" xr:uid="{E51AF696-22A9-3646-AFE7-72FC8E1B0112}">
      <text>
        <r>
          <rPr>
            <b/>
            <sz val="9"/>
            <color indexed="81"/>
            <rFont val="Tahoma"/>
            <family val="2"/>
          </rPr>
          <t>Windows User:</t>
        </r>
        <r>
          <rPr>
            <sz val="9"/>
            <color indexed="81"/>
            <rFont val="Tahoma"/>
            <family val="2"/>
          </rPr>
          <t xml:space="preserve">
rev0 = 5.4
rev 1= 5.7 PTTOR ขอรับเพิ่ม 0.3 KT
</t>
        </r>
      </text>
    </comment>
    <comment ref="V63" authorId="0" shapeId="0" xr:uid="{64A78EE2-E08E-1249-B952-0D12DE03BD18}">
      <text>
        <r>
          <rPr>
            <b/>
            <sz val="9"/>
            <color indexed="81"/>
            <rFont val="Tahoma"/>
            <family val="2"/>
          </rPr>
          <t>Quantumuser:</t>
        </r>
        <r>
          <rPr>
            <sz val="9"/>
            <color indexed="81"/>
            <rFont val="Tahoma"/>
            <family val="2"/>
          </rPr>
          <t xml:space="preserve">
rev0 = 5.58 
rev1 = 5.8 PTTEP : เพิ่มประมาณการจัดส่ง </t>
        </r>
      </text>
    </comment>
    <comment ref="AD63" authorId="0" shapeId="0" xr:uid="{E3753E8D-EE4F-0E4F-AAE1-0AC9F5D1971D}">
      <text>
        <r>
          <rPr>
            <b/>
            <sz val="9"/>
            <color indexed="81"/>
            <rFont val="Tahoma"/>
            <family val="2"/>
          </rPr>
          <t>Quantumuser:</t>
        </r>
        <r>
          <rPr>
            <sz val="9"/>
            <color indexed="81"/>
            <rFont val="Tahoma"/>
            <family val="2"/>
          </rPr>
          <t xml:space="preserve">
rev0 = 5.55
rev1 = 5.99 PTTEP production increase</t>
        </r>
      </text>
    </comment>
    <comment ref="AH63" authorId="0" shapeId="0" xr:uid="{3DEA44FE-A508-F041-A6E8-7DD84FB1C892}">
      <text>
        <r>
          <rPr>
            <b/>
            <sz val="9"/>
            <color indexed="81"/>
            <rFont val="Tahoma"/>
            <family val="2"/>
          </rPr>
          <t>Quantumuser:</t>
        </r>
        <r>
          <rPr>
            <sz val="9"/>
            <color indexed="81"/>
            <rFont val="Tahoma"/>
            <family val="2"/>
          </rPr>
          <t xml:space="preserve">
</t>
        </r>
      </text>
    </comment>
    <comment ref="K64" authorId="0" shapeId="0" xr:uid="{34E10B4A-EE9E-1449-B6B4-92589B21BB13}">
      <text>
        <r>
          <rPr>
            <b/>
            <sz val="9"/>
            <color indexed="81"/>
            <rFont val="Tahoma"/>
            <family val="2"/>
          </rPr>
          <t>Quantumuser:</t>
        </r>
        <r>
          <rPr>
            <sz val="9"/>
            <color indexed="81"/>
            <rFont val="Tahoma"/>
            <family val="2"/>
          </rPr>
          <t xml:space="preserve">
• วันที่ 25 พ.ย. 62 – 7 ธ.ค. 62 โรงไฟฟ้าขนอมหยุดซ่อมบำรุง (โรงที่ 2)</t>
        </r>
      </text>
    </comment>
    <comment ref="P64" authorId="3" shapeId="0" xr:uid="{18423707-6B58-4A46-BF50-356C7F73CFAF}">
      <text>
        <r>
          <rPr>
            <b/>
            <sz val="9"/>
            <color indexed="81"/>
            <rFont val="Tahoma"/>
            <family val="2"/>
          </rPr>
          <t>Windows User:</t>
        </r>
        <r>
          <rPr>
            <sz val="9"/>
            <color indexed="81"/>
            <rFont val="Tahoma"/>
            <family val="2"/>
          </rPr>
          <t xml:space="preserve">
rev0 = 15.6
rev1 = 17.6 GSP KHM ปรับเพิ่มตาม Demand โรงไฟฟ้า
rev2 = 16.5 PTTOR demand drop
</t>
        </r>
      </text>
    </comment>
    <comment ref="Q64" authorId="3" shapeId="0" xr:uid="{CE32EE38-EE9F-6146-9B40-85658EC483B0}">
      <text>
        <r>
          <rPr>
            <b/>
            <sz val="9"/>
            <color indexed="81"/>
            <rFont val="Tahoma"/>
            <family val="2"/>
          </rPr>
          <t xml:space="preserve">Windows User:
rev0 = 17.05
rev1 = 15.5 • GSP KHM แจ้งปรับลดการจัดส่ง จากแผน 17.05 KT เป็น 15.5 KT (-1.55 KT)
เนื่องจากวันที่ 1-3 พ.ค. 2563 ลด Feed Gas ลงเหลือ 80 MMSCFD เพื่อเปลี่ยน Pipe Spool/หน้า Flange เพื่อแก้ไขปัญหา Corrosion ที่ ERP-KN 
</t>
        </r>
      </text>
    </comment>
    <comment ref="R64" authorId="3" shapeId="0" xr:uid="{BC9170B7-C334-6C48-9298-1B561E0F67C9}">
      <text>
        <r>
          <rPr>
            <b/>
            <sz val="9"/>
            <color indexed="81"/>
            <rFont val="Tahoma"/>
            <family val="2"/>
          </rPr>
          <t>Windows User:</t>
        </r>
        <r>
          <rPr>
            <sz val="9"/>
            <color indexed="81"/>
            <rFont val="Tahoma"/>
            <family val="2"/>
          </rPr>
          <t xml:space="preserve">
rev0 = 15.6
rev1 = 14.5 โรงไฟฟ้า KHM demand drop</t>
        </r>
      </text>
    </comment>
    <comment ref="V64" authorId="0" shapeId="0" xr:uid="{1F4C9FDE-DFE3-3C47-B4BC-42E957222C43}">
      <text>
        <r>
          <rPr>
            <b/>
            <sz val="9"/>
            <color indexed="81"/>
            <rFont val="Tahoma"/>
            <family val="2"/>
          </rPr>
          <t>Quantumuser:</t>
        </r>
        <r>
          <rPr>
            <sz val="9"/>
            <color indexed="81"/>
            <rFont val="Tahoma"/>
            <family val="2"/>
          </rPr>
          <t xml:space="preserve">
GSP KHM ปรับลด ตาม demand โรงไฟฟ้าขนอม</t>
        </r>
      </text>
    </comment>
    <comment ref="AA64" authorId="3" shapeId="0" xr:uid="{FE5300B7-5F55-F84E-AF4E-5D9855A1ED3F}">
      <text>
        <r>
          <rPr>
            <b/>
            <sz val="9"/>
            <color indexed="81"/>
            <rFont val="Tahoma"/>
            <family val="2"/>
          </rPr>
          <t>Windows User:</t>
        </r>
        <r>
          <rPr>
            <sz val="9"/>
            <color indexed="81"/>
            <rFont val="Tahoma"/>
            <family val="2"/>
          </rPr>
          <t xml:space="preserve">
rev0 = 15.56 KT
rev1 = 13.5 KT KT เนื่องจากโรงไฟฟ้าขนอมทำการหยุดซ่อมบำรุงเร่งด่วน ทำให้กำลังการผลิต LPG ลดลง</t>
        </r>
      </text>
    </comment>
    <comment ref="AD64" authorId="0" shapeId="0" xr:uid="{941FDE1D-01F9-8745-874A-ACD501E0B545}">
      <text>
        <r>
          <rPr>
            <b/>
            <sz val="9"/>
            <color indexed="81"/>
            <rFont val="Tahoma"/>
            <family val="2"/>
          </rPr>
          <t>Quantumuser:</t>
        </r>
        <r>
          <rPr>
            <sz val="9"/>
            <color indexed="81"/>
            <rFont val="Tahoma"/>
            <family val="2"/>
          </rPr>
          <t xml:space="preserve">
rev0 =14KT
rev1 = 12.5KT 15.06 GSP KHM รับก๊าซได้ต่ำกว่าแผน ต้องรักษาระดับ สำรอง</t>
        </r>
      </text>
    </comment>
    <comment ref="AE64" authorId="0" shapeId="0" xr:uid="{C1767F1A-04BA-6F41-B694-EB2F97B0AA3B}">
      <text>
        <r>
          <rPr>
            <b/>
            <sz val="9"/>
            <color indexed="81"/>
            <rFont val="Tahoma"/>
            <family val="2"/>
          </rPr>
          <t>Quantumuser:</t>
        </r>
        <r>
          <rPr>
            <sz val="9"/>
            <color indexed="81"/>
            <rFont val="Tahoma"/>
            <family val="2"/>
          </rPr>
          <t xml:space="preserve">
rev0 =8.37
rev1 = 9 or demand increase และ KHM มีของ</t>
        </r>
      </text>
    </comment>
    <comment ref="D94" authorId="3" shapeId="0" xr:uid="{65A4B6F8-25F2-0E4E-B0BE-F465B6129C36}">
      <text>
        <r>
          <rPr>
            <b/>
            <sz val="9"/>
            <color rgb="FF000000"/>
            <rFont val="Tahoma"/>
            <family val="2"/>
          </rPr>
          <t>Windows User:</t>
        </r>
        <r>
          <rPr>
            <sz val="9"/>
            <color rgb="FF000000"/>
            <rFont val="Tahoma"/>
            <family val="2"/>
          </rPr>
          <t xml:space="preserve">
</t>
        </r>
        <r>
          <rPr>
            <sz val="9"/>
            <color rgb="FF000000"/>
            <rFont val="Tahoma"/>
            <family val="2"/>
          </rPr>
          <t>Port chart 4-6 $/Ton (split 22 KT)</t>
        </r>
      </text>
    </comment>
    <comment ref="AB94" authorId="3" shapeId="0" xr:uid="{0C63DFDF-D00D-DD40-8EAF-24A3BBC8D34F}">
      <text>
        <r>
          <rPr>
            <b/>
            <sz val="9"/>
            <color indexed="81"/>
            <rFont val="Tahoma"/>
            <family val="2"/>
          </rPr>
          <t>Windows User:</t>
        </r>
        <r>
          <rPr>
            <sz val="9"/>
            <color indexed="81"/>
            <rFont val="Tahoma"/>
            <family val="2"/>
          </rPr>
          <t xml:space="preserve">
MOC ทางเรือ</t>
        </r>
      </text>
    </comment>
    <comment ref="AD94" authorId="3" shapeId="0" xr:uid="{781E99CA-6710-AA44-B3E1-77CFB60F7D13}">
      <text>
        <r>
          <rPr>
            <b/>
            <sz val="9"/>
            <color indexed="81"/>
            <rFont val="Tahoma"/>
            <family val="2"/>
          </rPr>
          <t>Windows User:</t>
        </r>
        <r>
          <rPr>
            <sz val="9"/>
            <color indexed="81"/>
            <rFont val="Tahoma"/>
            <family val="2"/>
          </rPr>
          <t xml:space="preserve">
SCG request 23 Jun - 2Jul</t>
        </r>
      </text>
    </comment>
    <comment ref="AK94" authorId="0" shapeId="0" xr:uid="{38C059E9-7A26-0F44-879B-1224B0A5FEE3}">
      <text>
        <r>
          <rPr>
            <b/>
            <sz val="9"/>
            <color indexed="81"/>
            <rFont val="Tahoma"/>
            <family val="2"/>
          </rPr>
          <t>Quantumuser:</t>
        </r>
        <r>
          <rPr>
            <sz val="9"/>
            <color indexed="81"/>
            <rFont val="Tahoma"/>
            <family val="2"/>
          </rPr>
          <t xml:space="preserve">
as of 26.10
Diff cp Jan feb ดีกว่า feb mar</t>
        </r>
      </text>
    </comment>
    <comment ref="AM94" authorId="0" shapeId="0" xr:uid="{C06D2B52-F55B-0C4A-8461-B29FBD8134D6}">
      <text>
        <r>
          <rPr>
            <b/>
            <sz val="9"/>
            <color indexed="81"/>
            <rFont val="Tahoma"/>
            <family val="2"/>
          </rPr>
          <t>Quantumuser:</t>
        </r>
        <r>
          <rPr>
            <sz val="9"/>
            <color indexed="81"/>
            <rFont val="Tahoma"/>
            <family val="2"/>
          </rPr>
          <t xml:space="preserve">
Reversed Pipeline</t>
        </r>
      </text>
    </comment>
    <comment ref="D95" authorId="3" shapeId="0" xr:uid="{D4262464-6515-9143-B491-CDEDA936F1F1}">
      <text>
        <r>
          <rPr>
            <b/>
            <sz val="9"/>
            <color indexed="81"/>
            <rFont val="Tahoma"/>
            <family val="2"/>
          </rPr>
          <t>Windows User:</t>
        </r>
        <r>
          <rPr>
            <sz val="9"/>
            <color indexed="81"/>
            <rFont val="Tahoma"/>
            <family val="2"/>
          </rPr>
          <t xml:space="preserve">
Port chart 4-6 $/Ton (split 22 KT)</t>
        </r>
      </text>
    </comment>
    <comment ref="D96" authorId="3" shapeId="0" xr:uid="{5718DEE3-9D5B-664D-8744-D6FC1A0A2C56}">
      <text>
        <r>
          <rPr>
            <sz val="11"/>
            <color theme="0"/>
            <rFont val="Tahoma"/>
            <family val="2"/>
            <scheme val="minor"/>
          </rPr>
          <t>Windows User:</t>
        </r>
        <r>
          <rPr>
            <sz val="11"/>
            <color theme="0" tint="-0.34998626667073579"/>
            <rFont val="Tahoma"/>
            <family val="2"/>
            <scheme val="minor"/>
          </rPr>
          <t xml:space="preserve">
</t>
        </r>
        <r>
          <rPr>
            <sz val="11"/>
            <color theme="0" tint="-0.34998626667073579"/>
            <rFont val="Tahoma"/>
            <family val="2"/>
            <scheme val="minor"/>
          </rPr>
          <t>Port chart 4-6 $/Ton (split 22 KT)</t>
        </r>
      </text>
    </comment>
    <comment ref="E103" authorId="0" shapeId="0" xr:uid="{582D9046-F389-BE40-8D7F-3CE5CB68CA8A}">
      <text>
        <r>
          <rPr>
            <b/>
            <sz val="9"/>
            <color indexed="81"/>
            <rFont val="Tahoma"/>
            <family val="2"/>
          </rPr>
          <t>Quantumuser:</t>
        </r>
        <r>
          <rPr>
            <sz val="9"/>
            <color indexed="81"/>
            <rFont val="Tahoma"/>
            <family val="2"/>
          </rPr>
          <t xml:space="preserve">
rev0 = 90.5 (import 14.5 KT)
rev1 = 95 KT</t>
        </r>
      </text>
    </comment>
    <comment ref="G103" authorId="3" shapeId="0" xr:uid="{CF38E065-42F9-B046-B4CA-9CCECE857BA1}">
      <text>
        <r>
          <rPr>
            <b/>
            <sz val="9"/>
            <color indexed="81"/>
            <rFont val="Tahoma"/>
            <family val="2"/>
          </rPr>
          <t>Windows User:</t>
        </r>
        <r>
          <rPr>
            <sz val="9"/>
            <color indexed="81"/>
            <rFont val="Tahoma"/>
            <family val="2"/>
          </rPr>
          <t xml:space="preserve">
rev0 =74 
rev1= 72 KT cause GSP3 trip</t>
        </r>
      </text>
    </comment>
    <comment ref="H103" authorId="3" shapeId="0" xr:uid="{C46D816C-EE6F-4A48-B51B-C96725283CCC}">
      <text>
        <r>
          <rPr>
            <b/>
            <sz val="9"/>
            <color indexed="81"/>
            <rFont val="Tahoma"/>
            <family val="2"/>
          </rPr>
          <t>Windows User:</t>
        </r>
        <r>
          <rPr>
            <sz val="9"/>
            <color indexed="81"/>
            <rFont val="Tahoma"/>
            <family val="2"/>
          </rPr>
          <t xml:space="preserve">
rev0 = 68 KT
rev1 = 65.5 KT GC ขอปรับลดเนื่องจาก C2 rate สูง ประมาน 295 -297 ton/hr.
rev2 = 69.5 KT เนื่องจาก GSP TD
- GSP6 reduce 10% of feed gas to fix expander vibration problem during 2-5 Aug
- GSP6 reduce 25% of feed gas to fix expander vibration problem during 6-12 Aug
rev3 = 67.5 KT GC ปรับลด เนื่องจาก Ethane supply will be 300T/h instead of 295T/h 
rev4 = 67 KT GC แจ้ง carry ove rC3 0.5 KT to Sep'19
</t>
        </r>
      </text>
    </comment>
    <comment ref="I103" authorId="0" shapeId="0" xr:uid="{E420C65A-C6A3-A749-8CB1-296C7EF56D67}">
      <text>
        <r>
          <rPr>
            <b/>
            <sz val="9"/>
            <color indexed="81"/>
            <rFont val="Tahoma"/>
            <family val="2"/>
          </rPr>
          <t>Quantumuser:</t>
        </r>
        <r>
          <rPr>
            <sz val="9"/>
            <color indexed="81"/>
            <rFont val="Tahoma"/>
            <family val="2"/>
          </rPr>
          <t xml:space="preserve">
rev0 = 61.5
rev1 = 62 KT เนื่องจาก carry over C3 from Aug 0.5 KT</t>
        </r>
      </text>
    </comment>
    <comment ref="J103" authorId="3" shapeId="0" xr:uid="{DAED3577-C1AA-B742-8A6A-FB4DA8B622D9}">
      <text>
        <r>
          <rPr>
            <b/>
            <sz val="9"/>
            <color indexed="81"/>
            <rFont val="Tahoma"/>
            <family val="2"/>
          </rPr>
          <t>Windows User:
rev0 = 62
rev1 = 65.6
rev2 = 66 KT
rev3 = 67 KT
rev4 = 63 KT (โยกไปพย 4 KT)</t>
        </r>
      </text>
    </comment>
    <comment ref="K103" authorId="0" shapeId="0" xr:uid="{E53BEFE7-F826-1849-9D28-E9B6B76165A4}">
      <text>
        <r>
          <rPr>
            <b/>
            <sz val="9"/>
            <color indexed="81"/>
            <rFont val="Tahoma"/>
            <family val="2"/>
          </rPr>
          <t>Quantumuser:</t>
        </r>
        <r>
          <rPr>
            <sz val="9"/>
            <color indexed="81"/>
            <rFont val="Tahoma"/>
            <family val="2"/>
          </rPr>
          <t xml:space="preserve">
rev0 = 57
rev1 = 63 (57+4+2) 4 โยกมาจาก ตค และ 2 มาจาก swap (21 เป็น 23)
rev2 = 65 KT (+2 GC ขอรับเพิ่ม)</t>
        </r>
      </text>
    </comment>
    <comment ref="L103" authorId="0" shapeId="0" xr:uid="{99D5D497-7FE5-E544-9E20-7DAC3D05A931}">
      <text>
        <r>
          <rPr>
            <b/>
            <sz val="9"/>
            <color indexed="81"/>
            <rFont val="Tahoma"/>
            <family val="2"/>
          </rPr>
          <t>Quantumuser:</t>
        </r>
        <r>
          <rPr>
            <sz val="9"/>
            <color indexed="81"/>
            <rFont val="Tahoma"/>
            <family val="2"/>
          </rPr>
          <t xml:space="preserve">
rev0 = 59.5
rev1 = 64.5 (swap vol 2.5 KT จาก 21 KT เป็น 23.5 KT)
rev2 = 66.5 (GC ขอรับเพิ่ม +2 KT
rev3 = 68.5
rev4 = 65.5 KT เนื่องจาก GC black out วันที่ 23 ธ.ค. 62
</t>
        </r>
      </text>
    </comment>
    <comment ref="M103" authorId="0" shapeId="0" xr:uid="{F324E49E-200F-904D-994C-45E64AFCB32B}">
      <text>
        <r>
          <rPr>
            <b/>
            <sz val="9"/>
            <color indexed="81"/>
            <rFont val="Tahoma"/>
            <family val="2"/>
          </rPr>
          <t>Quantumuser:</t>
        </r>
        <r>
          <rPr>
            <sz val="9"/>
            <color indexed="81"/>
            <rFont val="Tahoma"/>
            <family val="2"/>
          </rPr>
          <t xml:space="preserve">
I-4/1 SD19 Jan – 24 Feb’20
I-4/2 SD 15 Jan- 16 Feb’20
รอบ Nov 52
รอบ Dec 58
rev0 = 55 KT GSP ลดจาก demand GC 58 KT เพื่อ balabce inven และ LR เนื่องจากหาเรือ importไม่ได้ เพราะติดตรุษจีน
rev1 = 53.5 KT เนื่องจาก GC black out วันที่ 23 ธ.ค. 62
rev2 = 45 GC ขอลดรับ พี่สุคาด PE ลงส่งผลให้ gc กิน C2 ที่ผลิตได้เองก่อน (18 ton/hr) จึงมาลดรับ C3/lpg
rev2 = 49 GC เพิ่มเนื่องจาก เลื่อน TA ออกไป 5 วัน
rev3 = 47 KT GC ขอปรับลด เนื่องจาก we are conducting T/A OLE2 in this period and it cause LPG demand in Jan to be lessor than plan </t>
        </r>
      </text>
    </comment>
    <comment ref="N103" authorId="0" shapeId="0" xr:uid="{9CD1D092-1F92-8644-859C-E0331F4A0674}">
      <text>
        <r>
          <rPr>
            <b/>
            <sz val="9"/>
            <color indexed="81"/>
            <rFont val="Tahoma"/>
            <family val="2"/>
          </rPr>
          <t>Quantumuser:</t>
        </r>
        <r>
          <rPr>
            <sz val="9"/>
            <color indexed="81"/>
            <rFont val="Tahoma"/>
            <family val="2"/>
          </rPr>
          <t xml:space="preserve">
I-4/1 SD19 Jan – 24 Feb’20
I-4/2 SD 15 Jan- 16 Feb’20
รอบ Nov 34
รอบ Dec 36
รอบ Jan 27.5 เพราะเลื่อน TA ออกไปกินเดือน กพ เพิ่มขึ้น 5 วัน
rev1 = 25.5
rev2 = 24
rev3 = 22 KT GC เลื่อนการ SD Oleflex จาก 1 มี.ค. 63 – 6 เม.ย. 63 เป็น 24 ก.พ. 63 – 31 มี.ค. 63 
rev4 = 18.9  KT GC i4 delay start up จากแผนเดิมวันที่ 27 ก.พ. 63 </t>
        </r>
      </text>
    </comment>
    <comment ref="O103" authorId="0" shapeId="0" xr:uid="{5344307A-DCD9-5E4A-A2FB-39A807521FCF}">
      <text>
        <r>
          <rPr>
            <b/>
            <sz val="9"/>
            <color indexed="81"/>
            <rFont val="Tahoma"/>
            <family val="2"/>
          </rPr>
          <t>Quantumuser:</t>
        </r>
        <r>
          <rPr>
            <sz val="9"/>
            <color indexed="81"/>
            <rFont val="Tahoma"/>
            <family val="2"/>
          </rPr>
          <t xml:space="preserve">
รอบ Nov 68
รอบ Dec 53
รอบ Jan 52
rev0 = 44.623
rev1 = 41 GC ขอปรับลดเนื่องจาก GC delay S/U of OLE2/1
rev2 = 39 GC ขอปรับลดเนื่องจาก economic ราคาอ้างอิงตก เพราะ ซาอุทะเลาะรัฐเซีย และ demand drop จาก Covid</t>
        </r>
      </text>
    </comment>
    <comment ref="P103" authorId="0" shapeId="0" xr:uid="{4E7159F8-96EF-AB4D-817A-D2070DFB0C2B}">
      <text>
        <r>
          <rPr>
            <b/>
            <sz val="9"/>
            <color indexed="81"/>
            <rFont val="Tahoma"/>
            <family val="2"/>
          </rPr>
          <t>Quantumuser:</t>
        </r>
        <r>
          <rPr>
            <sz val="9"/>
            <color indexed="81"/>
            <rFont val="Tahoma"/>
            <family val="2"/>
          </rPr>
          <t xml:space="preserve">
รอบ Dec 72
รอบ Jan 60
rev1 = 43.5
rev2 = 46.5 GC ขอเพิ่ม เนื่องจาก GSP ลด C2
rev3 = 44.5 ปรับลดการจัดส่ง GC 2 KT เนื่องจาก refinery ปรับลดการจัดส่ง 5 KT (ช่วยเหลือ GC 3 KT)</t>
        </r>
      </text>
    </comment>
    <comment ref="Q103" authorId="3" shapeId="0" xr:uid="{F13FA883-6144-CF45-9458-14048CFF38C6}">
      <text>
        <r>
          <rPr>
            <b/>
            <sz val="9"/>
            <color indexed="81"/>
            <rFont val="Tahoma"/>
            <family val="2"/>
          </rPr>
          <t xml:space="preserve">Windows User:
Feb </t>
        </r>
        <r>
          <rPr>
            <sz val="9"/>
            <color indexed="81"/>
            <rFont val="Tahoma"/>
            <family val="2"/>
          </rPr>
          <t>57.488
Mar 36.591</t>
        </r>
      </text>
    </comment>
    <comment ref="R103" authorId="0" shapeId="0" xr:uid="{F5B93722-7412-2A45-9673-ABE7F223B871}">
      <text>
        <r>
          <rPr>
            <b/>
            <sz val="9"/>
            <color indexed="81"/>
            <rFont val="Tahoma"/>
            <family val="2"/>
          </rPr>
          <t>Quantumuser:</t>
        </r>
        <r>
          <rPr>
            <sz val="9"/>
            <color indexed="81"/>
            <rFont val="Tahoma"/>
            <family val="2"/>
          </rPr>
          <t xml:space="preserve">
รอบ Dec 72
รอบ Jan 60
rev1 = 43.5
rev2 = 46.5 GC ขอเพิ่ม เนื่องจาก GSP ลด C2
rev0 = 58 KT</t>
        </r>
      </text>
    </comment>
    <comment ref="S103" authorId="3" shapeId="0" xr:uid="{7D029CD1-3658-5848-9BF9-ABE375B1B98A}">
      <text>
        <r>
          <rPr>
            <b/>
            <sz val="9"/>
            <color indexed="81"/>
            <rFont val="Tahoma"/>
            <family val="2"/>
          </rPr>
          <t>Windows User:</t>
        </r>
        <r>
          <rPr>
            <sz val="9"/>
            <color indexed="81"/>
            <rFont val="Tahoma"/>
            <family val="2"/>
          </rPr>
          <t xml:space="preserve">
Feb 61.541
Mar 25.252</t>
        </r>
      </text>
    </comment>
    <comment ref="Q105" authorId="3" shapeId="0" xr:uid="{FB542A25-7651-8B43-ADC0-EC1628FE2535}">
      <text>
        <r>
          <rPr>
            <b/>
            <sz val="9"/>
            <color indexed="81"/>
            <rFont val="Tahoma"/>
            <family val="2"/>
          </rPr>
          <t>Windows User:</t>
        </r>
        <r>
          <rPr>
            <sz val="9"/>
            <color indexed="81"/>
            <rFont val="Tahoma"/>
            <family val="2"/>
          </rPr>
          <t xml:space="preserve">
rev0 = 23.064
rev1 = 26 KT GSP เสนอ GC รับ C3 เพิ่ม เพื่อช่วยลด inv high จาก PTTAC ESD</t>
        </r>
      </text>
    </comment>
    <comment ref="W105" authorId="3" shapeId="0" xr:uid="{CA518F0A-FD6C-D046-879A-5B61BD1BAE1E}">
      <text>
        <r>
          <rPr>
            <b/>
            <sz val="9"/>
            <color indexed="81"/>
            <rFont val="Tahoma"/>
            <family val="2"/>
          </rPr>
          <t>Windows User:</t>
        </r>
        <r>
          <rPr>
            <sz val="9"/>
            <color indexed="81"/>
            <rFont val="Tahoma"/>
            <family val="2"/>
          </rPr>
          <t xml:space="preserve">
ก่อนเกิดเหต GSP5 = 23 KT
</t>
        </r>
      </text>
    </comment>
    <comment ref="X105" authorId="3" shapeId="0" xr:uid="{850D6DEC-0B41-2741-B6FE-D7B6412B471B}">
      <text>
        <r>
          <rPr>
            <b/>
            <sz val="9"/>
            <color indexed="81"/>
            <rFont val="Tahoma"/>
            <family val="2"/>
          </rPr>
          <t>Windows User:</t>
        </r>
        <r>
          <rPr>
            <sz val="9"/>
            <color indexed="81"/>
            <rFont val="Tahoma"/>
            <family val="2"/>
          </rPr>
          <t xml:space="preserve">
ก่อนเกิดเหต GSP5 = 23 KT
rev1 = 23.5
rev2 = 29 HMC ไฟไหม้</t>
        </r>
      </text>
    </comment>
    <comment ref="AA105" authorId="3" shapeId="0" xr:uid="{08ABF915-ECD4-0649-A610-2628EFF3670A}">
      <text>
        <r>
          <rPr>
            <b/>
            <sz val="9"/>
            <color indexed="81"/>
            <rFont val="Tahoma"/>
            <family val="2"/>
          </rPr>
          <t>Windows User:</t>
        </r>
        <r>
          <rPr>
            <sz val="9"/>
            <color indexed="81"/>
            <rFont val="Tahoma"/>
            <family val="2"/>
          </rPr>
          <t xml:space="preserve">
rev0 = 22.32 KT
rev1 = 19.82 KT (GC คุยกับ AC โดย GC จะลด -2.5 KT และ AC จะซื้อ Spot เพิ่ม 2.5 KT)
rev2 = 18.82 KT (GC คุยกับ AC โดย GC จะลด -1 KT และ AC จะซื้อ Spot เพิ่ม 1 KT)</t>
        </r>
      </text>
    </comment>
    <comment ref="AB105" authorId="3" shapeId="0" xr:uid="{D3FC8A23-6F54-944E-A0BE-31452C5306E8}">
      <text>
        <r>
          <rPr>
            <b/>
            <sz val="9"/>
            <color indexed="81"/>
            <rFont val="Tahoma"/>
            <family val="2"/>
          </rPr>
          <t>Windows User:</t>
        </r>
        <r>
          <rPr>
            <sz val="9"/>
            <color indexed="81"/>
            <rFont val="Tahoma"/>
            <family val="2"/>
          </rPr>
          <t xml:space="preserve">
rev0 = 18.4 KT
rev1 = 15.8 KT วันที่ 14 เม.ย. 64 GC แจ้งเหตุไฟฟ้าขัดข้อง จึงลดรับ C3
rev2 = 13 KT delay start up
rev3 = 12KT เนื่องจาก ไฟฟ้าดับเมื่อวันที่ 20 Apr (GC official)</t>
        </r>
      </text>
    </comment>
    <comment ref="AC105" authorId="3" shapeId="0" xr:uid="{4C2B8673-10BF-0747-A4C8-59C4014296C4}">
      <text>
        <r>
          <rPr>
            <b/>
            <sz val="9"/>
            <color indexed="81"/>
            <rFont val="Tahoma"/>
            <family val="2"/>
          </rPr>
          <t>Windows User:</t>
        </r>
        <r>
          <rPr>
            <sz val="9"/>
            <color indexed="81"/>
            <rFont val="Tahoma"/>
            <family val="2"/>
          </rPr>
          <t xml:space="preserve">
rev0 = 18.556 KT
rev1 = 24.5
rev2 = 24 GC ปรับลด จาก OLE2 quencch tower leak</t>
        </r>
      </text>
    </comment>
    <comment ref="AE105" authorId="3" shapeId="0" xr:uid="{C9DFF1DF-730D-D64F-B355-B321CD7B3211}">
      <text>
        <r>
          <rPr>
            <b/>
            <sz val="9"/>
            <color indexed="81"/>
            <rFont val="Tahoma"/>
            <family val="2"/>
          </rPr>
          <t>Windows User:</t>
        </r>
        <r>
          <rPr>
            <sz val="9"/>
            <color indexed="81"/>
            <rFont val="Tahoma"/>
            <family val="2"/>
          </rPr>
          <t xml:space="preserve">
rev0 = 22.32 KT
rev1 = 16.72 KT GC ปรับลดเนื่องจากโยกไปให้ HMC
rev2 = 22.32 KT GC โยก vol คืนมาจาก HMC
rev3 = 16.74 KT GC โยก Vol ไปให้ HMC
rev4 = 16.82 KT GC ปรับเพิ่ม</t>
        </r>
      </text>
    </comment>
    <comment ref="AF105" authorId="0" shapeId="0" xr:uid="{D1036BE1-1EAF-FB41-BAFF-2E366DBAE9CE}">
      <text>
        <r>
          <rPr>
            <b/>
            <sz val="9"/>
            <color indexed="81"/>
            <rFont val="Tahoma"/>
            <family val="2"/>
          </rPr>
          <t>Quantumuser:</t>
        </r>
        <r>
          <rPr>
            <sz val="9"/>
            <color indexed="81"/>
            <rFont val="Tahoma"/>
            <family val="2"/>
          </rPr>
          <t xml:space="preserve">
Oleflex SD Aug'20 -Sep'20</t>
        </r>
      </text>
    </comment>
    <comment ref="AG105" authorId="0" shapeId="0" xr:uid="{C78F2F09-8D9E-D94C-AF28-FC672656EE2D}">
      <text>
        <r>
          <rPr>
            <b/>
            <sz val="9"/>
            <color indexed="81"/>
            <rFont val="Tahoma"/>
            <family val="2"/>
          </rPr>
          <t>Quantumuser:</t>
        </r>
        <r>
          <rPr>
            <sz val="9"/>
            <color indexed="81"/>
            <rFont val="Tahoma"/>
            <family val="2"/>
          </rPr>
          <t xml:space="preserve">
Oleflex SD Aug'20 -Sep'20
BZ 20.7259301179628 KT
Rev0 = 21.6 KT</t>
        </r>
      </text>
    </comment>
    <comment ref="AH105" authorId="0" shapeId="0" xr:uid="{F9F458A6-5EC9-4147-B586-5939E8C5FB74}">
      <text>
        <r>
          <rPr>
            <b/>
            <sz val="9"/>
            <color rgb="FF000000"/>
            <rFont val="Tahoma"/>
            <family val="2"/>
          </rPr>
          <t>Quantumuser:</t>
        </r>
        <r>
          <rPr>
            <sz val="9"/>
            <color rgb="FF000000"/>
            <rFont val="Tahoma"/>
            <family val="2"/>
          </rPr>
          <t xml:space="preserve">
</t>
        </r>
        <r>
          <rPr>
            <sz val="9"/>
            <color rgb="FF000000"/>
            <rFont val="Tahoma"/>
            <family val="2"/>
          </rPr>
          <t xml:space="preserve">Rev0 = 22.32
</t>
        </r>
        <r>
          <rPr>
            <sz val="9"/>
            <color rgb="FF000000"/>
            <rFont val="Tahoma"/>
            <family val="2"/>
          </rPr>
          <t xml:space="preserve">rev1 =17.11 Gc </t>
        </r>
        <r>
          <rPr>
            <sz val="9"/>
            <color rgb="FF000000"/>
            <rFont val="Tahoma"/>
            <family val="2"/>
          </rPr>
          <t>ให้</t>
        </r>
        <r>
          <rPr>
            <sz val="9"/>
            <color rgb="FF000000"/>
            <rFont val="Tahoma"/>
            <family val="2"/>
          </rPr>
          <t xml:space="preserve"> AC</t>
        </r>
      </text>
    </comment>
    <comment ref="AI105" authorId="0" shapeId="0" xr:uid="{48C552A1-F637-3F42-8778-892A986A23E8}">
      <text>
        <r>
          <rPr>
            <b/>
            <sz val="9"/>
            <color rgb="FF000000"/>
            <rFont val="Tahoma"/>
            <family val="2"/>
          </rPr>
          <t>Quantumuser:</t>
        </r>
        <r>
          <rPr>
            <sz val="9"/>
            <color rgb="FF000000"/>
            <rFont val="Tahoma"/>
            <family val="2"/>
          </rPr>
          <t xml:space="preserve">
</t>
        </r>
        <r>
          <rPr>
            <sz val="9"/>
            <color rgb="FF000000"/>
            <rFont val="Tahoma"/>
            <family val="2"/>
          </rPr>
          <t xml:space="preserve">Rev0 =21.6
</t>
        </r>
        <r>
          <rPr>
            <sz val="9"/>
            <color rgb="FF000000"/>
            <rFont val="Tahoma"/>
            <family val="2"/>
          </rPr>
          <t>Rev1 = 18.00 GSP prd drop</t>
        </r>
      </text>
    </comment>
    <comment ref="AJ105" authorId="0" shapeId="0" xr:uid="{0CBDE12A-3FF6-4A4B-86C4-212728BEEDDD}">
      <text>
        <r>
          <rPr>
            <b/>
            <sz val="9"/>
            <color indexed="81"/>
            <rFont val="Tahoma"/>
            <family val="2"/>
          </rPr>
          <t xml:space="preserve">Quantumuser:
</t>
        </r>
        <r>
          <rPr>
            <sz val="9"/>
            <color indexed="81"/>
            <rFont val="Tahoma"/>
            <family val="2"/>
          </rPr>
          <t xml:space="preserve"> 22.32 -&gt; 13</t>
        </r>
      </text>
    </comment>
    <comment ref="BC105" authorId="0" shapeId="0" xr:uid="{1442E209-5C10-0143-BFA6-AE6E9E7B53AC}">
      <text>
        <r>
          <rPr>
            <b/>
            <sz val="9"/>
            <color indexed="81"/>
            <rFont val="Tahoma"/>
            <family val="2"/>
          </rPr>
          <t>Quantumuser:</t>
        </r>
        <r>
          <rPr>
            <sz val="9"/>
            <color indexed="81"/>
            <rFont val="Tahoma"/>
            <family val="2"/>
          </rPr>
          <t xml:space="preserve">
Est. OIP run portion</t>
        </r>
      </text>
    </comment>
    <comment ref="R106" authorId="3" shapeId="0" xr:uid="{1508BC31-DB58-CC42-BF59-17BB7C643F81}">
      <text>
        <r>
          <rPr>
            <b/>
            <sz val="9"/>
            <color indexed="81"/>
            <rFont val="Tahoma"/>
            <family val="2"/>
          </rPr>
          <t>Windows User:</t>
        </r>
        <r>
          <rPr>
            <sz val="9"/>
            <color indexed="81"/>
            <rFont val="Tahoma"/>
            <family val="2"/>
          </rPr>
          <t xml:space="preserve">
rev0 =32
rev1 = 30 GC ขอลด เนื่องจาก ขายไม่ออก ของล้น</t>
        </r>
      </text>
    </comment>
    <comment ref="T106" authorId="3" shapeId="0" xr:uid="{1DC940B4-4480-D843-B5C1-B118A8188291}">
      <text>
        <r>
          <rPr>
            <b/>
            <sz val="9"/>
            <color indexed="81"/>
            <rFont val="Tahoma"/>
            <family val="2"/>
          </rPr>
          <t>Windows User:</t>
        </r>
        <r>
          <rPr>
            <sz val="9"/>
            <color indexed="81"/>
            <rFont val="Tahoma"/>
            <family val="2"/>
          </rPr>
          <t xml:space="preserve">
rev0 = 31.25
rev1 = 38.75 GC ขอเพิ่ม ชดชเย C2
rev2 = 36 GC ขอลด เพราะwe got additional ethane supply from your side from 197KT to 198KT, so we would like your support to reduce LPG from 38.75KT to 36KT krub.
</t>
        </r>
      </text>
    </comment>
    <comment ref="U106" authorId="0" shapeId="0" xr:uid="{E3731649-6B0C-C246-A63C-5B97D9087FCB}">
      <text>
        <r>
          <rPr>
            <b/>
            <sz val="9"/>
            <color indexed="81"/>
            <rFont val="Tahoma"/>
            <family val="2"/>
          </rPr>
          <t>Quantumuser:
rev0 = 32.5
rev1 = 31.5 GC ขอลดรับ เนื่องจากต้องการ  own use Light Naphtha ตาม economic decision
rev2 = 13 KT
rev3 = 22.5 KT เนื่องจาก GSP C2 compo ลดลง จาก 201 KT เป็น 197 KT
rev4 = 24.5 GC ขอเพิ่ม เนื่องจาก GSP C2 compo ลดลง จาก 197 KT เป็น 195 KT
rev5 = 20.5 GC ลดรับ เนื่องจาก GSP C2 compo สูงกว่าแผน</t>
        </r>
      </text>
    </comment>
    <comment ref="V106" authorId="3" shapeId="0" xr:uid="{CA7A51B1-5276-1449-84C2-C861A68A009E}">
      <text>
        <r>
          <rPr>
            <b/>
            <sz val="9"/>
            <color indexed="81"/>
            <rFont val="Tahoma"/>
            <family val="2"/>
          </rPr>
          <t>Windows User:</t>
        </r>
        <r>
          <rPr>
            <sz val="9"/>
            <color indexed="81"/>
            <rFont val="Tahoma"/>
            <family val="2"/>
          </rPr>
          <t xml:space="preserve">
25
</t>
        </r>
      </text>
    </comment>
    <comment ref="W106" authorId="3" shapeId="0" xr:uid="{CC77ABBF-33A0-D142-BFED-5130D90888EC}">
      <text>
        <r>
          <rPr>
            <b/>
            <sz val="9"/>
            <color indexed="81"/>
            <rFont val="Tahoma"/>
            <family val="2"/>
          </rPr>
          <t>Windows User:</t>
        </r>
        <r>
          <rPr>
            <sz val="9"/>
            <color indexed="81"/>
            <rFont val="Tahoma"/>
            <family val="2"/>
          </rPr>
          <t xml:space="preserve">
ก่อนเกิดเหต GSP5 = 18.5 KT
 </t>
        </r>
      </text>
    </comment>
    <comment ref="X106" authorId="3" shapeId="0" xr:uid="{CA762916-3569-E94D-87DD-0572B99437D3}">
      <text>
        <r>
          <rPr>
            <b/>
            <sz val="9"/>
            <color indexed="81"/>
            <rFont val="Tahoma"/>
            <family val="2"/>
          </rPr>
          <t>Windows User:</t>
        </r>
        <r>
          <rPr>
            <sz val="9"/>
            <color indexed="81"/>
            <rFont val="Tahoma"/>
            <family val="2"/>
          </rPr>
          <t xml:space="preserve">
ก่อนเกิดเหต GSP5 = 19 KT
rev1 = 22 KT GSP5 21 ม.ค. 63
rev2 = 27 KT GSP5 9 ม.ค. 63
rev3 = 29.5 HMC ไฟไหม้</t>
        </r>
      </text>
    </comment>
    <comment ref="Y106" authorId="3" shapeId="0" xr:uid="{9B5FD804-5AF4-6740-B537-D2964031039F}">
      <text>
        <r>
          <rPr>
            <b/>
            <sz val="9"/>
            <color indexed="81"/>
            <rFont val="Tahoma"/>
            <family val="2"/>
          </rPr>
          <t>Windows User:</t>
        </r>
        <r>
          <rPr>
            <sz val="9"/>
            <color indexed="81"/>
            <rFont val="Tahoma"/>
            <family val="2"/>
          </rPr>
          <t xml:space="preserve">
rev0 = 34.1
rev1 = 33.1 GC แจ้ง drop -1 KT โดยยังอยู่ใน 3%</t>
        </r>
      </text>
    </comment>
    <comment ref="Z106" authorId="3" shapeId="0" xr:uid="{A2E1EAD8-6A2C-184B-9ED9-E05262C93BFA}">
      <text>
        <r>
          <rPr>
            <b/>
            <sz val="9"/>
            <color indexed="81"/>
            <rFont val="Tahoma"/>
            <family val="2"/>
          </rPr>
          <t>Windows User:</t>
        </r>
        <r>
          <rPr>
            <sz val="9"/>
            <color indexed="81"/>
            <rFont val="Tahoma"/>
            <family val="2"/>
          </rPr>
          <t xml:space="preserve">
rev0 = 25
rev1 = 20 KT GC ขอลดเนื่องจาก GSP ผลิต C2 ได้เพิ่มขึ้น</t>
        </r>
      </text>
    </comment>
    <comment ref="AA106" authorId="3" shapeId="0" xr:uid="{BAC9482A-9542-2A4F-8CDC-702F273AFC39}">
      <text>
        <r>
          <rPr>
            <b/>
            <sz val="9"/>
            <color indexed="81"/>
            <rFont val="Tahoma"/>
            <family val="2"/>
          </rPr>
          <t>Windows User:</t>
        </r>
        <r>
          <rPr>
            <sz val="9"/>
            <color indexed="81"/>
            <rFont val="Tahoma"/>
            <family val="2"/>
          </rPr>
          <t xml:space="preserve">
rev0 = 31.5
rev1 = 32.5 เนื่องจาก GC ลดรับ C3 1 KT จึงรับ LPG เพิ่ม 1 KT
</t>
        </r>
      </text>
    </comment>
    <comment ref="AB106" authorId="3" shapeId="0" xr:uid="{EF3F77A5-8BA5-0C44-81F3-95B02A119F12}">
      <text>
        <r>
          <rPr>
            <b/>
            <sz val="9"/>
            <color indexed="81"/>
            <rFont val="Tahoma"/>
            <family val="2"/>
          </rPr>
          <t>Windows User:</t>
        </r>
        <r>
          <rPr>
            <sz val="9"/>
            <color indexed="81"/>
            <rFont val="Tahoma"/>
            <family val="2"/>
          </rPr>
          <t xml:space="preserve">
rev0 = 32.904
rev1 = 33.5 GC ปรับเพิ่มเนื่องจาก GSP5 แจ้งแผน TD 50% กระทันหันในวันที่ 19 - 28 เม.ย. 64 
rev2 = 25.4 KT วันที่ 14 เม.ย. 64 GC แจ้งเหตุไฟฟ้าขัดข้อง จึงลดรับ LPG
rev3 = 24 KT เนื่องจาก ไฟฟ้าดับเมื่อวันที่ 20 Apr (GC official)</t>
        </r>
      </text>
    </comment>
    <comment ref="AC106" authorId="3" shapeId="0" xr:uid="{CA720FA5-FDBA-C24E-A9BF-2A4E05048694}">
      <text>
        <r>
          <rPr>
            <b/>
            <sz val="9"/>
            <color indexed="81"/>
            <rFont val="Tahoma"/>
            <family val="2"/>
          </rPr>
          <t>Windows User:</t>
        </r>
        <r>
          <rPr>
            <sz val="9"/>
            <color indexed="81"/>
            <rFont val="Tahoma"/>
            <family val="2"/>
          </rPr>
          <t xml:space="preserve">
rev0 = 37.442 KT
rev1 = 42.4 KT เนื่องจาก GC need LPG 50 KT
rev2 = 40 KT GC ปรับลด จาก OLE2 quencch tower leak
rev3 = 39 KT GC ปรับลด จาก OLE2 quencch tower leak</t>
        </r>
      </text>
    </comment>
    <comment ref="AD106" authorId="3" shapeId="0" xr:uid="{FABFCDE4-7C48-0545-BAAD-2507178E0D89}">
      <text>
        <r>
          <rPr>
            <b/>
            <sz val="9"/>
            <color indexed="81"/>
            <rFont val="Tahoma"/>
            <family val="2"/>
          </rPr>
          <t>Windows User:</t>
        </r>
        <r>
          <rPr>
            <sz val="9"/>
            <color indexed="81"/>
            <rFont val="Tahoma"/>
            <family val="2"/>
          </rPr>
          <t xml:space="preserve">
rev0 = 38.032
rev1 = 41.279 GSP ต้องการขายเพิ่ม ลด inven</t>
        </r>
      </text>
    </comment>
    <comment ref="AE106" authorId="3" shapeId="0" xr:uid="{535C1B24-61A9-8641-82C4-F4712202C967}">
      <text>
        <r>
          <rPr>
            <b/>
            <sz val="9"/>
            <color indexed="81"/>
            <rFont val="Tahoma"/>
            <family val="2"/>
          </rPr>
          <t xml:space="preserve">Windows User:
</t>
        </r>
        <r>
          <rPr>
            <sz val="9"/>
            <color indexed="81"/>
            <rFont val="Tahoma"/>
            <family val="2"/>
          </rPr>
          <t>rev0 = 79.12
rev1 = 76.668 GC ขอปรับลด
rev2 = 78.68 GSP เสนอขายเพิ่ม และ GC รับ
rev3 = 78.668 GC ปรับ
rev4 = 77.689PTT ไม่ไหวช่วงต้นเดือนก่อนเรือเข้า import มี่ให้ดึงเพิ่มแล้วเลยขอลดส่ง (ยังไม่ Official ปรับแผน)</t>
        </r>
      </text>
    </comment>
    <comment ref="AF106" authorId="0" shapeId="0" xr:uid="{2C516FF9-334B-354F-B6CC-E40EFA51AF69}">
      <text>
        <r>
          <rPr>
            <b/>
            <sz val="9"/>
            <color indexed="81"/>
            <rFont val="Tahoma"/>
            <family val="2"/>
          </rPr>
          <t>Quantumuser:</t>
        </r>
        <r>
          <rPr>
            <sz val="9"/>
            <color indexed="81"/>
            <rFont val="Tahoma"/>
            <family val="2"/>
          </rPr>
          <t xml:space="preserve">
Rev0 = 43.76 KT
Rev1 = 43.781 KT GC ขอปรับ
rev2 = 41.754 GC ขอลด 
rev3 = คาดการ gc ต้องมาขอทดแทน c2</t>
        </r>
      </text>
    </comment>
    <comment ref="AG106" authorId="0" shapeId="0" xr:uid="{8629C0FA-A3B4-1945-B650-ED56B8D0B0C7}">
      <text>
        <r>
          <rPr>
            <b/>
            <sz val="9"/>
            <color indexed="81"/>
            <rFont val="Tahoma"/>
            <family val="2"/>
          </rPr>
          <t>Quantumuser:</t>
        </r>
        <r>
          <rPr>
            <sz val="9"/>
            <color indexed="81"/>
            <rFont val="Tahoma"/>
            <family val="2"/>
          </rPr>
          <t xml:space="preserve">
rev0 44.96
rev1 = 37.96 GC ขอลด PTT เลยไปเพิ่ม 
rev2 = 46.6KT GC ขอชดเชย C2 aug (รอ firm)</t>
        </r>
      </text>
    </comment>
    <comment ref="AH106" authorId="0" shapeId="0" xr:uid="{28EC6C8B-4D43-4C44-B075-D93D69E4989A}">
      <text>
        <r>
          <rPr>
            <b/>
            <sz val="9"/>
            <color indexed="81"/>
            <rFont val="Tahoma"/>
            <family val="2"/>
          </rPr>
          <t>Quantumuser:</t>
        </r>
        <r>
          <rPr>
            <sz val="9"/>
            <color indexed="81"/>
            <rFont val="Tahoma"/>
            <family val="2"/>
          </rPr>
          <t xml:space="preserve">
46.626
rev0 = 30KT
rev1 = 25.8KT GSP short supply จาก JDA และ GC อยากลดรับจาก ethylene emergency S/D เลยให้ลด 1-8 Oct แต่สุดท้าย GC ลดได้ 1-15
rev2 = 24 GC รายวันลด จากที่ ptt ขอลด oct- 11 Nov 4KT</t>
        </r>
      </text>
    </comment>
    <comment ref="AI106" authorId="0" shapeId="0" xr:uid="{CA28CF74-1309-9246-A55D-9E8ED2673E41}">
      <text>
        <r>
          <rPr>
            <b/>
            <sz val="9"/>
            <color indexed="81"/>
            <rFont val="Tahoma"/>
            <family val="2"/>
          </rPr>
          <t>Quantumuser:</t>
        </r>
        <r>
          <rPr>
            <sz val="9"/>
            <color indexed="81"/>
            <rFont val="Tahoma"/>
            <family val="2"/>
          </rPr>
          <t xml:space="preserve">
Rev 0=20 GC ขอรับน้อย
Rev 1 =18.8 GC อยากลด แล้ว supply ก็ Short (oct - 11Nov -4)
</t>
        </r>
      </text>
    </comment>
    <comment ref="AJ106" authorId="0" shapeId="0" xr:uid="{6C3BB19D-7891-794C-9264-D7AC37446E4A}">
      <text>
        <r>
          <rPr>
            <b/>
            <sz val="9"/>
            <color indexed="81"/>
            <rFont val="Tahoma"/>
            <family val="2"/>
          </rPr>
          <t>Quantumuser:</t>
        </r>
        <r>
          <rPr>
            <sz val="9"/>
            <color indexed="81"/>
            <rFont val="Tahoma"/>
            <family val="2"/>
          </rPr>
          <t xml:space="preserve">
GC ขอรับน้อย</t>
        </r>
      </text>
    </comment>
    <comment ref="C107" authorId="0" shapeId="0" xr:uid="{48DE9366-479B-4949-AD15-5A2B600E488B}">
      <text>
        <r>
          <rPr>
            <sz val="11"/>
            <color theme="0"/>
            <rFont val="Tahoma"/>
            <family val="2"/>
            <scheme val="minor"/>
          </rPr>
          <t xml:space="preserve">Quantumuser:
</t>
        </r>
        <r>
          <rPr>
            <sz val="11"/>
            <color theme="0"/>
            <rFont val="Tahoma"/>
            <family val="2"/>
            <scheme val="minor"/>
          </rPr>
          <t>ต้องรับ</t>
        </r>
        <r>
          <rPr>
            <sz val="11"/>
            <color theme="0"/>
            <rFont val="Tahoma"/>
            <family val="2"/>
            <scheme val="minor"/>
          </rPr>
          <t xml:space="preserve"> 14-15 T/hr</t>
        </r>
      </text>
    </comment>
    <comment ref="Z107" authorId="3" shapeId="0" xr:uid="{BCBFCDFD-EDC7-3E42-84AC-805D0BC265DA}">
      <text>
        <r>
          <rPr>
            <b/>
            <sz val="9"/>
            <color indexed="81"/>
            <rFont val="Tahoma"/>
            <family val="2"/>
          </rPr>
          <t>Windows User:</t>
        </r>
        <r>
          <rPr>
            <sz val="9"/>
            <color indexed="81"/>
            <rFont val="Tahoma"/>
            <family val="2"/>
          </rPr>
          <t xml:space="preserve">
rev0 =10.8
rev1 = 9 SCG แจ้งปรับลด เนื่องจาก uncertainty of the commissioning and start-up </t>
        </r>
      </text>
    </comment>
    <comment ref="AB107" authorId="3" shapeId="0" xr:uid="{44B1877F-AF03-A54F-9589-B0C3D10F9AD1}">
      <text>
        <r>
          <rPr>
            <b/>
            <sz val="9"/>
            <color indexed="81"/>
            <rFont val="Tahoma"/>
            <family val="2"/>
          </rPr>
          <t>Windows User:</t>
        </r>
        <r>
          <rPr>
            <sz val="9"/>
            <color indexed="81"/>
            <rFont val="Tahoma"/>
            <family val="2"/>
          </rPr>
          <t xml:space="preserve">
MOC ทางท่อ</t>
        </r>
      </text>
    </comment>
    <comment ref="AC107" authorId="3" shapeId="0" xr:uid="{31416719-E2D6-334C-BB57-D73FA19B20A1}">
      <text>
        <r>
          <rPr>
            <b/>
            <sz val="9"/>
            <color indexed="81"/>
            <rFont val="Tahoma"/>
            <family val="2"/>
          </rPr>
          <t>Windows User:</t>
        </r>
        <r>
          <rPr>
            <sz val="9"/>
            <color indexed="81"/>
            <rFont val="Tahoma"/>
            <family val="2"/>
          </rPr>
          <t xml:space="preserve">
rev0 = 12.312
rev1 = 10.5 SCG ลดรับ เนื่องจาก GSP จัดส่ง C2 ให้ในเดือน Apr มากขึ้น GSP จึงขอให้ลดการรับ C3 in May GSP จะได้ไม่ต้อง Split cargo</t>
        </r>
      </text>
    </comment>
    <comment ref="AE107" authorId="0" shapeId="0" xr:uid="{3BF9C6DE-9941-8845-B2B2-F2383045CA74}">
      <text>
        <r>
          <rPr>
            <b/>
            <sz val="9"/>
            <color indexed="81"/>
            <rFont val="Tahoma"/>
            <family val="2"/>
          </rPr>
          <t>Quantumuser:</t>
        </r>
        <r>
          <rPr>
            <sz val="9"/>
            <color indexed="81"/>
            <rFont val="Tahoma"/>
            <family val="2"/>
          </rPr>
          <t xml:space="preserve">
GSP6 TA 
ดังนั้นส่งให้ทางเรือแทน ปลายเดือน มิ.ย. 64 = 18 KT ตาม Demand SCG
</t>
        </r>
      </text>
    </comment>
    <comment ref="AG107" authorId="0" shapeId="0" xr:uid="{B35ACC26-0FBE-6C45-BD4F-A4653454275F}">
      <text>
        <r>
          <rPr>
            <b/>
            <sz val="9"/>
            <color indexed="81"/>
            <rFont val="Tahoma"/>
            <family val="2"/>
          </rPr>
          <t>Quantumuser:</t>
        </r>
        <r>
          <rPr>
            <sz val="9"/>
            <color indexed="81"/>
            <rFont val="Tahoma"/>
            <family val="2"/>
          </rPr>
          <t xml:space="preserve">
Rev0 =6.029
Rev1 = 4.991 ROC nom</t>
        </r>
      </text>
    </comment>
    <comment ref="AH107" authorId="0" shapeId="0" xr:uid="{99CACAF6-304B-6F4E-A4D2-8123C3A45BDB}">
      <text>
        <r>
          <rPr>
            <b/>
            <sz val="9"/>
            <color indexed="81"/>
            <rFont val="Tahoma"/>
            <family val="2"/>
          </rPr>
          <t>Quantumuser:</t>
        </r>
        <r>
          <rPr>
            <sz val="9"/>
            <color indexed="81"/>
            <rFont val="Tahoma"/>
            <family val="2"/>
          </rPr>
          <t xml:space="preserve">
Rev0 =10.229
Rev1 = 6.7
 ROC nom</t>
        </r>
      </text>
    </comment>
    <comment ref="AI107" authorId="0" shapeId="0" xr:uid="{CE5161F0-BEF8-9B4A-B39E-B965036BEA89}">
      <text>
        <r>
          <rPr>
            <b/>
            <sz val="9"/>
            <color indexed="81"/>
            <rFont val="Tahoma"/>
            <family val="2"/>
          </rPr>
          <t>Quantumuser:</t>
        </r>
        <r>
          <rPr>
            <sz val="9"/>
            <color indexed="81"/>
            <rFont val="Tahoma"/>
            <family val="2"/>
          </rPr>
          <t xml:space="preserve">
Rev0 =9.4
rev1 = 8.55 ROC ปรับลด</t>
        </r>
      </text>
    </comment>
    <comment ref="AJ107" authorId="0" shapeId="0" xr:uid="{0A45E92C-6E94-8349-807A-FDE9C4DF8A25}">
      <text>
        <r>
          <rPr>
            <b/>
            <sz val="9"/>
            <color indexed="81"/>
            <rFont val="Tahoma"/>
            <family val="2"/>
          </rPr>
          <t>Quantumuser:</t>
        </r>
        <r>
          <rPr>
            <sz val="9"/>
            <color indexed="81"/>
            <rFont val="Tahoma"/>
            <family val="2"/>
          </rPr>
          <t xml:space="preserve">
Rev0=13.784
Rev1 = 10.8 SCG demand drop</t>
        </r>
      </text>
    </comment>
    <comment ref="AH108" authorId="0" shapeId="0" xr:uid="{E387E49B-A7A1-B74A-8A07-16BD3DBA5B54}">
      <text>
        <r>
          <rPr>
            <b/>
            <sz val="9"/>
            <color indexed="81"/>
            <rFont val="Tahoma"/>
            <family val="2"/>
          </rPr>
          <t>Quantumuser:</t>
        </r>
        <r>
          <rPr>
            <sz val="9"/>
            <color indexed="81"/>
            <rFont val="Tahoma"/>
            <family val="2"/>
          </rPr>
          <t xml:space="preserve">
6.831
</t>
        </r>
      </text>
    </comment>
    <comment ref="AI108" authorId="0" shapeId="0" xr:uid="{2123CEB1-C519-C44C-ACCD-F4B2BCD47776}">
      <text>
        <r>
          <rPr>
            <b/>
            <sz val="9"/>
            <color indexed="81"/>
            <rFont val="Tahoma"/>
            <family val="2"/>
          </rPr>
          <t>Quantumuser:</t>
        </r>
        <r>
          <rPr>
            <sz val="9"/>
            <color indexed="81"/>
            <rFont val="Tahoma"/>
            <family val="2"/>
          </rPr>
          <t xml:space="preserve">
Rev0 =2.5
Rev1 = 2.25 SCG demand drop
</t>
        </r>
      </text>
    </comment>
    <comment ref="E109" authorId="0" shapeId="0" xr:uid="{CBF0F9F3-4D61-3B45-9AB8-41691B87C1BE}">
      <text>
        <r>
          <rPr>
            <b/>
            <sz val="9"/>
            <color indexed="81"/>
            <rFont val="Tahoma"/>
            <family val="2"/>
          </rPr>
          <t>Quantumuser:</t>
        </r>
        <r>
          <rPr>
            <sz val="9"/>
            <color indexed="81"/>
            <rFont val="Tahoma"/>
            <family val="2"/>
          </rPr>
          <t xml:space="preserve">
rev0 = 19
rev1 = 22 ROC ขอปรับเพิ่ม โดยโยกมาจากเดือน มิ.ย. เพราะเกรงว่าจะรับ 35 kt ในเดือน Jun ไม่ไหว</t>
        </r>
      </text>
    </comment>
    <comment ref="F109" authorId="0" shapeId="0" xr:uid="{26A0B716-1158-6846-BAE6-723F51057B41}">
      <text>
        <r>
          <rPr>
            <b/>
            <sz val="9"/>
            <color indexed="81"/>
            <rFont val="Tahoma"/>
            <family val="2"/>
          </rPr>
          <t>Quantumuser:</t>
        </r>
        <r>
          <rPr>
            <sz val="9"/>
            <color indexed="81"/>
            <rFont val="Tahoma"/>
            <family val="2"/>
          </rPr>
          <t xml:space="preserve">
rev0 = 35
rev1 = 32 โยกไปรับเดือน พค. ก่อน 3 KT
</t>
        </r>
      </text>
    </comment>
    <comment ref="G109" authorId="3" shapeId="0" xr:uid="{7C496A36-51DF-284A-BFD3-0A656523503A}">
      <text>
        <r>
          <rPr>
            <b/>
            <sz val="9"/>
            <color indexed="81"/>
            <rFont val="Tahoma"/>
            <family val="2"/>
          </rPr>
          <t>Windows User:</t>
        </r>
        <r>
          <rPr>
            <sz val="9"/>
            <color indexed="81"/>
            <rFont val="Tahoma"/>
            <family val="2"/>
          </rPr>
          <t xml:space="preserve">
rev0 = 19 
rev1= 15 KT cause GSP3 trip</t>
        </r>
      </text>
    </comment>
    <comment ref="L109" authorId="0" shapeId="0" xr:uid="{CC23140C-3C0D-0F47-9E64-546D265C9FEA}">
      <text>
        <r>
          <rPr>
            <b/>
            <sz val="9"/>
            <color indexed="81"/>
            <rFont val="Tahoma"/>
            <family val="2"/>
          </rPr>
          <t>Quantumuser:</t>
        </r>
        <r>
          <rPr>
            <sz val="9"/>
            <color indexed="81"/>
            <rFont val="Tahoma"/>
            <family val="2"/>
          </rPr>
          <t xml:space="preserve">
rev0 = 6 KT
rev1 = 8 KT (GSP ขายเพิ่ม เพื่อ balance ถัง)
rev2 = 13 KT GSP ขายเพิ่ม 5 KT เนื่องจากลูกค้า GC, HMC, PTTAC blackout เมื่อวันที่ 23 ธ.ค. 62 จึงต้องขายเพิ่ม เพื่อรักษา inv รายวัน
</t>
        </r>
      </text>
    </comment>
    <comment ref="P109" authorId="0" shapeId="0" xr:uid="{7EC00734-0339-314B-94B5-8B034C072C96}">
      <text>
        <r>
          <rPr>
            <b/>
            <sz val="9"/>
            <color indexed="81"/>
            <rFont val="Tahoma"/>
            <family val="2"/>
          </rPr>
          <t>Quantumuser:</t>
        </r>
        <r>
          <rPr>
            <sz val="9"/>
            <color indexed="81"/>
            <rFont val="Tahoma"/>
            <family val="2"/>
          </rPr>
          <t xml:space="preserve">
roc base 12 kt
roc spot 9 kt (MOP’J -80)</t>
        </r>
      </text>
    </comment>
    <comment ref="Q109" authorId="0" shapeId="0" xr:uid="{F9C4CB1B-1CFF-414A-83AB-22722C9B2284}">
      <text>
        <r>
          <rPr>
            <b/>
            <sz val="9"/>
            <color indexed="81"/>
            <rFont val="Tahoma"/>
            <family val="2"/>
          </rPr>
          <t>Quantumuser:</t>
        </r>
        <r>
          <rPr>
            <sz val="9"/>
            <color indexed="81"/>
            <rFont val="Tahoma"/>
            <family val="2"/>
          </rPr>
          <t xml:space="preserve">
MOC TA May- Jun'20
roc spot 6 kt (mop,j -80)
rev0 = 0 KT
rev1 = 6 KT GSP ขายเพิ่ม
rev2 = 0 KT โยกไป Oct'20
</t>
        </r>
      </text>
    </comment>
    <comment ref="R109" authorId="0" shapeId="0" xr:uid="{23384EB2-1030-884E-AB35-A99B4D9393E6}">
      <text>
        <r>
          <rPr>
            <b/>
            <sz val="9"/>
            <color indexed="81"/>
            <rFont val="Tahoma"/>
            <family val="2"/>
          </rPr>
          <t>Quantumuser:</t>
        </r>
        <r>
          <rPr>
            <sz val="9"/>
            <color indexed="81"/>
            <rFont val="Tahoma"/>
            <family val="2"/>
          </rPr>
          <t xml:space="preserve">
MOC TA May- Jun'20
</t>
        </r>
      </text>
    </comment>
    <comment ref="V109" authorId="3" shapeId="0" xr:uid="{C436654D-4C78-1A40-B8DF-4A0045856380}">
      <text>
        <r>
          <rPr>
            <b/>
            <sz val="9"/>
            <color indexed="81"/>
            <rFont val="Tahoma"/>
            <family val="2"/>
          </rPr>
          <t>Windows User:</t>
        </r>
        <r>
          <rPr>
            <sz val="9"/>
            <color indexed="81"/>
            <rFont val="Tahoma"/>
            <family val="2"/>
          </rPr>
          <t xml:space="preserve">
rev0 = 33.4 
rev1 = 39.4 KT โยกมาจากเดือน May +6 KT
MOC TA</t>
        </r>
      </text>
    </comment>
    <comment ref="W109" authorId="3" shapeId="0" xr:uid="{068C213B-F336-2240-9B0F-79F9EA4075CF}">
      <text>
        <r>
          <rPr>
            <b/>
            <sz val="9"/>
            <color indexed="81"/>
            <rFont val="Tahoma"/>
            <family val="2"/>
          </rPr>
          <t>Windows User:</t>
        </r>
        <r>
          <rPr>
            <sz val="9"/>
            <color indexed="81"/>
            <rFont val="Tahoma"/>
            <family val="2"/>
          </rPr>
          <t xml:space="preserve">
MOC TA</t>
        </r>
      </text>
    </comment>
    <comment ref="Z109" authorId="3" shapeId="0" xr:uid="{ECA3364E-676F-0147-A449-5576F7AD476D}">
      <text>
        <r>
          <rPr>
            <b/>
            <sz val="9"/>
            <color indexed="81"/>
            <rFont val="Tahoma"/>
            <family val="2"/>
          </rPr>
          <t>Windows User:</t>
        </r>
        <r>
          <rPr>
            <sz val="9"/>
            <color indexed="81"/>
            <rFont val="Tahoma"/>
            <family val="2"/>
          </rPr>
          <t xml:space="preserve">
17.6 KT เป็น Spot price : MOP'J-70</t>
        </r>
      </text>
    </comment>
    <comment ref="AB109" authorId="3" shapeId="0" xr:uid="{9F07D681-8BDD-A74C-9E65-454E002F93E8}">
      <text>
        <r>
          <rPr>
            <b/>
            <sz val="9"/>
            <color indexed="81"/>
            <rFont val="Tahoma"/>
            <family val="2"/>
          </rPr>
          <t>Windows User:</t>
        </r>
        <r>
          <rPr>
            <sz val="9"/>
            <color indexed="81"/>
            <rFont val="Tahoma"/>
            <family val="2"/>
          </rPr>
          <t xml:space="preserve">
rev0 = 23 KT
rev1 = 27.5 KT GSP เสนอขายเพิ่มที่ 4.5 KT (MOP'J-105) เพื่อให้ลด Feed น้อยลง
rev2 = 28.1 KT SCG ขอรับเพิ่ม</t>
        </r>
      </text>
    </comment>
    <comment ref="AC109" authorId="3" shapeId="0" xr:uid="{E04D6F97-97A3-3640-87EA-2327B65330CE}">
      <text>
        <r>
          <rPr>
            <b/>
            <sz val="9"/>
            <color indexed="81"/>
            <rFont val="Tahoma"/>
            <family val="2"/>
          </rPr>
          <t>Windows User:</t>
        </r>
        <r>
          <rPr>
            <sz val="9"/>
            <color indexed="81"/>
            <rFont val="Tahoma"/>
            <family val="2"/>
          </rPr>
          <t xml:space="preserve">
rev0 = 12 KT
rev1 = 28 KT GSP เสนอขายเพิ่มเพือ balance inv
rev2 = 29.5 KT SCG ขอซื้อเพิ่ม +1.5 KT (MOP'J-80)
rev3 = 30.8 KT SCG ขอซื้อเพิ่ม +1.3 KT (MOP'J-80)</t>
        </r>
      </text>
    </comment>
    <comment ref="AE109" authorId="3" shapeId="0" xr:uid="{13626D34-241D-7B4D-B1D7-FB662DF1B9CC}">
      <text>
        <r>
          <rPr>
            <b/>
            <sz val="9"/>
            <color indexed="81"/>
            <rFont val="Tahoma"/>
            <family val="2"/>
          </rPr>
          <t>Windows User:</t>
        </r>
        <r>
          <rPr>
            <sz val="9"/>
            <color indexed="81"/>
            <rFont val="Tahoma"/>
            <family val="2"/>
          </rPr>
          <t xml:space="preserve">
rev0 = 3 KT
rev1 = 0 KT เนื่องจาก SCG เตาเสีย ซ่อมเสร็จไม่ทัน
rev2= 6 KT SCG ขอซื้อเพิ่ม โดย GSP มี LPG Petro max 6 KT</t>
        </r>
      </text>
    </comment>
    <comment ref="AF109" authorId="0" shapeId="0" xr:uid="{12449133-B812-E745-9C7B-FDAFDD096897}">
      <text>
        <r>
          <rPr>
            <b/>
            <sz val="9"/>
            <color indexed="81"/>
            <rFont val="Tahoma"/>
            <family val="2"/>
          </rPr>
          <t>Quantumuser:</t>
        </r>
        <r>
          <rPr>
            <sz val="9"/>
            <color indexed="81"/>
            <rFont val="Tahoma"/>
            <family val="2"/>
          </rPr>
          <t xml:space="preserve">
rev0 = 3
rev1 = 5 GC ลด เลยขาย SCG เพิ่ม 
rev2= 9.6 AC HMC ลดรับ GSP ของสูงเลยเสนอขายราคา spot</t>
        </r>
      </text>
    </comment>
    <comment ref="AG109" authorId="0" shapeId="0" xr:uid="{60F8DA02-E375-BE4A-997A-D7A8AE0724C2}">
      <text>
        <r>
          <rPr>
            <b/>
            <sz val="9"/>
            <color indexed="81"/>
            <rFont val="Tahoma"/>
            <family val="2"/>
          </rPr>
          <t xml:space="preserve">Quantumuser:
</t>
        </r>
        <r>
          <rPr>
            <sz val="9"/>
            <color indexed="81"/>
            <rFont val="Tahoma"/>
            <family val="2"/>
          </rPr>
          <t>rev0 = 3KT
rev1 = 9.7KT gsp ต้องการขายเพิ่ม
rev2=18.2 AC HMC ลดรับ GSP ของสูงเลยเสนอขายราคา spot</t>
        </r>
      </text>
    </comment>
    <comment ref="AH109" authorId="0" shapeId="0" xr:uid="{EF3E969E-4D78-3442-A9C5-B05B6F85CCFF}">
      <text>
        <r>
          <rPr>
            <b/>
            <sz val="9"/>
            <color indexed="81"/>
            <rFont val="Tahoma"/>
            <family val="2"/>
          </rPr>
          <t>Quantumuser:</t>
        </r>
        <r>
          <rPr>
            <sz val="9"/>
            <color indexed="81"/>
            <rFont val="Tahoma"/>
            <family val="2"/>
          </rPr>
          <t xml:space="preserve">
update 19/07: Max 20KT</t>
        </r>
      </text>
    </comment>
    <comment ref="AI109" authorId="0" shapeId="0" xr:uid="{293BABFC-796F-1747-8179-D9F2A6FECAD3}">
      <text>
        <r>
          <rPr>
            <b/>
            <sz val="9"/>
            <color indexed="81"/>
            <rFont val="Tahoma"/>
            <family val="2"/>
          </rPr>
          <t>Quantumuser:</t>
        </r>
        <r>
          <rPr>
            <sz val="9"/>
            <color indexed="81"/>
            <rFont val="Tahoma"/>
            <family val="2"/>
          </rPr>
          <t xml:space="preserve">
Quantumuser:
Rev0 =16.7
</t>
        </r>
      </text>
    </comment>
    <comment ref="C110" authorId="0" shapeId="0" xr:uid="{75A36A16-D575-F245-858C-70C8C07830D5}">
      <text>
        <r>
          <rPr>
            <b/>
            <sz val="9"/>
            <color indexed="81"/>
            <rFont val="Tahoma"/>
            <family val="2"/>
          </rPr>
          <t>Quantumuser:</t>
        </r>
        <r>
          <rPr>
            <sz val="9"/>
            <color indexed="81"/>
            <rFont val="Tahoma"/>
            <family val="2"/>
          </rPr>
          <t xml:space="preserve">
980 per day -&gt; run 95%</t>
        </r>
      </text>
    </comment>
    <comment ref="G110" authorId="0" shapeId="0" xr:uid="{17C53175-54EA-7346-BACE-F90DA68A020F}">
      <text>
        <r>
          <rPr>
            <b/>
            <sz val="9"/>
            <color indexed="81"/>
            <rFont val="Tahoma"/>
            <family val="2"/>
          </rPr>
          <t xml:space="preserve">Quantumuser:
rev0  =27.8
rev1 = 24.5   HMC delay start up
</t>
        </r>
      </text>
    </comment>
    <comment ref="H110" authorId="0" shapeId="0" xr:uid="{9ABFC117-3303-2F40-8A7A-6D8D1643CF9D}">
      <text>
        <r>
          <rPr>
            <b/>
            <sz val="9"/>
            <color indexed="81"/>
            <rFont val="Tahoma"/>
            <family val="2"/>
          </rPr>
          <t>Quantumuser:</t>
        </r>
        <r>
          <rPr>
            <sz val="9"/>
            <color indexed="81"/>
            <rFont val="Tahoma"/>
            <family val="2"/>
          </rPr>
          <t xml:space="preserve">
rev0 = 34.1 
rev1 = 32.55 PDH have some technical problem at main compressor Aug-Sep'19 1,050 KT/day
rev2 = 28.563 HMC มีปัญหา ต้องลด load เพิ่มจาก 1,050 --&gt; 870 Ton/day
 (reduce PDH rate to 80% 10-31 Aug'19)
HMC PP Plant had an unplanned shutdown on last Sunday.  We restarted it in this morning but it had an unplanned shutdown again in this evening.
The propylene storage at PTT tank was full also.  As a result, we have to reduce PDH production in August.
rev3 = 27 KT  HMC มีปัญหา compressor
rev4 = 25 KT  HMC มีปัญหา compressor</t>
        </r>
      </text>
    </comment>
    <comment ref="I110" authorId="0" shapeId="0" xr:uid="{24320880-B525-B94C-9BED-FFD1F0589954}">
      <text>
        <r>
          <rPr>
            <b/>
            <sz val="9"/>
            <color indexed="81"/>
            <rFont val="Tahoma"/>
            <family val="2"/>
          </rPr>
          <t>Quantumuser:</t>
        </r>
        <r>
          <rPr>
            <sz val="9"/>
            <color indexed="81"/>
            <rFont val="Tahoma"/>
            <family val="2"/>
          </rPr>
          <t xml:space="preserve">
rev0 = 31.5 KT
rev1 = 27.6 KT HMC มีปัญหา compressor
rev2 = 26.737 KT HMC มีปัญหา compressor</t>
        </r>
      </text>
    </comment>
    <comment ref="J110" authorId="0" shapeId="0" xr:uid="{4E2D58FC-1434-DE47-AAED-2B9ACDFAFE58}">
      <text>
        <r>
          <rPr>
            <b/>
            <sz val="9"/>
            <color indexed="81"/>
            <rFont val="Tahoma"/>
            <family val="2"/>
          </rPr>
          <t>Quantumuser:</t>
        </r>
        <r>
          <rPr>
            <sz val="9"/>
            <color indexed="81"/>
            <rFont val="Tahoma"/>
            <family val="2"/>
          </rPr>
          <t xml:space="preserve">
rev0 = 32.55 KT
rev1 = 33.48 KT HMC run 100% @1,080 Ton/day</t>
        </r>
      </text>
    </comment>
    <comment ref="K110" authorId="0" shapeId="0" xr:uid="{1341DE8F-6A0E-FD42-A930-378EDB51E407}">
      <text>
        <r>
          <rPr>
            <b/>
            <sz val="9"/>
            <color indexed="81"/>
            <rFont val="Tahoma"/>
            <family val="2"/>
          </rPr>
          <t>Quantumuser:</t>
        </r>
        <r>
          <rPr>
            <sz val="9"/>
            <color indexed="81"/>
            <rFont val="Tahoma"/>
            <family val="2"/>
          </rPr>
          <t xml:space="preserve">
rev0 = 33 KT
rev1 = 32.4 KT HMC run 100% @1,080 Ton/day
rev2 = 31.632  KT HMC run 98% @1,060 Ton/day</t>
        </r>
      </text>
    </comment>
    <comment ref="L110" authorId="0" shapeId="0" xr:uid="{861B637D-633A-6D4E-ADB9-DBCB58AA67CA}">
      <text>
        <r>
          <rPr>
            <b/>
            <sz val="9"/>
            <color indexed="81"/>
            <rFont val="Tahoma"/>
            <family val="2"/>
          </rPr>
          <t>Quantumuser:</t>
        </r>
        <r>
          <rPr>
            <sz val="9"/>
            <color indexed="81"/>
            <rFont val="Tahoma"/>
            <family val="2"/>
          </rPr>
          <t xml:space="preserve">
HMC has planned to receive Propane at 1,060 Ton/day (98%) 
rev0 = 32.86 
rev1 = 29 KT HMC ขอปรับลดเนื่องจาก PDH plant lost power supply and had an emergency shutdown
rev2 = 23.6 KT HMC ขอปรับลดเนื่องจาก blackout</t>
        </r>
      </text>
    </comment>
    <comment ref="M110" authorId="0" shapeId="0" xr:uid="{916FDEF3-BB15-B645-8E13-348D3211E0D5}">
      <text>
        <r>
          <rPr>
            <b/>
            <sz val="9"/>
            <color indexed="81"/>
            <rFont val="Tahoma"/>
            <family val="2"/>
          </rPr>
          <t>Quantumuser
HMC has planned to receive Propane at 1,060 Ton/day (98%) เพื่อรักษา catalyst ใน reactor</t>
        </r>
      </text>
    </comment>
    <comment ref="N110" authorId="0" shapeId="0" xr:uid="{E453BC61-BC65-1142-A0EC-7FA2B8AA2800}">
      <text>
        <r>
          <rPr>
            <b/>
            <sz val="9"/>
            <color indexed="81"/>
            <rFont val="Tahoma"/>
            <family val="2"/>
          </rPr>
          <t>Quantumuser:</t>
        </r>
        <r>
          <rPr>
            <sz val="9"/>
            <color indexed="81"/>
            <rFont val="Tahoma"/>
            <family val="2"/>
          </rPr>
          <t xml:space="preserve">
HMC has planned to receive Propane at 1,060 Ton/day (98%) เพื่อรักษา catalyst ใน reactor
 HMC แจ้งว่าพบปัญหา critical ที่ equipment (ตัวตัดเม็ด) ที่ Line 3 จึงมีความจำเป็นที่ต้องลง Line 3 พร้อม PDH เพื่อเร่งแก้ปัญหาอย่างเร่งด่วนในช่วงวันที่ 28 กพ -16 มีค 63 
(ซึ่งเป็นระยะเวลาที่เร็วที่สุดที่จะะจัดหา Spare part )
**** เป็นการขอขยับเลื่อน Turnaround เร็วขึ้นจากแผนเดิม 18 วันในเดือนมิถุนายน 63 ****
Dec'19 = 30.74 KT
Jan'20 = 28.82 เนื่องจาก HMC เลื่อน TA จากดือน มิ.ย. 63 เป็น 28Feb-16Mar 
rev0 = 28.82
rev1 = 25.4 KT เนื่องจาก HMC ESD </t>
        </r>
      </text>
    </comment>
    <comment ref="O110" authorId="0" shapeId="0" xr:uid="{200FCBD7-FED7-7941-868B-113A6948AE9F}">
      <text>
        <r>
          <rPr>
            <b/>
            <sz val="9"/>
            <color indexed="81"/>
            <rFont val="Tahoma"/>
            <family val="2"/>
          </rPr>
          <t xml:space="preserve">Quantumuser
Dec'19 = 32.86 KT
Jan'20 = 18.52 เนื่องจาก HMC เลื่อน TA จากดือน มิ.ย. 63 เป็น 28Feb-16Mar 
rev0 = 18.52
rev1= 16.645 KT HMC ปรับลดเนื่องจาก step  start up 
</t>
        </r>
      </text>
    </comment>
    <comment ref="P110" authorId="0" shapeId="0" xr:uid="{0CF9DCE1-8B26-D141-BD86-9AAB722465BE}">
      <text>
        <r>
          <rPr>
            <b/>
            <sz val="9"/>
            <color indexed="81"/>
            <rFont val="Tahoma"/>
            <family val="2"/>
          </rPr>
          <t>Quantumuser
HMC has planned to receive Propane at 1,080 Ton/day (100%) เนื่องจากเปลี่ยน catalyst ใน reactor ใหม่แล้ว
rev0 32.4 KT
rev1 26.57 KT HMC ไม่ economic
rev2 24 KT HMC ไม่ economic</t>
        </r>
      </text>
    </comment>
    <comment ref="Q110" authorId="0" shapeId="0" xr:uid="{8B9BDC39-8B4A-D04A-B988-C48B80AF6E56}">
      <text>
        <r>
          <rPr>
            <b/>
            <sz val="9"/>
            <color indexed="81"/>
            <rFont val="Tahoma"/>
            <family val="2"/>
          </rPr>
          <t xml:space="preserve">Quantumuser
HMC has planned to receive Propane at 1,080 Ton/day (100%) เนื่องจากเปลี่ยน catalyst ใน reactor ใหม่แล้ว
rev0 = 24.8
rev1 = 23.184 HMC runเหลือ 75% เพราะ economic ราคาขาย propylene ไม่ ok
</t>
        </r>
      </text>
    </comment>
    <comment ref="R110" authorId="0" shapeId="0" xr:uid="{21677597-207D-0548-8453-508332CD85EE}">
      <text>
        <r>
          <rPr>
            <b/>
            <sz val="9"/>
            <color indexed="81"/>
            <rFont val="Tahoma"/>
            <family val="2"/>
          </rPr>
          <t xml:space="preserve">Quantumuser
HMC has planned to receive Propane at 1,080 Ton/day (100%) เนื่องจากเปลี่ยน catalyst ใน reactor ใหม่แล้ว
nom May 24
rev0 = 27.6
rev1 = 25.8
rev2 = 24.15 HMC แจ้งปรับลดจาก economic PP plant SD
rev3 = 22.482 HMC แจ้งปรับลดจาก PP plant SD
rev4 = 23.6 HMC ขอเพิ่ม
</t>
        </r>
      </text>
    </comment>
    <comment ref="S110" authorId="0" shapeId="0" xr:uid="{FD16FC5B-502F-3A4F-B08F-6853CD447143}">
      <text>
        <r>
          <rPr>
            <b/>
            <sz val="9"/>
            <color indexed="81"/>
            <rFont val="Tahoma"/>
            <family val="2"/>
          </rPr>
          <t xml:space="preserve">Quantumuser
rev0 =27
rev1 = 25.8
</t>
        </r>
      </text>
    </comment>
    <comment ref="U110" authorId="0" shapeId="0" xr:uid="{F74D29EE-6AA5-3E42-A4B9-1CAD39F40EAA}">
      <text>
        <r>
          <rPr>
            <b/>
            <sz val="9"/>
            <color indexed="81"/>
            <rFont val="Tahoma"/>
            <family val="2"/>
          </rPr>
          <t xml:space="preserve">rev0 = 31.8
rev1 = 30.3 </t>
        </r>
      </text>
    </comment>
    <comment ref="V110" authorId="0" shapeId="0" xr:uid="{EBF337DC-C427-6B4F-BFF3-1A61813B7926}">
      <text>
        <r>
          <rPr>
            <b/>
            <sz val="9"/>
            <color indexed="81"/>
            <rFont val="Tahoma"/>
            <family val="2"/>
          </rPr>
          <t>HMC รับลดลงเหลือ 1000 - 1040 จากแผน 1060 เนื่องจากReactor no3 has high different pressure.</t>
        </r>
      </text>
    </comment>
    <comment ref="W110" authorId="0" shapeId="0" xr:uid="{BE92DAAB-D97C-B94F-866E-C79E02083674}">
      <text>
        <r>
          <rPr>
            <b/>
            <sz val="9"/>
            <color indexed="81"/>
            <rFont val="Tahoma"/>
            <family val="2"/>
          </rPr>
          <t xml:space="preserve">Quantumuser
HMC has planned to receive Propane at 1,080 Ton/day (100%) เนื่องจากเปลี่ยน catalyst ใน reactor ใหม่แล้ว
</t>
        </r>
      </text>
    </comment>
    <comment ref="X110" authorId="0" shapeId="0" xr:uid="{8472BC3B-603F-4148-9CDC-A9BD5C17E97D}">
      <text>
        <r>
          <rPr>
            <b/>
            <sz val="9"/>
            <color indexed="81"/>
            <rFont val="Tahoma"/>
            <family val="2"/>
          </rPr>
          <t>Quantumuser
HMC รับ 1,040 Ton/hr.
rev0 = 32.24
rev1 = 19.526 HMC เกิเหตุไฟไหม่ silo เก็บเม็ดพลาสติก
rev2 = 25.775 HMC สามารถ run 1040 (95%) ได้ตั้งแต่วันที่ 19 Dec
rev3 = 25.674 HMC ปรับแผน step up</t>
        </r>
      </text>
    </comment>
    <comment ref="Y110" authorId="3" shapeId="0" xr:uid="{96030366-4254-F240-B838-3823ACF13929}">
      <text>
        <r>
          <rPr>
            <b/>
            <sz val="9"/>
            <color indexed="81"/>
            <rFont val="Tahoma"/>
            <family val="2"/>
          </rPr>
          <t>Windows User:</t>
        </r>
        <r>
          <rPr>
            <sz val="9"/>
            <color indexed="81"/>
            <rFont val="Tahoma"/>
            <family val="2"/>
          </rPr>
          <t xml:space="preserve">
HMC รับ 1,040 Ton/hr.</t>
        </r>
      </text>
    </comment>
    <comment ref="Z110" authorId="3" shapeId="0" xr:uid="{E2A1BDA3-A273-B944-A66A-7ABA0AF7320A}">
      <text>
        <r>
          <rPr>
            <b/>
            <sz val="9"/>
            <color indexed="81"/>
            <rFont val="Tahoma"/>
            <family val="2"/>
          </rPr>
          <t>Windows User:</t>
        </r>
        <r>
          <rPr>
            <sz val="9"/>
            <color indexed="81"/>
            <rFont val="Tahoma"/>
            <family val="2"/>
          </rPr>
          <t xml:space="preserve">
HMC รับ 1,040 Ton/hr.
rev0 = 29.12
rev1 = 28.10 plant PP shutdown ทำให้ PDH ที่รับ C3 ต้อง slowdown ตาม ลดจาก 100&gt;90%  เริ่มลดตั้งแต่ 12- 19 กพ</t>
        </r>
      </text>
    </comment>
    <comment ref="AA110" authorId="3" shapeId="0" xr:uid="{8EAF9411-6A2D-EC4B-AC1F-94F45032A25A}">
      <text>
        <r>
          <rPr>
            <b/>
            <sz val="9"/>
            <color indexed="81"/>
            <rFont val="Tahoma"/>
            <family val="2"/>
          </rPr>
          <t>Windows User:</t>
        </r>
        <r>
          <rPr>
            <sz val="9"/>
            <color indexed="81"/>
            <rFont val="Tahoma"/>
            <family val="2"/>
          </rPr>
          <t xml:space="preserve">
HMC รับ 1,040 Ton/day</t>
        </r>
      </text>
    </comment>
    <comment ref="AB110" authorId="3" shapeId="0" xr:uid="{211269B4-5CB0-E146-AF7C-6F695EC573F0}">
      <text>
        <r>
          <rPr>
            <b/>
            <sz val="9"/>
            <color indexed="81"/>
            <rFont val="Tahoma"/>
            <family val="2"/>
          </rPr>
          <t>Windows User:</t>
        </r>
        <r>
          <rPr>
            <sz val="9"/>
            <color indexed="81"/>
            <rFont val="Tahoma"/>
            <family val="2"/>
          </rPr>
          <t xml:space="preserve">
rev0 = 31.2 KT 
rev1 = 30.015 KT  HMC ลดรับเนื่องจาก 14-Apr at noon, all HMC PP plant had an emergency shutdown due to loss of power and steam.
HMC PDH plant had to run slow rate until PP plant can restart.
rev2 = 29.546 KT จากไฟดับวันที่ 14 Apr HMC จะกลับมารับปกติในวันที่ 22 Apr'21
rev3 = 27.070 KT นื่องจาก ไฟฟ้าดับเมื่อวันที่ 20 Apr
rev4 = 26.143 KT นื่องจาก ไฟฟ้าดับเมื่อวันที่ 20 Apr
rev5 =24.491 KT เนื่องจาก HMC PP plant ยัง start up ไม่ได้เนื่องจากพบ polymer เต็ม reactor ทำให้ PDH plant ต้อง slowdown ลงไป 60%  จึงเริ่มลงช่วงบ่ายวันที่ 28 เม.ย.  - early May </t>
        </r>
      </text>
    </comment>
    <comment ref="AC110" authorId="3" shapeId="0" xr:uid="{341ADC4F-D1F5-8742-9DBF-B6A209DF01A7}">
      <text>
        <r>
          <rPr>
            <b/>
            <sz val="9"/>
            <color indexed="81"/>
            <rFont val="Tahoma"/>
            <family val="2"/>
          </rPr>
          <t>Windows User:</t>
        </r>
        <r>
          <rPr>
            <sz val="9"/>
            <color indexed="81"/>
            <rFont val="Tahoma"/>
            <family val="2"/>
          </rPr>
          <t xml:space="preserve">
rev0 = 32.24 KT
rev1 = 27.735 KT HMC PP3 plant delay start up
rev2 = 26.955 KT HMC delay full load จาก 13 พค เป็น 15 พ.ค. </t>
        </r>
      </text>
    </comment>
    <comment ref="AD110" authorId="3" shapeId="0" xr:uid="{A8FFA5CB-ED32-9E41-8B3E-7FD013F71728}">
      <text>
        <r>
          <rPr>
            <b/>
            <sz val="9"/>
            <color indexed="81"/>
            <rFont val="Tahoma"/>
            <family val="2"/>
          </rPr>
          <t>Windows User:</t>
        </r>
        <r>
          <rPr>
            <sz val="9"/>
            <color indexed="81"/>
            <rFont val="Tahoma"/>
            <family val="2"/>
          </rPr>
          <t xml:space="preserve">
rev0 = 31.2 KT 
rev1 = 29.48 KT เนื่องจาก HMC แจ้ง unplanned shutdown due to the technical problem at main compressor ดังนั้น 1-4 June จึงปรับลด rate การรับ
Rev2= 30.1 KT HMC ปรับแผนรับเพิ่ม</t>
        </r>
      </text>
    </comment>
    <comment ref="AE110" authorId="0" shapeId="0" xr:uid="{F338BA19-DD83-974B-A0F6-6D950E583262}">
      <text>
        <r>
          <rPr>
            <b/>
            <sz val="9"/>
            <color indexed="81"/>
            <rFont val="Tahoma"/>
            <family val="2"/>
          </rPr>
          <t>Quantumuser:</t>
        </r>
        <r>
          <rPr>
            <sz val="9"/>
            <color indexed="81"/>
            <rFont val="Tahoma"/>
            <family val="2"/>
          </rPr>
          <t xml:space="preserve">
rev0 = 24.5 KT ตาม BZ เนื่องจาก GSP6 TA แบ่งตามสัดส่วน
rev1 = 29.14 KT โยกมาจาก GC 
rev2 = 24.5 KT GC call volume คืน
rev3 = 30.1 KT โยกมาจาก GC 5.6 T + 24.5 KT
rev4= 30KT HMC ปรับลดตาม GSp6 TA
rev5 =30.07 hmc dispatching plan
rev6 = 30.38 hmc demand increase
trv7 =30.58 hmc demand increase แต่ GSP6 delay star up ให้ได้นิดหน่อย
Rev8 = 30.38 GSP 6 มีปัญหาขึ้น  feed max ไม่ได้ทำให้ต้องขอดึงปริมาณกลับ</t>
        </r>
      </text>
    </comment>
    <comment ref="AF110" authorId="0" shapeId="0" xr:uid="{21332172-6297-2A4E-9EC1-0EE734D47C6B}">
      <text>
        <r>
          <rPr>
            <b/>
            <sz val="9"/>
            <color indexed="81"/>
            <rFont val="Tahoma"/>
            <family val="2"/>
          </rPr>
          <t>Quantumuser:</t>
        </r>
        <r>
          <rPr>
            <sz val="9"/>
            <color indexed="81"/>
            <rFont val="Tahoma"/>
            <family val="2"/>
          </rPr>
          <t xml:space="preserve">
rev0 =32.24
rev1 =32.55  hmc dispatching plan
rev2 28.85 emer
rev3 30.522
Rev 4 = 28.945 hmc ลด
Rev 5+ 29.405 HMC increase </t>
        </r>
      </text>
    </comment>
    <comment ref="AG110" authorId="3" shapeId="0" xr:uid="{8B3DC4CF-A161-424F-97E4-99A627DAAA18}">
      <text>
        <r>
          <rPr>
            <sz val="11"/>
            <color theme="0"/>
            <rFont val="Tahoma"/>
            <family val="2"/>
            <scheme val="minor"/>
          </rPr>
          <t>Windows User:</t>
        </r>
        <r>
          <rPr>
            <sz val="11"/>
            <color theme="0" tint="-0.34998626667073579"/>
            <rFont val="Tahoma"/>
            <family val="2"/>
            <scheme val="minor"/>
          </rPr>
          <t xml:space="preserve">
</t>
        </r>
        <r>
          <rPr>
            <sz val="11"/>
            <color theme="0" tint="-0.34998626667073579"/>
            <rFont val="Tahoma"/>
            <family val="2"/>
            <scheme val="minor"/>
          </rPr>
          <t xml:space="preserve">HMC SD 10 days 22.7
</t>
        </r>
        <r>
          <rPr>
            <sz val="11"/>
            <color theme="0" tint="-0.34998626667073579"/>
            <rFont val="Tahoma"/>
            <family val="2"/>
            <scheme val="minor"/>
          </rPr>
          <t xml:space="preserve">rev0 = 21.84 PDH TA (22 Sep – 31 Oct 2021)
</t>
        </r>
        <r>
          <rPr>
            <sz val="11"/>
            <color theme="0" tint="-0.34998626667073579"/>
            <rFont val="Tahoma"/>
            <family val="2"/>
            <scheme val="minor"/>
          </rPr>
          <t>rev1 = 23.1  hmc dispatching plan</t>
        </r>
      </text>
    </comment>
    <comment ref="AH110" authorId="0" shapeId="0" xr:uid="{C5D1D8C9-3958-A84A-AFFC-F181B696070A}">
      <text>
        <r>
          <rPr>
            <b/>
            <sz val="9"/>
            <color rgb="FF000000"/>
            <rFont val="Tahoma"/>
            <family val="2"/>
          </rPr>
          <t>Quantumuser:</t>
        </r>
        <r>
          <rPr>
            <sz val="9"/>
            <color rgb="FF000000"/>
            <rFont val="Tahoma"/>
            <family val="2"/>
          </rPr>
          <t xml:space="preserve">
</t>
        </r>
        <r>
          <rPr>
            <sz val="9"/>
            <color rgb="FF000000"/>
            <rFont val="Tahoma"/>
            <family val="2"/>
          </rPr>
          <t xml:space="preserve">HMC SD 30 days 0
</t>
        </r>
        <r>
          <rPr>
            <sz val="9"/>
            <color rgb="FF000000"/>
            <rFont val="Tahoma"/>
            <family val="2"/>
          </rPr>
          <t xml:space="preserve">rev0 = 3KT PDH TA (22 Sep – 31 Oct 2021)
</t>
        </r>
        <r>
          <rPr>
            <sz val="9"/>
            <color rgb="FF000000"/>
            <rFont val="Tahoma"/>
            <family val="2"/>
          </rPr>
          <t xml:space="preserve">rev 1 = 0 HMC TA
</t>
        </r>
        <r>
          <rPr>
            <sz val="9"/>
            <color rgb="FF000000"/>
            <rFont val="Tahoma"/>
            <family val="2"/>
          </rPr>
          <t xml:space="preserve">rev2 =0.3 hmc start </t>
        </r>
        <r>
          <rPr>
            <sz val="9"/>
            <color rgb="FF000000"/>
            <rFont val="Tahoma"/>
            <family val="2"/>
          </rPr>
          <t>เร็วขึ้น</t>
        </r>
        <r>
          <rPr>
            <sz val="9"/>
            <color rgb="FF000000"/>
            <rFont val="Tahoma"/>
            <family val="2"/>
          </rPr>
          <t xml:space="preserve"> 16 Oct
</t>
        </r>
        <r>
          <rPr>
            <sz val="9"/>
            <color rgb="FF000000"/>
            <rFont val="Tahoma"/>
            <family val="2"/>
          </rPr>
          <t xml:space="preserve">rev3 = 1.45 hmc start </t>
        </r>
        <r>
          <rPr>
            <sz val="9"/>
            <color rgb="FF000000"/>
            <rFont val="Tahoma"/>
            <family val="2"/>
          </rPr>
          <t>ช้า</t>
        </r>
        <r>
          <rPr>
            <sz val="9"/>
            <color rgb="FF000000"/>
            <rFont val="Tahoma"/>
            <family val="2"/>
          </rPr>
          <t xml:space="preserve">
</t>
        </r>
        <r>
          <rPr>
            <sz val="9"/>
            <color rgb="FF000000"/>
            <rFont val="Tahoma"/>
            <family val="2"/>
          </rPr>
          <t xml:space="preserve">Rev4 = 1.02 hmc start </t>
        </r>
        <r>
          <rPr>
            <sz val="9"/>
            <color rgb="FF000000"/>
            <rFont val="Tahoma"/>
            <family val="2"/>
          </rPr>
          <t>ช้า</t>
        </r>
      </text>
    </comment>
    <comment ref="AI110" authorId="0" shapeId="0" xr:uid="{8A2F620D-E755-0D45-9CE1-F1A1821C9F04}">
      <text>
        <r>
          <rPr>
            <b/>
            <sz val="9"/>
            <color rgb="FF000000"/>
            <rFont val="Tahoma"/>
            <family val="2"/>
          </rPr>
          <t>Quantumuser:</t>
        </r>
        <r>
          <rPr>
            <sz val="9"/>
            <color rgb="FF000000"/>
            <rFont val="Tahoma"/>
            <family val="2"/>
          </rPr>
          <t xml:space="preserve">
</t>
        </r>
        <r>
          <rPr>
            <sz val="9"/>
            <color rgb="FF000000"/>
            <rFont val="Tahoma"/>
            <family val="2"/>
          </rPr>
          <t xml:space="preserve">Rev0 31.28
</t>
        </r>
        <r>
          <rPr>
            <sz val="9"/>
            <color rgb="FF000000"/>
            <rFont val="Tahoma"/>
            <family val="2"/>
          </rPr>
          <t xml:space="preserve">rev1 = 26.7 hmc </t>
        </r>
        <r>
          <rPr>
            <sz val="9"/>
            <color rgb="FF000000"/>
            <rFont val="Tahoma"/>
            <family val="2"/>
          </rPr>
          <t>พบปัญหา</t>
        </r>
        <r>
          <rPr>
            <sz val="9"/>
            <color rgb="FF000000"/>
            <rFont val="Tahoma"/>
            <family val="2"/>
          </rPr>
          <t xml:space="preserve"> start-up
</t>
        </r>
        <r>
          <rPr>
            <sz val="9"/>
            <color rgb="FF000000"/>
            <rFont val="Tahoma"/>
            <family val="2"/>
          </rPr>
          <t xml:space="preserve">Rev2 = 2.43  hmc </t>
        </r>
        <r>
          <rPr>
            <sz val="9"/>
            <color rgb="FF000000"/>
            <rFont val="Tahoma"/>
            <family val="2"/>
          </rPr>
          <t>พบปัญหา</t>
        </r>
        <r>
          <rPr>
            <sz val="9"/>
            <color rgb="FF000000"/>
            <rFont val="Tahoma"/>
            <family val="2"/>
          </rPr>
          <t xml:space="preserve"> start-up</t>
        </r>
      </text>
    </comment>
    <comment ref="AJ110" authorId="0" shapeId="0" xr:uid="{2DACEB29-B6B3-9644-BB9C-3B15C7944F0A}">
      <text>
        <r>
          <rPr>
            <b/>
            <sz val="9"/>
            <color rgb="FF000000"/>
            <rFont val="Tahoma"/>
            <family val="2"/>
          </rPr>
          <t>Quantumuser:</t>
        </r>
        <r>
          <rPr>
            <sz val="9"/>
            <color rgb="FF000000"/>
            <rFont val="Tahoma"/>
            <family val="2"/>
          </rPr>
          <t xml:space="preserve">
</t>
        </r>
        <r>
          <rPr>
            <sz val="9"/>
            <color rgb="FF000000"/>
            <rFont val="Tahoma"/>
            <family val="2"/>
          </rPr>
          <t xml:space="preserve">rev0 32.55
</t>
        </r>
        <r>
          <rPr>
            <sz val="9"/>
            <color rgb="FF000000"/>
            <rFont val="Tahoma"/>
            <family val="2"/>
          </rPr>
          <t xml:space="preserve">rev1 31.05 HMC </t>
        </r>
        <r>
          <rPr>
            <sz val="9"/>
            <color rgb="FF000000"/>
            <rFont val="Tahoma"/>
            <family val="2"/>
          </rPr>
          <t>พบปัญหา</t>
        </r>
        <r>
          <rPr>
            <sz val="9"/>
            <color rgb="FF000000"/>
            <rFont val="Tahoma"/>
            <family val="2"/>
          </rPr>
          <t xml:space="preserve"> start-up
</t>
        </r>
        <r>
          <rPr>
            <sz val="9"/>
            <color rgb="FF000000"/>
            <rFont val="Tahoma"/>
            <family val="2"/>
          </rPr>
          <t xml:space="preserve">Rev2 =29.45 Hmc </t>
        </r>
        <r>
          <rPr>
            <sz val="9"/>
            <color rgb="FF000000"/>
            <rFont val="Tahoma"/>
            <family val="2"/>
          </rPr>
          <t>ปรับลดพบปัญหา</t>
        </r>
      </text>
    </comment>
    <comment ref="AR110" authorId="0" shapeId="0" xr:uid="{7128D250-A8B3-2F4D-8E13-EA568BFA6E8E}">
      <text>
        <r>
          <rPr>
            <b/>
            <sz val="9"/>
            <color rgb="FF000000"/>
            <rFont val="Tahoma"/>
            <family val="2"/>
          </rPr>
          <t>Quantumuser:</t>
        </r>
        <r>
          <rPr>
            <sz val="9"/>
            <color rgb="FF000000"/>
            <rFont val="Tahoma"/>
            <family val="2"/>
          </rPr>
          <t xml:space="preserve">
</t>
        </r>
        <r>
          <rPr>
            <sz val="9"/>
            <color rgb="FF000000"/>
            <rFont val="Tahoma"/>
            <family val="2"/>
          </rPr>
          <t>S/D 18 Days</t>
        </r>
      </text>
    </comment>
    <comment ref="F111" authorId="0" shapeId="0" xr:uid="{AA7F76A5-4E5E-7548-9FE2-38FB4D1FB5A9}">
      <text>
        <r>
          <rPr>
            <b/>
            <sz val="9"/>
            <color indexed="81"/>
            <rFont val="Tahoma"/>
            <family val="2"/>
          </rPr>
          <t>Quantumuser:</t>
        </r>
        <r>
          <rPr>
            <sz val="9"/>
            <color indexed="81"/>
            <rFont val="Tahoma"/>
            <family val="2"/>
          </rPr>
          <t xml:space="preserve">
rev0 = 15.157 KT   PTTAC TA 9May - 12Jun (35 days)
rev1 = 12 KT   PTTAC delay start up from 12Jun to 16 Jun</t>
        </r>
      </text>
    </comment>
    <comment ref="G111" authorId="3" shapeId="0" xr:uid="{9903E626-AA8B-A940-AE03-6F8B5E77DD00}">
      <text>
        <r>
          <rPr>
            <b/>
            <sz val="9"/>
            <color indexed="81"/>
            <rFont val="Tahoma"/>
            <family val="2"/>
          </rPr>
          <t>Windows User:</t>
        </r>
        <r>
          <rPr>
            <sz val="9"/>
            <color indexed="81"/>
            <rFont val="Tahoma"/>
            <family val="2"/>
          </rPr>
          <t xml:space="preserve">
rev0 = 31.837
rev1= 30.837 KT cause GSP3 trip</t>
        </r>
      </text>
    </comment>
    <comment ref="L111" authorId="0" shapeId="0" xr:uid="{0F5D28CC-1079-2C40-AB56-4F8E4C7A945C}">
      <text>
        <r>
          <rPr>
            <b/>
            <sz val="9"/>
            <color indexed="81"/>
            <rFont val="Tahoma"/>
            <family val="2"/>
          </rPr>
          <t>Quantumuser:</t>
        </r>
        <r>
          <rPr>
            <sz val="9"/>
            <color indexed="81"/>
            <rFont val="Tahoma"/>
            <family val="2"/>
          </rPr>
          <t xml:space="preserve">
SAOWANI DETJAREANSRI:
PTTAC มีความสนใจรับ Propane Spot เพิ่มในช่วงเดือน พฤศจิกายน – ธันวาคม 62 ที่ 23 ตันต่อวัน หรือ 690 ตัน และ 713 ตันต่อเดือนตามลำดับ
rev = 31.129 
rev = 31.394  จัดสรรคืนปริมาณที่ต่ำกว่าแผนให้ PTTAC จากที่เดือน มี.ค. ต่ำกว่าแผน
rev0 (Nom) = 31.694  Refer to PTT GSP decreased Propane supply volume to PTTAC in Jul’19 due to the unplanned shutdown of GSP3. Therefore, the compensate volume totally 300 Ton shall be supply in Dec’19 as PTTAC requirement. 
rev0 = 31.69
rev1 = 23.6 KT PTTAC ขอปรับลด เนื่องจาก blackout</t>
        </r>
      </text>
    </comment>
    <comment ref="M111" authorId="0" shapeId="0" xr:uid="{C61D0FC7-EA53-2947-AB2F-B36D6356CC92}">
      <text>
        <r>
          <rPr>
            <b/>
            <sz val="9"/>
            <color indexed="81"/>
            <rFont val="Tahoma"/>
            <family val="2"/>
          </rPr>
          <t>Quantumuser:</t>
        </r>
        <r>
          <rPr>
            <sz val="9"/>
            <color indexed="81"/>
            <rFont val="Tahoma"/>
            <family val="2"/>
          </rPr>
          <t xml:space="preserve">
rev0 = 27.982
rev1 = 17.95  KT PTTAC ขอปรับลด เนื่องจาก blackout</t>
        </r>
      </text>
    </comment>
    <comment ref="N111" authorId="3" shapeId="0" xr:uid="{7033617F-2B70-8F42-98A5-B65906847A04}">
      <text>
        <r>
          <rPr>
            <b/>
            <sz val="9"/>
            <color indexed="81"/>
            <rFont val="Tahoma"/>
            <family val="2"/>
          </rPr>
          <t>Windows User:</t>
        </r>
        <r>
          <rPr>
            <sz val="9"/>
            <color indexed="81"/>
            <rFont val="Tahoma"/>
            <family val="2"/>
          </rPr>
          <t xml:space="preserve">
rev0 = 26.179 KT
rev1 = 25.31 KT PTTAC ปรับลดเนื่องจากReactor มีปัญหา ในช่วงวันที่ 26-Feb to 12-Mar </t>
        </r>
      </text>
    </comment>
    <comment ref="O111" authorId="3" shapeId="0" xr:uid="{1B1F5C8C-F8E2-5A48-9D0C-E535957E8068}">
      <text>
        <r>
          <rPr>
            <b/>
            <sz val="9"/>
            <color indexed="81"/>
            <rFont val="Tahoma"/>
            <family val="2"/>
          </rPr>
          <t>Windows User:</t>
        </r>
        <r>
          <rPr>
            <sz val="9"/>
            <color indexed="81"/>
            <rFont val="Tahoma"/>
            <family val="2"/>
          </rPr>
          <t xml:space="preserve">
rev0 = 28.022 KT
rev1 = 27.61 KT PTTAC ปรับลดเนื่องจากReactor มีปัญหา ในช่วงวันที่ 26-Feb to 12-Mar 
rev2 = 26.68 KT PTTAC ปรับลดเนื่อง demand drop from covid</t>
        </r>
      </text>
    </comment>
    <comment ref="P111" authorId="3" shapeId="0" xr:uid="{C4EDD275-E4CA-CA49-B0AB-B83932427404}">
      <text>
        <r>
          <rPr>
            <b/>
            <sz val="9"/>
            <color indexed="81"/>
            <rFont val="Tahoma"/>
            <family val="2"/>
          </rPr>
          <t>Windows User:</t>
        </r>
        <r>
          <rPr>
            <sz val="9"/>
            <color indexed="81"/>
            <rFont val="Tahoma"/>
            <family val="2"/>
          </rPr>
          <t xml:space="preserve">
rev0 = 27.118
rev1 = 20.55 PTTAC plan to S/D 1 Reactor on 1 Apr’202
</t>
        </r>
      </text>
    </comment>
    <comment ref="Q111" authorId="3" shapeId="0" xr:uid="{D680F20B-0F6F-7B4D-97EF-80A29990F773}">
      <text>
        <r>
          <rPr>
            <b/>
            <sz val="9"/>
            <color indexed="81"/>
            <rFont val="Tahoma"/>
            <family val="2"/>
          </rPr>
          <t>Windows User:</t>
        </r>
        <r>
          <rPr>
            <sz val="9"/>
            <color indexed="81"/>
            <rFont val="Tahoma"/>
            <family val="2"/>
          </rPr>
          <t xml:space="preserve">
rev= 28.022
rev= 21.235 PTTAC plan to S/D 1 Reactor on 1 Apr’202
rev0 = 19.102
rev1 = 6.92 KT PTTAC ESD (AN Plant has been Emergency Shutdown since 5 May 2020 กลับมารับ 22 May'20)
worst = 4.596 PTTAC กลับมารับ 27 May'20</t>
        </r>
      </text>
    </comment>
    <comment ref="R111" authorId="3" shapeId="0" xr:uid="{7A3F3F67-3DAC-7A4E-98F6-C37A917544E6}">
      <text>
        <r>
          <rPr>
            <b/>
            <sz val="9"/>
            <color indexed="81"/>
            <rFont val="Tahoma"/>
            <family val="2"/>
          </rPr>
          <t>Windows User:</t>
        </r>
        <r>
          <rPr>
            <sz val="9"/>
            <color indexed="81"/>
            <rFont val="Tahoma"/>
            <family val="2"/>
          </rPr>
          <t xml:space="preserve">
rev0 28.032 
rev1 27.120
May
18.486 
rev0= 20 KT</t>
        </r>
      </text>
    </comment>
    <comment ref="T111" authorId="3" shapeId="0" xr:uid="{AF8887DD-DA21-F444-B038-5027D5048F3A}">
      <text>
        <r>
          <rPr>
            <b/>
            <sz val="9"/>
            <color indexed="81"/>
            <rFont val="Tahoma"/>
            <family val="2"/>
          </rPr>
          <t>Windows User:</t>
        </r>
        <r>
          <rPr>
            <sz val="9"/>
            <color indexed="81"/>
            <rFont val="Tahoma"/>
            <family val="2"/>
          </rPr>
          <t xml:space="preserve">
nomination Jun = 25.5
PTTAC request 26.195 KT GSP จะดูให้ ถ้า compo ดี น่าจะส่งให้ได้</t>
        </r>
      </text>
    </comment>
    <comment ref="Y111" authorId="3" shapeId="0" xr:uid="{B1AB3826-4137-6443-BB7D-D9A6594F5CAA}">
      <text>
        <r>
          <rPr>
            <b/>
            <sz val="9"/>
            <color indexed="81"/>
            <rFont val="Tahoma"/>
            <family val="2"/>
          </rPr>
          <t>Windows User:</t>
        </r>
        <r>
          <rPr>
            <sz val="9"/>
            <color indexed="81"/>
            <rFont val="Tahoma"/>
            <family val="2"/>
          </rPr>
          <t xml:space="preserve">
ปรับลดจากผลกระทบ GSP5 แล้ว -8%</t>
        </r>
      </text>
    </comment>
    <comment ref="Z111" authorId="3" shapeId="0" xr:uid="{AAE4B959-6D54-0C4B-AB2A-1D54AC004C51}">
      <text>
        <r>
          <rPr>
            <b/>
            <sz val="9"/>
            <color indexed="81"/>
            <rFont val="Tahoma"/>
            <family val="2"/>
          </rPr>
          <t>Windows User:</t>
        </r>
        <r>
          <rPr>
            <sz val="9"/>
            <color indexed="81"/>
            <rFont val="Tahoma"/>
            <family val="2"/>
          </rPr>
          <t xml:space="preserve">
rev0 = 21.276
rev1 = 25.276 ขาย AC ด้วยราคา import parity 4 KT (CP + 80%balticM-1) +Terminal 20
</t>
        </r>
      </text>
    </comment>
    <comment ref="AB111" authorId="3" shapeId="0" xr:uid="{F8CC12B7-E955-2E43-89BE-A49220486FFC}">
      <text>
        <r>
          <rPr>
            <b/>
            <sz val="9"/>
            <color indexed="81"/>
            <rFont val="Tahoma"/>
            <family val="2"/>
          </rPr>
          <t>Windows User:
rev0 =22.796 KT
rev1 = 19.7 KT เนื่องจาก วันที่ 20 เม.ย. ไฟฟ้าดับ</t>
        </r>
      </text>
    </comment>
    <comment ref="AC111" authorId="3" shapeId="0" xr:uid="{F92B218B-5848-1041-8E3E-B3E230464ECD}">
      <text>
        <r>
          <rPr>
            <b/>
            <sz val="9"/>
            <color indexed="81"/>
            <rFont val="Tahoma"/>
            <family val="2"/>
          </rPr>
          <t>Windows User:</t>
        </r>
        <r>
          <rPr>
            <sz val="9"/>
            <color indexed="81"/>
            <rFont val="Tahoma"/>
            <family val="2"/>
          </rPr>
          <t xml:space="preserve">
rev0 = 23.556 KT
rev1 = 21.5 KT เนื่องจาก วันที่ 21 เม.ย. ไฟฟ้าดับ
rev2 = 20.772 KT เนื่องจาก วันที่ 21 เม.ย. ไฟฟ้าดับ</t>
        </r>
      </text>
    </comment>
    <comment ref="AE111" authorId="0" shapeId="0" xr:uid="{41DCA5B4-3B76-2E4D-B621-B337DCF46C0E}">
      <text>
        <r>
          <rPr>
            <b/>
            <sz val="9"/>
            <color indexed="81"/>
            <rFont val="Tahoma"/>
            <family val="2"/>
          </rPr>
          <t>Quantumuser:</t>
        </r>
        <r>
          <rPr>
            <sz val="9"/>
            <color indexed="81"/>
            <rFont val="Tahoma"/>
            <family val="2"/>
          </rPr>
          <t xml:space="preserve">
PTTAC TA start-up
rev0 =0.88
rev1 = 0 start-up delay (รอ cf)</t>
        </r>
      </text>
    </comment>
    <comment ref="AF111" authorId="0" shapeId="0" xr:uid="{8F2031FC-ACF9-D744-9093-14EA2D0217B1}">
      <text>
        <r>
          <rPr>
            <b/>
            <sz val="9"/>
            <color indexed="81"/>
            <rFont val="Tahoma"/>
            <family val="2"/>
          </rPr>
          <t>Quantumuser:</t>
        </r>
        <r>
          <rPr>
            <sz val="9"/>
            <color indexed="81"/>
            <rFont val="Tahoma"/>
            <family val="2"/>
          </rPr>
          <t xml:space="preserve">
PTTAC TA 29 Jun - 3 Aug
PTTAC Max 25KT เท่านั้น
rev0 =21.276+4.162
rev1 = 19.128 Ac atar up delay
rev2 = 9.63 Emer SD (รอ cf)
rev3 = 10.76 AC
Rev4 = 11.097 AC request more C3</t>
        </r>
      </text>
    </comment>
    <comment ref="AI111" authorId="0" shapeId="0" xr:uid="{00CE0D34-D205-0843-8DA3-3FE3150E79F0}">
      <text>
        <r>
          <rPr>
            <b/>
            <sz val="9"/>
            <color indexed="81"/>
            <rFont val="Tahoma"/>
            <family val="2"/>
          </rPr>
          <t>Quantumuser:</t>
        </r>
        <r>
          <rPr>
            <sz val="9"/>
            <color indexed="81"/>
            <rFont val="Tahoma"/>
            <family val="2"/>
          </rPr>
          <t xml:space="preserve">
rev0 21.659
rev1 = 23.7 PTT term vol เพิ่ม เนื่องจากอยู่ระหว่างพิจารณาสัญญาฯใหม่</t>
        </r>
      </text>
    </comment>
    <comment ref="AJ111" authorId="0" shapeId="0" xr:uid="{0ADBC9B6-37A9-7646-BE90-7BB242054262}">
      <text>
        <r>
          <rPr>
            <b/>
            <sz val="9"/>
            <color indexed="81"/>
            <rFont val="Tahoma"/>
            <family val="2"/>
          </rPr>
          <t>Quantumuser:</t>
        </r>
        <r>
          <rPr>
            <sz val="9"/>
            <color indexed="81"/>
            <rFont val="Tahoma"/>
            <family val="2"/>
          </rPr>
          <t xml:space="preserve">
Rev 23.56</t>
        </r>
      </text>
    </comment>
    <comment ref="AQ111" authorId="0" shapeId="0" xr:uid="{9F4BD4C8-4E2D-A044-97D9-FDDD760FCBD1}">
      <text>
        <r>
          <rPr>
            <b/>
            <sz val="9"/>
            <color rgb="FF000000"/>
            <rFont val="Tahoma"/>
            <family val="2"/>
          </rPr>
          <t>Quantumuser:</t>
        </r>
        <r>
          <rPr>
            <sz val="9"/>
            <color rgb="FF000000"/>
            <rFont val="Tahoma"/>
            <family val="2"/>
          </rPr>
          <t xml:space="preserve">
</t>
        </r>
        <r>
          <rPr>
            <sz val="9"/>
            <color rgb="FF000000"/>
            <rFont val="Tahoma"/>
            <family val="2"/>
          </rPr>
          <t>LD for 1 Rx cleaning</t>
        </r>
      </text>
    </comment>
    <comment ref="AR111" authorId="0" shapeId="0" xr:uid="{2D1ECFD2-F015-AC49-9A26-57C3A034767D}">
      <text>
        <r>
          <rPr>
            <b/>
            <sz val="9"/>
            <color indexed="81"/>
            <rFont val="Tahoma"/>
            <family val="2"/>
          </rPr>
          <t>Quantumuser:</t>
        </r>
        <r>
          <rPr>
            <sz val="9"/>
            <color indexed="81"/>
            <rFont val="Tahoma"/>
            <family val="2"/>
          </rPr>
          <t xml:space="preserve">
LD for 1 Rx cleaning</t>
        </r>
      </text>
    </comment>
    <comment ref="AS111" authorId="0" shapeId="0" xr:uid="{C6CEDE0B-A84F-2C47-A3CD-5244076C68FC}">
      <text>
        <r>
          <rPr>
            <b/>
            <sz val="9"/>
            <color indexed="81"/>
            <rFont val="Tahoma"/>
            <family val="2"/>
          </rPr>
          <t>Quantumuser:</t>
        </r>
        <r>
          <rPr>
            <sz val="9"/>
            <color indexed="81"/>
            <rFont val="Tahoma"/>
            <family val="2"/>
          </rPr>
          <t xml:space="preserve">
LD for 1 Rx cleaning</t>
        </r>
      </text>
    </comment>
    <comment ref="AT111" authorId="0" shapeId="0" xr:uid="{E18B63C9-299B-7C4B-9C3B-8669D0E55382}">
      <text>
        <r>
          <rPr>
            <b/>
            <sz val="9"/>
            <color indexed="81"/>
            <rFont val="Tahoma"/>
            <family val="2"/>
          </rPr>
          <t>Quantumuser:</t>
        </r>
        <r>
          <rPr>
            <sz val="9"/>
            <color indexed="81"/>
            <rFont val="Tahoma"/>
            <family val="2"/>
          </rPr>
          <t xml:space="preserve">
LD for 1 Rx cleaning</t>
        </r>
      </text>
    </comment>
    <comment ref="AU111" authorId="0" shapeId="0" xr:uid="{B9EFFE7A-6D39-8544-80AE-4DAAD7FEB1F1}">
      <text>
        <r>
          <rPr>
            <b/>
            <sz val="9"/>
            <color indexed="81"/>
            <rFont val="Tahoma"/>
            <family val="2"/>
          </rPr>
          <t>Quantumuser:</t>
        </r>
        <r>
          <rPr>
            <sz val="9"/>
            <color indexed="81"/>
            <rFont val="Tahoma"/>
            <family val="2"/>
          </rPr>
          <t xml:space="preserve">
LD for 1 Rx cleaning</t>
        </r>
      </text>
    </comment>
    <comment ref="AV111" authorId="0" shapeId="0" xr:uid="{6E956534-6799-4F4B-83A8-7865B78AD478}">
      <text>
        <r>
          <rPr>
            <b/>
            <sz val="9"/>
            <color indexed="81"/>
            <rFont val="Tahoma"/>
            <family val="2"/>
          </rPr>
          <t>Quantumuser:</t>
        </r>
        <r>
          <rPr>
            <sz val="9"/>
            <color indexed="81"/>
            <rFont val="Tahoma"/>
            <family val="2"/>
          </rPr>
          <t xml:space="preserve">
LD for 1 Rx cleaning</t>
        </r>
      </text>
    </comment>
    <comment ref="C112" authorId="0" shapeId="0" xr:uid="{971C5CD0-453F-3347-95C0-2E6E8BB3B25C}">
      <text>
        <r>
          <rPr>
            <b/>
            <sz val="9"/>
            <color rgb="FF000000"/>
            <rFont val="Tahoma"/>
            <family val="2"/>
          </rPr>
          <t>Quantumuser:</t>
        </r>
        <r>
          <rPr>
            <sz val="9"/>
            <color rgb="FF000000"/>
            <rFont val="Tahoma"/>
            <family val="2"/>
          </rPr>
          <t xml:space="preserve">
</t>
        </r>
        <r>
          <rPr>
            <sz val="9"/>
            <color rgb="FF000000"/>
            <rFont val="Tahoma"/>
            <family val="2"/>
          </rPr>
          <t xml:space="preserve">normal </t>
        </r>
        <r>
          <rPr>
            <sz val="9"/>
            <color rgb="FF000000"/>
            <rFont val="Tahoma"/>
            <family val="2"/>
          </rPr>
          <t>ชอบ</t>
        </r>
        <r>
          <rPr>
            <sz val="9"/>
            <color rgb="FF000000"/>
            <rFont val="Tahoma"/>
            <family val="2"/>
          </rPr>
          <t xml:space="preserve"> 7 min </t>
        </r>
        <r>
          <rPr>
            <sz val="9"/>
            <color rgb="FF000000"/>
            <rFont val="Tahoma"/>
            <family val="2"/>
          </rPr>
          <t>แล้วมักจะไปขอจากโควตา</t>
        </r>
        <r>
          <rPr>
            <sz val="9"/>
            <color rgb="FF000000"/>
            <rFont val="Tahoma"/>
            <family val="2"/>
          </rPr>
          <t xml:space="preserve"> GC</t>
        </r>
      </text>
    </comment>
    <comment ref="AA112" authorId="3" shapeId="0" xr:uid="{6BC4D661-0BC9-2943-A2A2-ACB8CBFF9A5C}">
      <text>
        <r>
          <rPr>
            <b/>
            <sz val="9"/>
            <color indexed="81"/>
            <rFont val="Tahoma"/>
            <family val="2"/>
          </rPr>
          <t xml:space="preserve">Windows User:
rev0 = 4 KT
rev1 = 6.5 KT </t>
        </r>
        <r>
          <rPr>
            <sz val="9"/>
            <color indexed="81"/>
            <rFont val="Tahoma"/>
            <family val="2"/>
          </rPr>
          <t xml:space="preserve">PTTAC แจ้งซื้อ Spot C3 เพิ่มขึ้น +2.5 KT
</t>
        </r>
        <r>
          <rPr>
            <b/>
            <sz val="9"/>
            <color indexed="81"/>
            <rFont val="Tahoma"/>
            <family val="2"/>
          </rPr>
          <t xml:space="preserve">rev2 = 7.5 KT  </t>
        </r>
        <r>
          <rPr>
            <sz val="9"/>
            <color indexed="81"/>
            <rFont val="Tahoma"/>
            <family val="2"/>
          </rPr>
          <t>PTTAC แจ้งซื้อ Spot C3 เพิ่มขึ้น +1 KT</t>
        </r>
      </text>
    </comment>
    <comment ref="AB112" authorId="3" shapeId="0" xr:uid="{C8739229-BAD2-8145-82AD-341657DD1023}">
      <text>
        <r>
          <rPr>
            <b/>
            <sz val="9"/>
            <color indexed="81"/>
            <rFont val="Tahoma"/>
            <family val="2"/>
          </rPr>
          <t>Windows User:</t>
        </r>
        <r>
          <rPr>
            <sz val="9"/>
            <color indexed="81"/>
            <rFont val="Tahoma"/>
            <family val="2"/>
          </rPr>
          <t xml:space="preserve">
rev0 = 7.2
rev1 = 0  KT เนื่องจาก วันที่ 21 เม.ย. ไฟฟ้าดับ</t>
        </r>
      </text>
    </comment>
    <comment ref="AC112" authorId="3" shapeId="0" xr:uid="{DFF639A8-454A-C744-B72E-AEB15B46BA38}">
      <text>
        <r>
          <rPr>
            <b/>
            <sz val="9"/>
            <color indexed="81"/>
            <rFont val="Tahoma"/>
            <family val="2"/>
          </rPr>
          <t xml:space="preserve">Windows User:
</t>
        </r>
        <r>
          <rPr>
            <sz val="9"/>
            <color indexed="81"/>
            <rFont val="Tahoma"/>
            <family val="2"/>
          </rPr>
          <t xml:space="preserve">rev0 = 7.764
rev1 = 0  KT เนื่องจาก วันที่ 21 เม.ย. ไฟฟ้าดับ
rev2 = 2 KT  เนื่องจาก  PTTAC แจ้งว่า มีแนวโน้มขึ้นได้เร็ว 2 วัน (เดิมวันที่ 7 &gt;&gt; 5 พ.ค.แทน ) </t>
        </r>
      </text>
    </comment>
    <comment ref="AH112" authorId="0" shapeId="0" xr:uid="{4F1153B8-985C-7E43-BBDE-97CD842709C1}">
      <text>
        <r>
          <rPr>
            <b/>
            <sz val="9"/>
            <color indexed="81"/>
            <rFont val="Tahoma"/>
            <family val="2"/>
          </rPr>
          <t>Quantumuser:</t>
        </r>
        <r>
          <rPr>
            <sz val="9"/>
            <color indexed="81"/>
            <rFont val="Tahoma"/>
            <family val="2"/>
          </rPr>
          <t xml:space="preserve">
Rev0 = 4
Rev1 = 9.208 GC ให้
</t>
        </r>
      </text>
    </comment>
    <comment ref="AI112" authorId="0" shapeId="0" xr:uid="{D9E8F7A3-F708-D54C-B2B2-A9EDD257A8F8}">
      <text>
        <r>
          <rPr>
            <b/>
            <sz val="9"/>
            <color indexed="81"/>
            <rFont val="Tahoma"/>
            <family val="2"/>
          </rPr>
          <t>Quantumuser:</t>
        </r>
        <r>
          <rPr>
            <sz val="9"/>
            <color indexed="81"/>
            <rFont val="Tahoma"/>
            <family val="2"/>
          </rPr>
          <t xml:space="preserve">
PTT ให้ 6.34
Ac เอาแค่ 4.346 และขอเผื่ไว้ 0.2
</t>
        </r>
      </text>
    </comment>
    <comment ref="U113" authorId="3" shapeId="0" xr:uid="{70F5D749-3CC2-CA43-A14B-63BF48B45D3D}">
      <text>
        <r>
          <rPr>
            <b/>
            <sz val="9"/>
            <color indexed="81"/>
            <rFont val="Tahoma"/>
            <family val="2"/>
          </rPr>
          <t>Windows User:</t>
        </r>
        <r>
          <rPr>
            <sz val="9"/>
            <color indexed="81"/>
            <rFont val="Tahoma"/>
            <family val="2"/>
          </rPr>
          <t xml:space="preserve">
rev0 = 0.27
rev1 = 0.7 KT Ordemand เพิ่ม</t>
        </r>
      </text>
    </comment>
    <comment ref="AD113" authorId="0" shapeId="0" xr:uid="{65C21B57-BD7E-374C-B77A-DC7A5CE4D0E1}">
      <text>
        <r>
          <rPr>
            <b/>
            <sz val="9"/>
            <color indexed="81"/>
            <rFont val="Tahoma"/>
            <family val="2"/>
          </rPr>
          <t>Quantumuser:</t>
        </r>
        <r>
          <rPr>
            <sz val="9"/>
            <color indexed="81"/>
            <rFont val="Tahoma"/>
            <family val="2"/>
          </rPr>
          <t xml:space="preserve">
rev0 =0.5
rev1 =0.85</t>
        </r>
      </text>
    </comment>
    <comment ref="AF113" authorId="0" shapeId="0" xr:uid="{8F2579FB-391B-7A4E-A50D-19F7E1DCBC10}">
      <text>
        <r>
          <rPr>
            <b/>
            <sz val="9"/>
            <color indexed="81"/>
            <rFont val="Tahoma"/>
            <family val="2"/>
          </rPr>
          <t>Quantumuser:</t>
        </r>
        <r>
          <rPr>
            <sz val="9"/>
            <color indexed="81"/>
            <rFont val="Tahoma"/>
            <family val="2"/>
          </rPr>
          <t xml:space="preserve">
Rev1 = 0.6
Rev2 = 0.68 or demand เพิ่ม</t>
        </r>
      </text>
    </comment>
    <comment ref="AG113" authorId="0" shapeId="0" xr:uid="{198C08AE-D346-B242-A26B-D6821BB0E24E}">
      <text>
        <r>
          <rPr>
            <b/>
            <sz val="9"/>
            <color indexed="81"/>
            <rFont val="Tahoma"/>
            <family val="2"/>
          </rPr>
          <t>Quantumuser:</t>
        </r>
        <r>
          <rPr>
            <sz val="9"/>
            <color indexed="81"/>
            <rFont val="Tahoma"/>
            <family val="2"/>
          </rPr>
          <t xml:space="preserve">
Rev0 0.55
Rev1 = 0.73 OR demand Increase</t>
        </r>
      </text>
    </comment>
    <comment ref="AD114" authorId="0" shapeId="0" xr:uid="{7EDFC1DE-F8AD-344D-8A3D-B5EF9676DF94}">
      <text>
        <r>
          <rPr>
            <b/>
            <sz val="9"/>
            <color indexed="81"/>
            <rFont val="Tahoma"/>
            <family val="2"/>
          </rPr>
          <t>Quantumuser:</t>
        </r>
        <r>
          <rPr>
            <sz val="9"/>
            <color indexed="81"/>
            <rFont val="Tahoma"/>
            <family val="2"/>
          </rPr>
          <t xml:space="preserve">
rev0 = 0.6
rev1 = 0.62</t>
        </r>
      </text>
    </comment>
    <comment ref="AE114" authorId="0" shapeId="0" xr:uid="{A911A860-BDC0-9C48-9D40-A2AC6E74922A}">
      <text>
        <r>
          <rPr>
            <b/>
            <sz val="9"/>
            <color indexed="81"/>
            <rFont val="Tahoma"/>
            <family val="2"/>
          </rPr>
          <t>Quantumuser:</t>
        </r>
        <r>
          <rPr>
            <sz val="9"/>
            <color indexed="81"/>
            <rFont val="Tahoma"/>
            <family val="2"/>
          </rPr>
          <t xml:space="preserve">
rev0 =0.6
rev1 =0.76 OR demand increase</t>
        </r>
      </text>
    </comment>
    <comment ref="AD115" authorId="0" shapeId="0" xr:uid="{38FC4C57-AD98-764B-8B11-044CC1FC4DCB}">
      <text>
        <r>
          <rPr>
            <b/>
            <sz val="9"/>
            <color indexed="81"/>
            <rFont val="Tahoma"/>
            <family val="2"/>
          </rPr>
          <t>Quantumuser:</t>
        </r>
        <r>
          <rPr>
            <sz val="9"/>
            <color indexed="81"/>
            <rFont val="Tahoma"/>
            <family val="2"/>
          </rPr>
          <t xml:space="preserve">
rev0 = 49.86KT
rev1 = 50.62KT dom demand increase
rev2 = 51.24 OR ปรับโยก MT-BRP</t>
        </r>
      </text>
    </comment>
    <comment ref="AE115" authorId="0" shapeId="0" xr:uid="{00C13C05-A5FA-FD4F-8B63-3FF1B2C63303}">
      <text>
        <r>
          <rPr>
            <b/>
            <sz val="9"/>
            <color indexed="81"/>
            <rFont val="Tahoma"/>
            <family val="2"/>
          </rPr>
          <t>Quantumuser:</t>
        </r>
        <r>
          <rPr>
            <sz val="9"/>
            <color indexed="81"/>
            <rFont val="Tahoma"/>
            <family val="2"/>
          </rPr>
          <t xml:space="preserve">
rev0 = 53.06
rev1 = 54.46 or demand increase
rev2 = 53.38 OR demand drop covid lock down
rev3=50.88 or demand drop</t>
        </r>
      </text>
    </comment>
    <comment ref="AF115" authorId="0" shapeId="0" xr:uid="{315CB0D3-8725-B94C-916B-9946E09BCC18}">
      <text>
        <r>
          <rPr>
            <b/>
            <sz val="9"/>
            <color indexed="81"/>
            <rFont val="Tahoma"/>
            <family val="2"/>
          </rPr>
          <t>Quantumuser:</t>
        </r>
        <r>
          <rPr>
            <sz val="9"/>
            <color indexed="81"/>
            <rFont val="Tahoma"/>
            <family val="2"/>
          </rPr>
          <t xml:space="preserve">
 58.87
rev0 =  51.3 OR demand drop 
rev1 =51.73 สลับจุดจ่าย
Rev2 = 50.17 Or demand drop</t>
        </r>
      </text>
    </comment>
    <comment ref="AG115" authorId="0" shapeId="0" xr:uid="{278CE96F-D3CA-4040-8F3E-E673663BEB8E}">
      <text>
        <r>
          <rPr>
            <b/>
            <sz val="9"/>
            <color indexed="81"/>
            <rFont val="Tahoma"/>
            <family val="2"/>
          </rPr>
          <t>Quantumuser:</t>
        </r>
        <r>
          <rPr>
            <sz val="9"/>
            <color indexed="81"/>
            <rFont val="Tahoma"/>
            <family val="2"/>
          </rPr>
          <t xml:space="preserve">
rev0 = 53.74
Rev1= 50.82 OR demand drop</t>
        </r>
      </text>
    </comment>
    <comment ref="AH115" authorId="0" shapeId="0" xr:uid="{D594189F-622F-7641-BAA4-9D7339D54AB8}">
      <text>
        <r>
          <rPr>
            <b/>
            <sz val="9"/>
            <color rgb="FF000000"/>
            <rFont val="Tahoma"/>
            <family val="2"/>
          </rPr>
          <t>Quantumuser:</t>
        </r>
        <r>
          <rPr>
            <sz val="9"/>
            <color rgb="FF000000"/>
            <rFont val="Tahoma"/>
            <family val="2"/>
          </rPr>
          <t xml:space="preserve">
</t>
        </r>
        <r>
          <rPr>
            <sz val="9"/>
            <color rgb="FF000000"/>
            <rFont val="Tahoma"/>
            <family val="2"/>
          </rPr>
          <t xml:space="preserve">Rev0 = 50.45
</t>
        </r>
        <r>
          <rPr>
            <sz val="9"/>
            <color rgb="FF000000"/>
            <rFont val="Tahoma"/>
            <family val="2"/>
          </rPr>
          <t xml:space="preserve">Rev1 = 52.78 OR </t>
        </r>
        <r>
          <rPr>
            <sz val="9"/>
            <color rgb="FF000000"/>
            <rFont val="Tahoma"/>
            <family val="2"/>
          </rPr>
          <t>ขอเพิ่ม</t>
        </r>
        <r>
          <rPr>
            <sz val="9"/>
            <color rgb="FF000000"/>
            <rFont val="Tahoma"/>
            <family val="2"/>
          </rPr>
          <t xml:space="preserve">rev2 = 52.66 OR </t>
        </r>
        <r>
          <rPr>
            <sz val="9"/>
            <color rgb="FF000000"/>
            <rFont val="Tahoma"/>
            <family val="2"/>
          </rPr>
          <t>ช่วยลด</t>
        </r>
        <r>
          <rPr>
            <sz val="9"/>
            <color rgb="FF000000"/>
            <rFont val="Tahoma"/>
            <family val="2"/>
          </rPr>
          <t xml:space="preserve"> </t>
        </r>
        <r>
          <rPr>
            <sz val="9"/>
            <color rgb="FF000000"/>
            <rFont val="Tahoma"/>
            <family val="2"/>
          </rPr>
          <t>จาก</t>
        </r>
        <r>
          <rPr>
            <sz val="9"/>
            <color rgb="FF000000"/>
            <rFont val="Tahoma"/>
            <family val="2"/>
          </rPr>
          <t xml:space="preserve"> GSP invent 9
</t>
        </r>
      </text>
    </comment>
    <comment ref="AD116" authorId="0" shapeId="0" xr:uid="{4E4F5185-6BA9-014C-A872-F0871FC4C49A}">
      <text>
        <r>
          <rPr>
            <b/>
            <sz val="9"/>
            <color indexed="81"/>
            <rFont val="Tahoma"/>
            <family val="2"/>
          </rPr>
          <t>Quantumuser:</t>
        </r>
        <r>
          <rPr>
            <sz val="9"/>
            <color indexed="81"/>
            <rFont val="Tahoma"/>
            <family val="2"/>
          </rPr>
          <t xml:space="preserve">
rev0=53.24KT
rev1=54.70KT dom demand เพิ่ม
rev2 = 54.08 OR ปรับโยก MT-BRP</t>
        </r>
      </text>
    </comment>
    <comment ref="AE116" authorId="0" shapeId="0" xr:uid="{BB90C63C-96FA-F64E-92ED-F346C4172E56}">
      <text>
        <r>
          <rPr>
            <b/>
            <sz val="9"/>
            <color indexed="81"/>
            <rFont val="Tahoma"/>
            <family val="2"/>
          </rPr>
          <t>Quantumuser:</t>
        </r>
        <r>
          <rPr>
            <sz val="9"/>
            <color indexed="81"/>
            <rFont val="Tahoma"/>
            <family val="2"/>
          </rPr>
          <t xml:space="preserve">
Rev0 =52.94
rev1 = 51.99  OR demand drop covid lock down
rev2 = 5.81 OR demand drop
rev3 = 52.96 OR demand increase
rev4 = 53.96 OR demand increase</t>
        </r>
      </text>
    </comment>
    <comment ref="AF116" authorId="0" shapeId="0" xr:uid="{ED5999F7-A264-FE4E-AF08-5C9CF56EB436}">
      <text>
        <r>
          <rPr>
            <b/>
            <sz val="9"/>
            <color indexed="81"/>
            <rFont val="Tahoma"/>
            <family val="2"/>
          </rPr>
          <t>Quantumuser:</t>
        </r>
        <r>
          <rPr>
            <sz val="9"/>
            <color indexed="81"/>
            <rFont val="Tahoma"/>
            <family val="2"/>
          </rPr>
          <t xml:space="preserve">
 53.85
Rev0= 53.96 OR Demand drop
rev1 = 53.53 OR lลับจุดจ่าย
rev2 = 52.06 OR demand drop</t>
        </r>
      </text>
    </comment>
    <comment ref="AG116" authorId="0" shapeId="0" xr:uid="{488B4F83-B9F9-5847-9C46-750860051A7A}">
      <text>
        <r>
          <rPr>
            <b/>
            <sz val="9"/>
            <color indexed="81"/>
            <rFont val="Tahoma"/>
            <family val="2"/>
          </rPr>
          <t>Quantumuser:</t>
        </r>
        <r>
          <rPr>
            <sz val="9"/>
            <color indexed="81"/>
            <rFont val="Tahoma"/>
            <family val="2"/>
          </rPr>
          <t xml:space="preserve">
Rev0 =52.31
Rev1 = 52.13 ปรับลดในปริมาณที่เท่ากัน ที่ขอรับเพิ่, C3 truck
Rev2 = 52.08 or โยกจุดจ่ายไป PTTTANK ทางรถ</t>
        </r>
      </text>
    </comment>
    <comment ref="AH116" authorId="0" shapeId="0" xr:uid="{76DFA73D-0655-1A49-A00B-AA98796FFC77}">
      <text>
        <r>
          <rPr>
            <b/>
            <sz val="9"/>
            <color indexed="81"/>
            <rFont val="Tahoma"/>
            <family val="2"/>
          </rPr>
          <t>Quantumuser:</t>
        </r>
        <r>
          <rPr>
            <sz val="9"/>
            <color indexed="81"/>
            <rFont val="Tahoma"/>
            <family val="2"/>
          </rPr>
          <t xml:space="preserve">
Rev0 21.24
rev1 50.44 Orปรับลด เพื่อไปเพิ่มส่งออก
Rev2 = 50.72 PTTEP ลดส่ง
Rev 3 = 54.83 OR ขอเพิ่ม
Rev 4 = 55.1 OR ขอโยกจุดจ่าย
</t>
        </r>
      </text>
    </comment>
    <comment ref="AD117" authorId="0" shapeId="0" xr:uid="{CA66B47B-DDBE-F94C-849E-51BFC37EDD12}">
      <text>
        <r>
          <rPr>
            <b/>
            <sz val="9"/>
            <color indexed="81"/>
            <rFont val="Tahoma"/>
            <family val="2"/>
          </rPr>
          <t>Quantumuser:</t>
        </r>
        <r>
          <rPr>
            <sz val="9"/>
            <color indexed="81"/>
            <rFont val="Tahoma"/>
            <family val="2"/>
          </rPr>
          <t xml:space="preserve">
rev0 = 16KT
rev1 = 19.45KT, dom demand เพิ่ม 1.95, khm production drop 1.5 ขอเพิ่มแทน
</t>
        </r>
      </text>
    </comment>
    <comment ref="AF117" authorId="0" shapeId="0" xr:uid="{05F42118-9F8C-774E-83C5-E202B06FA14B}">
      <text>
        <r>
          <rPr>
            <b/>
            <sz val="9"/>
            <color indexed="81"/>
            <rFont val="Tahoma"/>
            <family val="2"/>
          </rPr>
          <t>Quantumuser:</t>
        </r>
        <r>
          <rPr>
            <sz val="9"/>
            <color indexed="81"/>
            <rFont val="Tahoma"/>
            <family val="2"/>
          </rPr>
          <t xml:space="preserve">
 15
Rev0 = 18 Or demand increase
rev1 = 19.6 ทดแทน KHM</t>
        </r>
      </text>
    </comment>
    <comment ref="AG117" authorId="0" shapeId="0" xr:uid="{4F558C75-5FD3-2D40-BF43-AEE412E6F9FA}">
      <text>
        <r>
          <rPr>
            <b/>
            <sz val="9"/>
            <color indexed="81"/>
            <rFont val="Tahoma"/>
            <family val="2"/>
          </rPr>
          <t>Quantumuser:</t>
        </r>
        <r>
          <rPr>
            <sz val="9"/>
            <color indexed="81"/>
            <rFont val="Tahoma"/>
            <family val="2"/>
          </rPr>
          <t xml:space="preserve">
Rev0 = 20.6
Rev1 = 19.6 ลกรับจากที่ไปรับ KHM เพิ่ม
Rev2 = 19.0 OR โยกไปทางรถ</t>
        </r>
      </text>
    </comment>
    <comment ref="AH117" authorId="0" shapeId="0" xr:uid="{1958EA58-1E19-1D4B-8191-F2130DD6C368}">
      <text>
        <r>
          <rPr>
            <b/>
            <sz val="9"/>
            <color indexed="81"/>
            <rFont val="Tahoma"/>
            <family val="2"/>
          </rPr>
          <t>Quantumuser:</t>
        </r>
        <r>
          <rPr>
            <sz val="9"/>
            <color indexed="81"/>
            <rFont val="Tahoma"/>
            <family val="2"/>
          </rPr>
          <t xml:space="preserve">
Rev0 = 18
Rev1 = 16.05 ลดจากที่ KHM ผลิตได้เพิ่ม
Rev2 15.05 Gc ส่งเพิ่ม ให้ผ่าน PTTANK
Rev3 = 14.78 GC ขอโยกจุดจ่ายไป BRP</t>
        </r>
      </text>
    </comment>
    <comment ref="AD118" authorId="0" shapeId="0" xr:uid="{E734FBF1-87FC-CB43-AD3D-A47FDC20D339}">
      <text>
        <r>
          <rPr>
            <b/>
            <sz val="9"/>
            <color indexed="81"/>
            <rFont val="Tahoma"/>
            <family val="2"/>
          </rPr>
          <t>Quantumuser:</t>
        </r>
        <r>
          <rPr>
            <sz val="9"/>
            <color indexed="81"/>
            <rFont val="Tahoma"/>
            <family val="2"/>
          </rPr>
          <t xml:space="preserve">
rev0 = 1.4
rev1 = 0.55 demand increase</t>
        </r>
      </text>
    </comment>
    <comment ref="AE118" authorId="0" shapeId="0" xr:uid="{E2FC9948-1F98-DA45-B98D-09A184BF917A}">
      <text>
        <r>
          <rPr>
            <b/>
            <sz val="9"/>
            <color indexed="81"/>
            <rFont val="Tahoma"/>
            <family val="2"/>
          </rPr>
          <t>Quantumuser:</t>
        </r>
        <r>
          <rPr>
            <sz val="9"/>
            <color indexed="81"/>
            <rFont val="Tahoma"/>
            <family val="2"/>
          </rPr>
          <t xml:space="preserve">
rev0 = 0.5
rev1 =0.45 OR demand drop</t>
        </r>
      </text>
    </comment>
    <comment ref="AG118" authorId="0" shapeId="0" xr:uid="{B25EB981-FCF1-024A-BDC6-7ED989CE8963}">
      <text>
        <r>
          <rPr>
            <b/>
            <sz val="9"/>
            <color indexed="81"/>
            <rFont val="Tahoma"/>
            <family val="2"/>
          </rPr>
          <t>Quantumuser:</t>
        </r>
        <r>
          <rPr>
            <sz val="9"/>
            <color indexed="81"/>
            <rFont val="Tahoma"/>
            <family val="2"/>
          </rPr>
          <t xml:space="preserve">
Rev0 =0.5
Rev1 = 0.6 OR demand เพิ่ม
rev2 = 0.65 or โยกจุดจ่ายมาจาก BRP</t>
        </r>
      </text>
    </comment>
    <comment ref="I119" authorId="3" shapeId="0" xr:uid="{1710CA45-8542-424F-9F00-F8AFA8F6E8EA}">
      <text>
        <r>
          <rPr>
            <b/>
            <sz val="9"/>
            <color indexed="81"/>
            <rFont val="Tahoma"/>
            <family val="2"/>
          </rPr>
          <t>Windows User:</t>
        </r>
        <r>
          <rPr>
            <sz val="9"/>
            <color indexed="81"/>
            <rFont val="Tahoma"/>
            <family val="2"/>
          </rPr>
          <t xml:space="preserve">
rev0 = 32
rev1 = 33.28 SGP ขอรับเพิ่ม 4%</t>
        </r>
      </text>
    </comment>
    <comment ref="J119" authorId="3" shapeId="0" xr:uid="{943704EE-77E3-4C42-A060-073BD904A704}">
      <text>
        <r>
          <rPr>
            <b/>
            <sz val="9"/>
            <color indexed="81"/>
            <rFont val="Tahoma"/>
            <family val="2"/>
          </rPr>
          <t>Windows User:</t>
        </r>
        <r>
          <rPr>
            <sz val="9"/>
            <color indexed="81"/>
            <rFont val="Tahoma"/>
            <family val="2"/>
          </rPr>
          <t xml:space="preserve">
rev0 = 32
rev1 = 33.6 SGP ขอรับเพิ่ม 5%</t>
        </r>
      </text>
    </comment>
    <comment ref="K119" authorId="3" shapeId="0" xr:uid="{FC7BF2AC-2A3E-0241-A28C-415DF9447610}">
      <text>
        <r>
          <rPr>
            <b/>
            <sz val="9"/>
            <color indexed="81"/>
            <rFont val="Tahoma"/>
            <family val="2"/>
          </rPr>
          <t>Windows User:</t>
        </r>
        <r>
          <rPr>
            <sz val="9"/>
            <color indexed="81"/>
            <rFont val="Tahoma"/>
            <family val="2"/>
          </rPr>
          <t xml:space="preserve">
rev0 = 32
rev1 = 33.6 SGP ขอรับเพิ่ม 5%</t>
        </r>
      </text>
    </comment>
    <comment ref="L119" authorId="3" shapeId="0" xr:uid="{9A41BB98-156E-5E47-B49D-86E6974456C4}">
      <text>
        <r>
          <rPr>
            <b/>
            <sz val="9"/>
            <color indexed="81"/>
            <rFont val="Tahoma"/>
            <family val="2"/>
          </rPr>
          <t>Windows User:</t>
        </r>
        <r>
          <rPr>
            <sz val="9"/>
            <color indexed="81"/>
            <rFont val="Tahoma"/>
            <family val="2"/>
          </rPr>
          <t xml:space="preserve">
rev0 = 32
rev1 = 33.6 SGP ขอรับเพิ่ม 5%</t>
        </r>
      </text>
    </comment>
    <comment ref="AD119" authorId="0" shapeId="0" xr:uid="{B0591917-3214-E64F-BCF1-5C2F5A97B9E8}">
      <text>
        <r>
          <rPr>
            <b/>
            <sz val="9"/>
            <color indexed="81"/>
            <rFont val="Tahoma"/>
            <family val="2"/>
          </rPr>
          <t>Quantumuser:</t>
        </r>
        <r>
          <rPr>
            <sz val="9"/>
            <color indexed="81"/>
            <rFont val="Tahoma"/>
            <family val="2"/>
          </rPr>
          <t xml:space="preserve">
rev0 = 13
rev1 = 13.5 สลับปริมาณ UGP</t>
        </r>
      </text>
    </comment>
    <comment ref="AH119" authorId="0" shapeId="0" xr:uid="{B36EECA0-0651-2B41-A8FB-5AB830D05D71}">
      <text>
        <r>
          <rPr>
            <b/>
            <sz val="9"/>
            <color rgb="FF000000"/>
            <rFont val="Tahoma"/>
            <family val="2"/>
          </rPr>
          <t>Quantumuser:</t>
        </r>
        <r>
          <rPr>
            <sz val="9"/>
            <color rgb="FF000000"/>
            <rFont val="Tahoma"/>
            <family val="2"/>
          </rPr>
          <t xml:space="preserve">
</t>
        </r>
        <r>
          <rPr>
            <sz val="9"/>
            <color rgb="FF000000"/>
            <rFont val="Tahoma"/>
            <family val="2"/>
          </rPr>
          <t xml:space="preserve">Rev0 = 13
</t>
        </r>
      </text>
    </comment>
    <comment ref="I120" authorId="3" shapeId="0" xr:uid="{7E394988-347A-484F-A173-8BFC621B5E7C}">
      <text>
        <r>
          <rPr>
            <b/>
            <sz val="9"/>
            <color indexed="81"/>
            <rFont val="Tahoma"/>
            <family val="2"/>
          </rPr>
          <t>Windows User:</t>
        </r>
        <r>
          <rPr>
            <sz val="9"/>
            <color indexed="81"/>
            <rFont val="Tahoma"/>
            <family val="2"/>
          </rPr>
          <t xml:space="preserve">
rev0 = 12 KT
rev1 = 12.48 KT SGP ขอรับเพิ่ม 4%</t>
        </r>
      </text>
    </comment>
    <comment ref="J120" authorId="3" shapeId="0" xr:uid="{59230BA5-9FBD-514B-8263-212A70CEFC98}">
      <text>
        <r>
          <rPr>
            <b/>
            <sz val="9"/>
            <color indexed="81"/>
            <rFont val="Tahoma"/>
            <family val="2"/>
          </rPr>
          <t>Windows User:</t>
        </r>
        <r>
          <rPr>
            <sz val="9"/>
            <color indexed="81"/>
            <rFont val="Tahoma"/>
            <family val="2"/>
          </rPr>
          <t xml:space="preserve">
rev0 = 12 KT
rev1 = 12.6 KT SGP ขอรับเพิ่ม 5%</t>
        </r>
      </text>
    </comment>
    <comment ref="K120" authorId="3" shapeId="0" xr:uid="{73484103-464C-0745-9373-7EFFB133B652}">
      <text>
        <r>
          <rPr>
            <b/>
            <sz val="9"/>
            <color indexed="81"/>
            <rFont val="Tahoma"/>
            <family val="2"/>
          </rPr>
          <t>Windows User:</t>
        </r>
        <r>
          <rPr>
            <sz val="9"/>
            <color indexed="81"/>
            <rFont val="Tahoma"/>
            <family val="2"/>
          </rPr>
          <t xml:space="preserve">
rev0 = 12 KT
rev1 = 12.6 KT SGP ขอรับเพิ่ม 5%</t>
        </r>
      </text>
    </comment>
    <comment ref="L120" authorId="3" shapeId="0" xr:uid="{A2FACF3D-42F9-DD4E-B208-0872C763ADCE}">
      <text>
        <r>
          <rPr>
            <b/>
            <sz val="9"/>
            <color indexed="81"/>
            <rFont val="Tahoma"/>
            <family val="2"/>
          </rPr>
          <t>Windows User:</t>
        </r>
        <r>
          <rPr>
            <sz val="9"/>
            <color indexed="81"/>
            <rFont val="Tahoma"/>
            <family val="2"/>
          </rPr>
          <t xml:space="preserve">
rev0 = 12 KT
rev1 = 12.6 KT SGP ขอรับเพิ่ม 5%</t>
        </r>
      </text>
    </comment>
    <comment ref="AD120" authorId="0" shapeId="0" xr:uid="{62A845DF-BE09-C04A-83B7-601F1181A17D}">
      <text>
        <r>
          <rPr>
            <b/>
            <sz val="9"/>
            <color indexed="81"/>
            <rFont val="Tahoma"/>
            <family val="2"/>
          </rPr>
          <t>Quantumuser:</t>
        </r>
        <r>
          <rPr>
            <sz val="9"/>
            <color indexed="81"/>
            <rFont val="Tahoma"/>
            <family val="2"/>
          </rPr>
          <t xml:space="preserve">
rev0 = 23.0
rev1 = 23.5 สลับปริมาณ  SGP</t>
        </r>
      </text>
    </comment>
    <comment ref="AD129" authorId="0" shapeId="0" xr:uid="{AA157EF8-993C-E247-BEDB-94924789D070}">
      <text>
        <r>
          <rPr>
            <b/>
            <sz val="9"/>
            <color indexed="81"/>
            <rFont val="Tahoma"/>
            <family val="2"/>
          </rPr>
          <t>Quantumuser:</t>
        </r>
        <r>
          <rPr>
            <sz val="9"/>
            <color indexed="81"/>
            <rFont val="Tahoma"/>
            <family val="2"/>
          </rPr>
          <t xml:space="preserve">
Rev0 = 9.12 Demand increase +1.5
rev1 = 10.62 demand increase
rev2 = 11.43 sprc tank top ส่งออกเพิ่ม dom ของน้อยลง
rev3 = +0.11 ปรับเพิ่มจาก sprc และ +0.5 ตาม demand increase</t>
        </r>
      </text>
    </comment>
    <comment ref="AE129" authorId="0" shapeId="0" xr:uid="{00FEE003-EEE6-FB48-AC82-0F8F69727EEB}">
      <text>
        <r>
          <rPr>
            <b/>
            <sz val="9"/>
            <color indexed="81"/>
            <rFont val="Tahoma"/>
            <family val="2"/>
          </rPr>
          <t>Quantumuser:</t>
        </r>
        <r>
          <rPr>
            <sz val="9"/>
            <color indexed="81"/>
            <rFont val="Tahoma"/>
            <family val="2"/>
          </rPr>
          <t xml:space="preserve">
Rev0 =10.88
rev1 = 11.60 ทดแทน sprc production drop</t>
        </r>
      </text>
    </comment>
    <comment ref="AF129" authorId="0" shapeId="0" xr:uid="{52051E23-0EDF-D343-A1A2-849533AB396F}">
      <text>
        <r>
          <rPr>
            <b/>
            <sz val="9"/>
            <color indexed="81"/>
            <rFont val="Tahoma"/>
            <family val="2"/>
          </rPr>
          <t>Quantumuser:</t>
        </r>
        <r>
          <rPr>
            <sz val="9"/>
            <color indexed="81"/>
            <rFont val="Tahoma"/>
            <family val="2"/>
          </rPr>
          <t xml:space="preserve">
Rev0 = 10.28
Rev1 = 7.28 wp demand dro[</t>
        </r>
      </text>
    </comment>
    <comment ref="AG129" authorId="0" shapeId="0" xr:uid="{68268AFD-B1C7-AA4F-81A4-6EED9C67E1D9}">
      <text>
        <r>
          <rPr>
            <b/>
            <sz val="9"/>
            <color indexed="81"/>
            <rFont val="Tahoma"/>
            <family val="2"/>
          </rPr>
          <t>Quantumuser:</t>
        </r>
        <r>
          <rPr>
            <sz val="9"/>
            <color indexed="81"/>
            <rFont val="Tahoma"/>
            <family val="2"/>
          </rPr>
          <t xml:space="preserve">
Rev0 = 10
Rev1 = 9 WP demand drop</t>
        </r>
      </text>
    </comment>
    <comment ref="AH129" authorId="0" shapeId="0" xr:uid="{6349DCA6-02A4-4447-BDA1-1CE412BE376D}">
      <text>
        <r>
          <rPr>
            <b/>
            <sz val="9"/>
            <color indexed="81"/>
            <rFont val="Tahoma"/>
            <family val="2"/>
          </rPr>
          <t>Quantumuser:</t>
        </r>
        <r>
          <rPr>
            <sz val="9"/>
            <color indexed="81"/>
            <rFont val="Tahoma"/>
            <family val="2"/>
          </rPr>
          <t xml:space="preserve">
Rev0 = 7.4
Rev1 = 8.2 demand เพิ่ม
rev2 = 9.0 SPRC under supply 0.9 แต่ตาม tolorance ให้เพิ่ม 0.8 ได้</t>
        </r>
      </text>
    </comment>
    <comment ref="J132" authorId="0" shapeId="0" xr:uid="{6165DC8F-FD27-0145-B0A0-4835BBA38D8E}">
      <text>
        <r>
          <rPr>
            <b/>
            <sz val="9"/>
            <color indexed="81"/>
            <rFont val="Tahoma"/>
            <family val="2"/>
          </rPr>
          <t>Quantumuser:</t>
        </r>
        <r>
          <rPr>
            <sz val="9"/>
            <color indexed="81"/>
            <rFont val="Tahoma"/>
            <family val="2"/>
          </rPr>
          <t xml:space="preserve">
rev0 = 2
rev 1 = 1.2 KT</t>
        </r>
      </text>
    </comment>
    <comment ref="K132" authorId="0" shapeId="0" xr:uid="{898C8617-7B09-A04A-B1A6-AB1ABADCED64}">
      <text>
        <r>
          <rPr>
            <b/>
            <sz val="9"/>
            <color indexed="81"/>
            <rFont val="Tahoma"/>
            <family val="2"/>
          </rPr>
          <t>Quantumuser:</t>
        </r>
        <r>
          <rPr>
            <sz val="9"/>
            <color indexed="81"/>
            <rFont val="Tahoma"/>
            <family val="2"/>
          </rPr>
          <t xml:space="preserve">
rev0 3 KT
rev1 = 3.4 KT โยกมาจากเดือน ธค. 62 = 0.4 KT</t>
        </r>
      </text>
    </comment>
    <comment ref="L132" authorId="0" shapeId="0" xr:uid="{4F93D133-0359-6144-B316-0EA725E2DB4F}">
      <text>
        <r>
          <rPr>
            <b/>
            <sz val="9"/>
            <color indexed="81"/>
            <rFont val="Tahoma"/>
            <family val="2"/>
          </rPr>
          <t>Quantumuser:</t>
        </r>
        <r>
          <rPr>
            <sz val="9"/>
            <color indexed="81"/>
            <rFont val="Tahoma"/>
            <family val="2"/>
          </rPr>
          <t xml:space="preserve">
rev0 3 KT
rev1 = 2.6 KT โยกไปส่งในเดือน พย. 62 แล้ว = 0.4 KT
rev2 = 3.1 KT ตช. ขายเพิ่ม</t>
        </r>
      </text>
    </comment>
    <comment ref="AE132" authorId="0" shapeId="0" xr:uid="{737F1F49-10D0-B744-BFFE-B1A0C1659311}">
      <text>
        <r>
          <rPr>
            <b/>
            <sz val="9"/>
            <color indexed="81"/>
            <rFont val="Tahoma"/>
            <family val="2"/>
          </rPr>
          <t>Vol IRPC ยืม ต้องคืนด้วย:</t>
        </r>
        <r>
          <rPr>
            <sz val="9"/>
            <color indexed="81"/>
            <rFont val="Tahoma"/>
            <family val="2"/>
          </rPr>
          <t xml:space="preserve">
Rev0 1.95 
Rev1 = 1.2 IRPC Demand drop
rev2= 0.6 irpc ปรับจุดรับ</t>
        </r>
      </text>
    </comment>
    <comment ref="AF132" authorId="0" shapeId="0" xr:uid="{8CF91AB1-2E28-4D4C-8864-FF90E0C4A16A}">
      <text>
        <r>
          <rPr>
            <b/>
            <sz val="9"/>
            <color indexed="81"/>
            <rFont val="Tahoma"/>
            <family val="2"/>
          </rPr>
          <t>Vol IRPC ยืม ต้องคืนด้วย:</t>
        </r>
        <r>
          <rPr>
            <sz val="9"/>
            <color indexed="81"/>
            <rFont val="Tahoma"/>
            <family val="2"/>
          </rPr>
          <t xml:space="preserve">
Rev0 1.3
Rev1 = 0.6 IRPC Demand drop
rev2 = 1.2 IRPC ปรับจุดรับ
rev3 = 1.85 demand เพิ่ม</t>
        </r>
      </text>
    </comment>
    <comment ref="J137" authorId="3" shapeId="0" xr:uid="{0CA6323B-790C-D742-B0C5-9096D325E835}">
      <text>
        <r>
          <rPr>
            <b/>
            <sz val="9"/>
            <color indexed="81"/>
            <rFont val="Tahoma"/>
            <family val="2"/>
          </rPr>
          <t>Windows User:</t>
        </r>
        <r>
          <rPr>
            <sz val="9"/>
            <color indexed="81"/>
            <rFont val="Tahoma"/>
            <family val="2"/>
          </rPr>
          <t xml:space="preserve">
rev0 = 4
rev1 = 4.2</t>
        </r>
      </text>
    </comment>
    <comment ref="G143" authorId="0" shapeId="0" xr:uid="{A855E4CF-1601-1F47-BABE-09FEE28FC511}">
      <text>
        <r>
          <rPr>
            <b/>
            <sz val="9"/>
            <color indexed="81"/>
            <rFont val="Tahoma"/>
            <family val="2"/>
          </rPr>
          <t>Quantumuser:
rev0=0
rev1=2  GC ปรับเพิ่มจาก 19 เป็น 21 KT</t>
        </r>
      </text>
    </comment>
    <comment ref="AH144" authorId="0" shapeId="0" xr:uid="{684B0638-A7B4-194C-AF4D-2F93120A4038}">
      <text>
        <r>
          <rPr>
            <b/>
            <sz val="9"/>
            <color rgb="FF000000"/>
            <rFont val="Tahoma"/>
            <family val="2"/>
          </rPr>
          <t>Quantumuser:</t>
        </r>
        <r>
          <rPr>
            <sz val="9"/>
            <color rgb="FF000000"/>
            <rFont val="Tahoma"/>
            <family val="2"/>
          </rPr>
          <t xml:space="preserve">
</t>
        </r>
        <r>
          <rPr>
            <sz val="9"/>
            <color rgb="FF000000"/>
            <rFont val="Tahoma"/>
            <family val="2"/>
          </rPr>
          <t xml:space="preserve">GC </t>
        </r>
        <r>
          <rPr>
            <sz val="9"/>
            <color rgb="FF000000"/>
            <rFont val="Tahoma"/>
            <family val="2"/>
          </rPr>
          <t>ส่ง</t>
        </r>
        <r>
          <rPr>
            <sz val="9"/>
            <color rgb="FF000000"/>
            <rFont val="Tahoma"/>
            <family val="2"/>
          </rPr>
          <t xml:space="preserve"> </t>
        </r>
        <r>
          <rPr>
            <sz val="9"/>
            <color rgb="FF000000"/>
            <rFont val="Tahoma"/>
            <family val="2"/>
          </rPr>
          <t>เพิ่ม</t>
        </r>
        <r>
          <rPr>
            <sz val="9"/>
            <color rgb="FF000000"/>
            <rFont val="Tahoma"/>
            <family val="2"/>
          </rPr>
          <t xml:space="preserve"> </t>
        </r>
        <r>
          <rPr>
            <sz val="9"/>
            <color rgb="FF000000"/>
            <rFont val="Tahoma"/>
            <family val="2"/>
          </rPr>
          <t>มีของ</t>
        </r>
      </text>
    </comment>
    <comment ref="L149" authorId="3" shapeId="0" xr:uid="{67DA6CC9-1410-7E4D-B4DE-7E2F97239E15}">
      <text>
        <r>
          <rPr>
            <b/>
            <sz val="9"/>
            <color indexed="81"/>
            <rFont val="Tahoma"/>
            <family val="2"/>
          </rPr>
          <t xml:space="preserve">Windows User:
</t>
        </r>
        <r>
          <rPr>
            <sz val="9"/>
            <color indexed="81"/>
            <rFont val="Tahoma"/>
            <family val="2"/>
          </rPr>
          <t>rev0 = 1.8
rev1 = 2.4  ตช ขายเพิ่ม</t>
        </r>
      </text>
    </comment>
    <comment ref="J152" authorId="3" shapeId="0" xr:uid="{41565178-AAC2-B54B-A6D0-D20EF388411D}">
      <text>
        <r>
          <rPr>
            <b/>
            <sz val="9"/>
            <color indexed="81"/>
            <rFont val="Tahoma"/>
            <family val="2"/>
          </rPr>
          <t>Windows User:</t>
        </r>
        <r>
          <rPr>
            <sz val="9"/>
            <color indexed="81"/>
            <rFont val="Tahoma"/>
            <family val="2"/>
          </rPr>
          <t xml:space="preserve">
rev0 = 5
rev1 = 6.4</t>
        </r>
      </text>
    </comment>
    <comment ref="K152" authorId="3" shapeId="0" xr:uid="{62FA834B-8AB7-7841-8943-0C931A10312C}">
      <text>
        <r>
          <rPr>
            <b/>
            <sz val="9"/>
            <color indexed="81"/>
            <rFont val="Tahoma"/>
            <family val="2"/>
          </rPr>
          <t>Windows User:</t>
        </r>
        <r>
          <rPr>
            <sz val="9"/>
            <color indexed="81"/>
            <rFont val="Tahoma"/>
            <family val="2"/>
          </rPr>
          <t xml:space="preserve">
rev0 = 5
rev1 = 6.4
rev2 = 5.6
</t>
        </r>
      </text>
    </comment>
    <comment ref="L152" authorId="3" shapeId="0" xr:uid="{C0C13B97-C8DC-5645-8B7D-0ABE9F4B5E7E}">
      <text>
        <r>
          <rPr>
            <b/>
            <sz val="9"/>
            <color indexed="81"/>
            <rFont val="Tahoma"/>
            <family val="2"/>
          </rPr>
          <t>Windows User:</t>
        </r>
        <r>
          <rPr>
            <sz val="9"/>
            <color indexed="81"/>
            <rFont val="Tahoma"/>
            <family val="2"/>
          </rPr>
          <t xml:space="preserve">
rev0 = 5
rev1 = 5.7
</t>
        </r>
      </text>
    </comment>
    <comment ref="AD163" authorId="0" shapeId="0" xr:uid="{67B666EF-2662-9F4D-9AF0-3754E888F248}">
      <text>
        <r>
          <rPr>
            <b/>
            <sz val="9"/>
            <color indexed="81"/>
            <rFont val="Tahoma"/>
            <family val="2"/>
          </rPr>
          <t>Quantumuser:</t>
        </r>
        <r>
          <rPr>
            <sz val="9"/>
            <color indexed="81"/>
            <rFont val="Tahoma"/>
            <family val="2"/>
          </rPr>
          <t xml:space="preserve">
rev0 = 4.38
rev1 = 3.57 sprc tank top ส่งออกเพิ่ม dom ของน้อยลง
rev 2 = 3.46 sprc ส่งได้ต่ำกว่าแผนตามขนาดเรือ</t>
        </r>
      </text>
    </comment>
    <comment ref="AE163" authorId="0" shapeId="0" xr:uid="{784EFCA3-A97D-5244-9D1B-6DFEDCE69E65}">
      <text>
        <r>
          <rPr>
            <b/>
            <sz val="9"/>
            <color indexed="81"/>
            <rFont val="Tahoma"/>
            <family val="2"/>
          </rPr>
          <t>Quantumuser:</t>
        </r>
        <r>
          <rPr>
            <sz val="9"/>
            <color indexed="81"/>
            <rFont val="Tahoma"/>
            <family val="2"/>
          </rPr>
          <t xml:space="preserve">
Rev0 = 4.12
Rev1 = 3.4 SPPC production drop</t>
        </r>
      </text>
    </comment>
    <comment ref="AH163" authorId="0" shapeId="0" xr:uid="{6C75949F-33F4-AD40-87E7-62D5F3472132}">
      <text>
        <r>
          <rPr>
            <b/>
            <sz val="9"/>
            <color rgb="FF000000"/>
            <rFont val="Tahoma"/>
            <family val="2"/>
          </rPr>
          <t>Quantumuser:</t>
        </r>
        <r>
          <rPr>
            <sz val="9"/>
            <color rgb="FF000000"/>
            <rFont val="Tahoma"/>
            <family val="2"/>
          </rPr>
          <t xml:space="preserve">
</t>
        </r>
        <r>
          <rPr>
            <sz val="9"/>
            <color rgb="FF000000"/>
            <rFont val="Tahoma"/>
            <family val="2"/>
          </rPr>
          <t xml:space="preserve">Rev0 = 3.4
</t>
        </r>
        <r>
          <rPr>
            <sz val="9"/>
            <color rgb="FF000000"/>
            <rFont val="Tahoma"/>
            <family val="2"/>
          </rPr>
          <t>Rev1 =2.5 SPRC under supply</t>
        </r>
      </text>
    </comment>
    <comment ref="AD165" authorId="0" shapeId="0" xr:uid="{B14AB110-3D78-7342-A4C5-CA7CB7F5EFBC}">
      <text>
        <r>
          <rPr>
            <b/>
            <sz val="9"/>
            <color indexed="81"/>
            <rFont val="Tahoma"/>
            <family val="2"/>
          </rPr>
          <t>Quantumuser:</t>
        </r>
        <r>
          <rPr>
            <sz val="9"/>
            <color indexed="81"/>
            <rFont val="Tahoma"/>
            <family val="2"/>
          </rPr>
          <t xml:space="preserve">
rev0 = 5.55
rev1 = 5.99 PTTEP production increase</t>
        </r>
      </text>
    </comment>
    <comment ref="AF166" authorId="0" shapeId="0" xr:uid="{B90A6145-33F6-6247-BA9B-39348FE630F4}">
      <text>
        <r>
          <rPr>
            <b/>
            <sz val="9"/>
            <color indexed="81"/>
            <rFont val="Tahoma"/>
            <family val="2"/>
          </rPr>
          <t>Quantumuser:</t>
        </r>
        <r>
          <rPr>
            <sz val="9"/>
            <color indexed="81"/>
            <rFont val="Tahoma"/>
            <family val="2"/>
          </rPr>
          <t xml:space="preserve">
Rev0 = 14.6
rev1 = 13 Khm delay statup</t>
        </r>
      </text>
    </comment>
    <comment ref="AG166" authorId="0" shapeId="0" xr:uid="{5BA5C1CB-7588-C24D-B25E-5A4DEC84BB21}">
      <text>
        <r>
          <rPr>
            <b/>
            <sz val="9"/>
            <color indexed="81"/>
            <rFont val="Tahoma"/>
            <family val="2"/>
          </rPr>
          <t>Quantumuser:</t>
        </r>
        <r>
          <rPr>
            <sz val="9"/>
            <color indexed="81"/>
            <rFont val="Tahoma"/>
            <family val="2"/>
          </rPr>
          <t xml:space="preserve">
Rev0 =15
Rev1 =16.5 KHM supply เพิ่มจาก demand โรงไฟฟ้า</t>
        </r>
      </text>
    </comment>
    <comment ref="AH166" authorId="0" shapeId="0" xr:uid="{F92A2D24-BF28-D046-A262-FF13D1B993D9}">
      <text>
        <r>
          <rPr>
            <b/>
            <sz val="9"/>
            <color indexed="81"/>
            <rFont val="Tahoma"/>
            <family val="2"/>
          </rPr>
          <t>Quantumuser:</t>
        </r>
        <r>
          <rPr>
            <sz val="9"/>
            <color indexed="81"/>
            <rFont val="Tahoma"/>
            <family val="2"/>
          </rPr>
          <t xml:space="preserve">
Rev0 = 16.5
Rev1 = 18.45 รฟฟ ขนอม demand เพิ่ม</t>
        </r>
      </text>
    </comment>
    <comment ref="A198" authorId="3" shapeId="0" xr:uid="{E33A74AF-893C-3842-9045-1BE4BE615707}">
      <text>
        <r>
          <rPr>
            <b/>
            <sz val="9"/>
            <color indexed="81"/>
            <rFont val="Tahoma"/>
            <family val="2"/>
          </rPr>
          <t>Windows User:
ability row 50</t>
        </r>
        <r>
          <rPr>
            <b/>
            <sz val="9"/>
            <color indexed="81"/>
            <rFont val="Tahoma"/>
            <family val="2"/>
          </rPr>
          <t xml:space="preserve">
</t>
        </r>
      </text>
    </comment>
    <comment ref="A200" authorId="3" shapeId="0" xr:uid="{E5A64D72-04F7-894B-99AC-E27E8C8B9A46}">
      <text>
        <r>
          <rPr>
            <b/>
            <sz val="9"/>
            <color indexed="81"/>
            <rFont val="Tahoma"/>
            <family val="2"/>
          </rPr>
          <t>Windows User:</t>
        </r>
        <r>
          <rPr>
            <sz val="9"/>
            <color indexed="81"/>
            <rFont val="Tahoma"/>
            <family val="2"/>
          </rPr>
          <t xml:space="preserve">
ability row 58</t>
        </r>
      </text>
    </comment>
    <comment ref="A201" authorId="3" shapeId="0" xr:uid="{C1C5C908-A880-4449-805A-CBB421FD6C18}">
      <text>
        <r>
          <rPr>
            <b/>
            <sz val="9"/>
            <color indexed="81"/>
            <rFont val="Tahoma"/>
            <family val="2"/>
          </rPr>
          <t>Windows User:</t>
        </r>
        <r>
          <rPr>
            <sz val="9"/>
            <color indexed="81"/>
            <rFont val="Tahoma"/>
            <family val="2"/>
          </rPr>
          <t xml:space="preserve">
ability row 59
</t>
        </r>
      </text>
    </comment>
    <comment ref="A202" authorId="3" shapeId="0" xr:uid="{BA8DBE1C-8541-9844-A18E-F3582C069076}">
      <text>
        <r>
          <rPr>
            <b/>
            <sz val="9"/>
            <color indexed="81"/>
            <rFont val="Tahoma"/>
            <family val="2"/>
          </rPr>
          <t>Windows User:</t>
        </r>
        <r>
          <rPr>
            <sz val="9"/>
            <color indexed="81"/>
            <rFont val="Tahoma"/>
            <family val="2"/>
          </rPr>
          <t xml:space="preserve">
ability row 66</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tc={14FDF8E9-0649-2240-804F-4761139220AA}</author>
    <author>tc={193436A3-F0CF-B54B-A8EE-216356031C9A}</author>
    <author>Quantumuser</author>
    <author>Windows User</author>
    <author>Microsoft Office User</author>
    <author>tc={FB268740-A5F3-1A4E-8C22-A1D88C89E57A}</author>
    <author>tc={3DE4B898-5395-5C49-BD43-89AE7B87983C}</author>
  </authors>
  <commentList>
    <comment ref="AO6" authorId="0" shapeId="0" xr:uid="{14FDF8E9-0649-2240-804F-4761139220AA}">
      <text>
        <t xml:space="preserve">[Threaded comment]
Your version of Excel allows you to read this threaded comment; however, any edits to it will get removed if the file is opened in a newer version of Excel. Learn more: https://go.microsoft.com/fwlink/?linkid=870924
Comment:
    ได้มาจาก 24377 (oct-21) +ability เดือน nov21 ของ C3 และ LGP -ยอดขายลูกค้า C3 และ LPG </t>
      </text>
    </comment>
    <comment ref="AP6" authorId="1" shapeId="0" xr:uid="{193436A3-F0CF-B54B-A8EE-216356031C9A}">
      <text>
        <t xml:space="preserve">[Threaded comment]
Your version of Excel allows you to read this threaded comment; however, any edits to it will get removed if the file is opened in a newer version of Excel. Learn more: https://go.microsoft.com/fwlink/?linkid=870924
Comment:
    ได้มาจาก 24377 (oct-21) +ability เดือน nov21 ของ C3 และ LGP -ยอดขายลูกค้า C3 และ LPG </t>
      </text>
    </comment>
    <comment ref="J8" authorId="2" shapeId="0" xr:uid="{00000000-0006-0000-0200-000001000000}">
      <text>
        <r>
          <rPr>
            <b/>
            <sz val="9"/>
            <color indexed="81"/>
            <rFont val="Tahoma"/>
            <family val="2"/>
          </rPr>
          <t>Quantumuser:</t>
        </r>
        <r>
          <rPr>
            <sz val="9"/>
            <color indexed="81"/>
            <rFont val="Tahoma"/>
            <family val="2"/>
          </rPr>
          <t xml:space="preserve">
rev0 = 26 KT
rev1 = 33 KT
</t>
        </r>
      </text>
    </comment>
    <comment ref="K8" authorId="2" shapeId="0" xr:uid="{00000000-0006-0000-0200-000002000000}">
      <text>
        <r>
          <rPr>
            <b/>
            <sz val="9"/>
            <color indexed="81"/>
            <rFont val="Tahoma"/>
            <family val="2"/>
          </rPr>
          <t>Quantumuser:</t>
        </r>
        <r>
          <rPr>
            <sz val="9"/>
            <color indexed="81"/>
            <rFont val="Tahoma"/>
            <family val="2"/>
          </rPr>
          <t xml:space="preserve">
rev0 = 18 KT
rev1 = 13 KT โยกไปเดือน ธค 62 = 5 KT
rev2 = 11.6 ดึงต่ำกว่าแผน
</t>
        </r>
      </text>
    </comment>
    <comment ref="L8" authorId="2" shapeId="0" xr:uid="{00000000-0006-0000-0200-000003000000}">
      <text>
        <r>
          <rPr>
            <b/>
            <sz val="9"/>
            <color indexed="81"/>
            <rFont val="Tahoma"/>
            <family val="2"/>
          </rPr>
          <t>Quantumuser:</t>
        </r>
        <r>
          <rPr>
            <sz val="9"/>
            <color indexed="81"/>
            <rFont val="Tahoma"/>
            <family val="2"/>
          </rPr>
          <t xml:space="preserve">
rev0 = 5
rev1 = 10 โยกมาจากเดือน พย 62
rev2 = 12 เพื่อ clear block ถัง
rev3 = 14.1 KT โยกมาจากเดือน มค. 63 เนื่องจาก ปก. แจ้ง งแต่วันที่ 25 ธ.ค. 62 Tax LPG ใน Sphere มีปริมาณค่อนข้างน้อย ซึ่งจะส่งผลให้เรือในประเทศที่มารับ LPG ที่ MT delay ดังนั้น เพื่อไม่ให้เกิดผลกระทบต่อลูกค้า LPG ทั้งหมดของ PTT รบกวน PTT พิจารณาเพิ่มการใช้ Impo-Untax/Untax สำหรับในประเทศเป็นปริมาณ 2,100 ตัน (ในกรณีที่ ปก. เพิ่มการรับ LPG จาก GSP เพื่อเพิ่มปริมาณ Tax ให้เพียงพอในการจ่ายลูกค้า จะส่งผลให้เรือ Import delay แทน)</t>
        </r>
      </text>
    </comment>
    <comment ref="M8" authorId="2" shapeId="0" xr:uid="{00000000-0006-0000-0200-000004000000}">
      <text>
        <r>
          <rPr>
            <b/>
            <sz val="9"/>
            <color indexed="81"/>
            <rFont val="Tahoma"/>
            <family val="2"/>
          </rPr>
          <t>Quantumuser:</t>
        </r>
        <r>
          <rPr>
            <sz val="9"/>
            <color indexed="81"/>
            <rFont val="Tahoma"/>
            <family val="2"/>
          </rPr>
          <t xml:space="preserve">
rev0 = 15
rev1 = 22 KT เพื่อ balance ถังให้ปิดที่ 36%
rev2 = 19.9 KT โยกไปจ่ายเดือน ธค. 62 ก่อน
rev3 = 0 KT Petro ลดการรับ (HMC, PTTAC, GC) และ GSP ลดกำลังการผลิต เนื่องจาก Petro blackout
</t>
        </r>
      </text>
    </comment>
    <comment ref="R8" authorId="3" shapeId="0" xr:uid="{00000000-0006-0000-0200-000005000000}">
      <text>
        <r>
          <rPr>
            <b/>
            <sz val="9"/>
            <color indexed="81"/>
            <rFont val="Tahoma"/>
            <family val="2"/>
          </rPr>
          <t>Windows User:</t>
        </r>
        <r>
          <rPr>
            <sz val="9"/>
            <color indexed="81"/>
            <rFont val="Tahoma"/>
            <family val="2"/>
          </rPr>
          <t xml:space="preserve">
ดึง import ได้ max 3 KT</t>
        </r>
      </text>
    </comment>
    <comment ref="S8" authorId="3" shapeId="0" xr:uid="{00000000-0006-0000-0200-000006000000}">
      <text>
        <r>
          <rPr>
            <b/>
            <sz val="9"/>
            <color indexed="81"/>
            <rFont val="Tahoma"/>
            <family val="2"/>
          </rPr>
          <t>Windows User:</t>
        </r>
        <r>
          <rPr>
            <sz val="9"/>
            <color indexed="81"/>
            <rFont val="Tahoma"/>
            <family val="2"/>
          </rPr>
          <t xml:space="preserve">
import ที่สามารถดึงได้ 13 KT
</t>
        </r>
      </text>
    </comment>
    <comment ref="U8" authorId="3" shapeId="0" xr:uid="{00000000-0006-0000-0200-000007000000}">
      <text>
        <r>
          <rPr>
            <b/>
            <sz val="9"/>
            <color indexed="81"/>
            <rFont val="Tahoma"/>
            <family val="2"/>
          </rPr>
          <t>Windows User:</t>
        </r>
        <r>
          <rPr>
            <sz val="9"/>
            <color indexed="81"/>
            <rFont val="Tahoma"/>
            <family val="2"/>
          </rPr>
          <t xml:space="preserve">
GC 6 
PTTOR 4</t>
        </r>
      </text>
    </comment>
    <comment ref="Z8" authorId="3" shapeId="0" xr:uid="{00000000-0006-0000-0200-000008000000}">
      <text>
        <r>
          <rPr>
            <b/>
            <sz val="9"/>
            <color rgb="FF000000"/>
            <rFont val="Tahoma"/>
            <family val="2"/>
          </rPr>
          <t xml:space="preserve">Windows User:
</t>
        </r>
        <r>
          <rPr>
            <b/>
            <sz val="9"/>
            <color rgb="FF000000"/>
            <rFont val="Tahoma"/>
            <family val="2"/>
          </rPr>
          <t>ดึงจริง</t>
        </r>
        <r>
          <rPr>
            <b/>
            <sz val="9"/>
            <color rgb="FF000000"/>
            <rFont val="Tahoma"/>
            <family val="2"/>
          </rPr>
          <t xml:space="preserve"> 34 KT </t>
        </r>
        <r>
          <rPr>
            <b/>
            <sz val="9"/>
            <color rgb="FF000000"/>
            <rFont val="Tahoma"/>
            <family val="2"/>
          </rPr>
          <t>เนื่องจาก</t>
        </r>
        <r>
          <rPr>
            <b/>
            <sz val="9"/>
            <color rgb="FF000000"/>
            <rFont val="Tahoma"/>
            <family val="2"/>
          </rPr>
          <t xml:space="preserve"> </t>
        </r>
        <r>
          <rPr>
            <sz val="9"/>
            <color rgb="FF000000"/>
            <rFont val="Tahoma"/>
            <family val="2"/>
          </rPr>
          <t>บป</t>
        </r>
        <r>
          <rPr>
            <sz val="9"/>
            <color rgb="FF000000"/>
            <rFont val="Tahoma"/>
            <family val="2"/>
          </rPr>
          <t xml:space="preserve">. </t>
        </r>
        <r>
          <rPr>
            <sz val="9"/>
            <color rgb="FF000000"/>
            <rFont val="Tahoma"/>
            <family val="2"/>
          </rPr>
          <t>ดึงต่ำกว่าแผน</t>
        </r>
        <r>
          <rPr>
            <sz val="9"/>
            <color rgb="FF000000"/>
            <rFont val="Tahoma"/>
            <family val="2"/>
          </rPr>
          <t xml:space="preserve"> </t>
        </r>
        <r>
          <rPr>
            <sz val="9"/>
            <color rgb="FF000000"/>
            <rFont val="Tahoma"/>
            <family val="2"/>
          </rPr>
          <t>เนื่องจาก</t>
        </r>
        <r>
          <rPr>
            <sz val="9"/>
            <color rgb="FF000000"/>
            <rFont val="Tahoma"/>
            <family val="2"/>
          </rPr>
          <t xml:space="preserve"> GSP </t>
        </r>
        <r>
          <rPr>
            <sz val="9"/>
            <color rgb="FF000000"/>
            <rFont val="Tahoma"/>
            <family val="2"/>
          </rPr>
          <t>ถังสูง</t>
        </r>
        <r>
          <rPr>
            <sz val="9"/>
            <color rgb="FF000000"/>
            <rFont val="Tahoma"/>
            <family val="2"/>
          </rPr>
          <t xml:space="preserve"> </t>
        </r>
        <r>
          <rPr>
            <sz val="9"/>
            <color rgb="FF000000"/>
            <rFont val="Tahoma"/>
            <family val="2"/>
          </rPr>
          <t>ต้องเปลี่ยนมารับ</t>
        </r>
        <r>
          <rPr>
            <sz val="9"/>
            <color rgb="FF000000"/>
            <rFont val="Tahoma"/>
            <family val="2"/>
          </rPr>
          <t xml:space="preserve"> GSP </t>
        </r>
        <r>
          <rPr>
            <sz val="9"/>
            <color rgb="FF000000"/>
            <rFont val="Tahoma"/>
            <family val="2"/>
          </rPr>
          <t>บางส่วน</t>
        </r>
      </text>
    </comment>
    <comment ref="AB8" authorId="3" shapeId="0" xr:uid="{00000000-0006-0000-0200-000009000000}">
      <text>
        <r>
          <rPr>
            <b/>
            <sz val="9"/>
            <color rgb="FF000000"/>
            <rFont val="Tahoma"/>
            <family val="2"/>
          </rPr>
          <t>Windows User:</t>
        </r>
        <r>
          <rPr>
            <sz val="9"/>
            <color rgb="FF000000"/>
            <rFont val="Tahoma"/>
            <family val="2"/>
          </rPr>
          <t xml:space="preserve">
</t>
        </r>
        <r>
          <rPr>
            <sz val="9"/>
            <color rgb="FF000000"/>
            <rFont val="Tahoma"/>
            <family val="2"/>
          </rPr>
          <t xml:space="preserve">import </t>
        </r>
        <r>
          <rPr>
            <sz val="9"/>
            <color rgb="FF000000"/>
            <rFont val="Tahoma"/>
            <family val="2"/>
          </rPr>
          <t>เมย์จะดึง</t>
        </r>
        <r>
          <rPr>
            <sz val="9"/>
            <color rgb="FF000000"/>
            <rFont val="Tahoma"/>
            <family val="2"/>
          </rPr>
          <t xml:space="preserve"> 34.5 KT</t>
        </r>
      </text>
    </comment>
    <comment ref="AC8" authorId="3" shapeId="0" xr:uid="{00000000-0006-0000-0200-00000A000000}">
      <text>
        <r>
          <rPr>
            <b/>
            <sz val="9"/>
            <color rgb="FF000000"/>
            <rFont val="Tahoma"/>
            <family val="2"/>
          </rPr>
          <t>Windows User:</t>
        </r>
        <r>
          <rPr>
            <sz val="9"/>
            <color rgb="FF000000"/>
            <rFont val="Tahoma"/>
            <family val="2"/>
          </rPr>
          <t xml:space="preserve">
</t>
        </r>
        <r>
          <rPr>
            <sz val="9"/>
            <color rgb="FF000000"/>
            <rFont val="Tahoma"/>
            <family val="2"/>
          </rPr>
          <t xml:space="preserve">rev0 = 36
</t>
        </r>
        <r>
          <rPr>
            <sz val="9"/>
            <color rgb="FF000000"/>
            <rFont val="Tahoma"/>
            <family val="2"/>
          </rPr>
          <t xml:space="preserve">rev1 = 30 </t>
        </r>
        <r>
          <rPr>
            <sz val="9"/>
            <color rgb="FF000000"/>
            <rFont val="Tahoma"/>
            <family val="2"/>
          </rPr>
          <t>เนื่องจาก</t>
        </r>
        <r>
          <rPr>
            <sz val="9"/>
            <color rgb="FF000000"/>
            <rFont val="Tahoma"/>
            <family val="2"/>
          </rPr>
          <t xml:space="preserve"> OR demand drop 2-7.5 KT</t>
        </r>
      </text>
    </comment>
    <comment ref="U9" authorId="3" shapeId="0" xr:uid="{00000000-0006-0000-0200-00000B000000}">
      <text>
        <r>
          <rPr>
            <b/>
            <sz val="9"/>
            <color rgb="FF000000"/>
            <rFont val="Tahoma"/>
            <family val="2"/>
          </rPr>
          <t>Windows User:</t>
        </r>
        <r>
          <rPr>
            <sz val="9"/>
            <color rgb="FF000000"/>
            <rFont val="Tahoma"/>
            <family val="2"/>
          </rPr>
          <t xml:space="preserve">
</t>
        </r>
        <r>
          <rPr>
            <sz val="9"/>
            <color rgb="FF000000"/>
            <rFont val="Tahoma"/>
            <family val="2"/>
          </rPr>
          <t>บป</t>
        </r>
        <r>
          <rPr>
            <sz val="9"/>
            <color rgb="FF000000"/>
            <rFont val="Tahoma"/>
            <family val="2"/>
          </rPr>
          <t xml:space="preserve">. </t>
        </r>
        <r>
          <rPr>
            <sz val="9"/>
            <color rgb="FF000000"/>
            <rFont val="Tahoma"/>
            <family val="2"/>
          </rPr>
          <t>ลดรับ</t>
        </r>
        <r>
          <rPr>
            <sz val="9"/>
            <color rgb="FF000000"/>
            <rFont val="Tahoma"/>
            <family val="2"/>
          </rPr>
          <t xml:space="preserve"> LPG </t>
        </r>
        <r>
          <rPr>
            <sz val="9"/>
            <color rgb="FF000000"/>
            <rFont val="Tahoma"/>
            <family val="2"/>
          </rPr>
          <t>จาก</t>
        </r>
        <r>
          <rPr>
            <sz val="9"/>
            <color rgb="FF000000"/>
            <rFont val="Tahoma"/>
            <family val="2"/>
          </rPr>
          <t xml:space="preserve"> GSP </t>
        </r>
        <r>
          <rPr>
            <sz val="9"/>
            <color rgb="FF000000"/>
            <rFont val="Tahoma"/>
            <family val="2"/>
          </rPr>
          <t>เนื่องจาก</t>
        </r>
        <r>
          <rPr>
            <sz val="9"/>
            <color rgb="FF000000"/>
            <rFont val="Tahoma"/>
            <family val="2"/>
          </rPr>
          <t xml:space="preserve"> Oriental king </t>
        </r>
        <r>
          <rPr>
            <sz val="9"/>
            <color rgb="FF000000"/>
            <rFont val="Tahoma"/>
            <family val="2"/>
          </rPr>
          <t>เพิ่ง</t>
        </r>
        <r>
          <rPr>
            <sz val="9"/>
            <color rgb="FF000000"/>
            <rFont val="Tahoma"/>
            <family val="2"/>
          </rPr>
          <t xml:space="preserve"> load </t>
        </r>
        <r>
          <rPr>
            <sz val="9"/>
            <color rgb="FF000000"/>
            <rFont val="Tahoma"/>
            <family val="2"/>
          </rPr>
          <t>เสร็จ</t>
        </r>
        <r>
          <rPr>
            <sz val="9"/>
            <color rgb="FF000000"/>
            <rFont val="Tahoma"/>
            <family val="2"/>
          </rPr>
          <t xml:space="preserve"> sphere </t>
        </r>
        <r>
          <rPr>
            <sz val="9"/>
            <color rgb="FF000000"/>
            <rFont val="Tahoma"/>
            <family val="2"/>
          </rPr>
          <t>แน่น</t>
        </r>
        <r>
          <rPr>
            <sz val="9"/>
            <color rgb="FF000000"/>
            <rFont val="Tahoma"/>
            <family val="2"/>
          </rPr>
          <t xml:space="preserve">
</t>
        </r>
      </text>
    </comment>
    <comment ref="AB9" authorId="3" shapeId="0" xr:uid="{00000000-0006-0000-0200-00000C000000}">
      <text>
        <r>
          <rPr>
            <b/>
            <sz val="9"/>
            <color rgb="FF000000"/>
            <rFont val="Tahoma"/>
            <family val="2"/>
          </rPr>
          <t>Windows User:</t>
        </r>
        <r>
          <rPr>
            <sz val="9"/>
            <color rgb="FF000000"/>
            <rFont val="Tahoma"/>
            <family val="2"/>
          </rPr>
          <t xml:space="preserve">
</t>
        </r>
        <r>
          <rPr>
            <sz val="9"/>
            <color rgb="FF000000"/>
            <rFont val="Tahoma"/>
            <family val="2"/>
          </rPr>
          <t xml:space="preserve">GSP </t>
        </r>
        <r>
          <rPr>
            <sz val="9"/>
            <color rgb="FF000000"/>
            <rFont val="Tahoma"/>
            <family val="2"/>
          </rPr>
          <t>ลดกำลังการผลิต</t>
        </r>
        <r>
          <rPr>
            <sz val="9"/>
            <color rgb="FF000000"/>
            <rFont val="Tahoma"/>
            <family val="2"/>
          </rPr>
          <t xml:space="preserve"> -4 KT
</t>
        </r>
        <r>
          <rPr>
            <sz val="9"/>
            <color rgb="FF000000"/>
            <rFont val="Tahoma"/>
            <family val="2"/>
          </rPr>
          <t xml:space="preserve">SGP - 3.2 KT
</t>
        </r>
        <r>
          <rPr>
            <sz val="9"/>
            <color rgb="FF000000"/>
            <rFont val="Tahoma"/>
            <family val="2"/>
          </rPr>
          <t xml:space="preserve">PTT TANK -2 KT
</t>
        </r>
        <r>
          <rPr>
            <sz val="9"/>
            <color rgb="FF000000"/>
            <rFont val="Tahoma"/>
            <family val="2"/>
          </rPr>
          <t xml:space="preserve">
</t>
        </r>
      </text>
    </comment>
    <comment ref="A16" authorId="4" shapeId="0" xr:uid="{4124EF18-286B-D940-86D5-FD9CA2F4C613}">
      <text>
        <r>
          <rPr>
            <b/>
            <sz val="10"/>
            <color rgb="FF000000"/>
            <rFont val="Tahoma"/>
            <family val="2"/>
          </rPr>
          <t>Microsoft Office User:</t>
        </r>
        <r>
          <rPr>
            <sz val="10"/>
            <color rgb="FF000000"/>
            <rFont val="Tahoma"/>
            <family val="2"/>
          </rPr>
          <t xml:space="preserve">
</t>
        </r>
        <r>
          <rPr>
            <sz val="10"/>
            <color rgb="FF000000"/>
            <rFont val="Tahoma"/>
            <family val="2"/>
          </rPr>
          <t xml:space="preserve">กรอกข้อมูล </t>
        </r>
        <r>
          <rPr>
            <sz val="10"/>
            <color rgb="FF000000"/>
            <rFont val="Tahoma"/>
            <family val="2"/>
          </rPr>
          <t xml:space="preserve">end inven </t>
        </r>
        <r>
          <rPr>
            <sz val="10"/>
            <color rgb="FF000000"/>
            <rFont val="Tahoma"/>
            <family val="2"/>
          </rPr>
          <t>เ</t>
        </r>
        <r>
          <rPr>
            <sz val="10"/>
            <color rgb="FF000000"/>
            <rFont val="Tahoma"/>
            <family val="2"/>
          </rPr>
          <t>อง</t>
        </r>
      </text>
    </comment>
    <comment ref="AI16" authorId="5" shapeId="0" xr:uid="{FB268740-A5F3-1A4E-8C22-A1D88C89E57A}">
      <text>
        <t>[Threaded comment]
Your version of Excel allows you to read this threaded comment; however, any edits to it will get removed if the file is opened in a newer version of Excel. Learn more: https://go.microsoft.com/fwlink/?linkid=870924
Comment:
    ได้มาจาก 9698 (oct-21) +ability เดือน nov21 ของ C3 (กรณีที่ มี import บวกเข้าไปด้วย)-ยอดขายลูกค้า C3</t>
      </text>
    </comment>
    <comment ref="A24" authorId="4" shapeId="0" xr:uid="{705B5271-6EC7-3C46-8B11-EDD8C740CA75}">
      <text>
        <r>
          <rPr>
            <b/>
            <sz val="10"/>
            <color rgb="FF000000"/>
            <rFont val="Tahoma"/>
            <family val="2"/>
          </rPr>
          <t>Microsoft Office User:</t>
        </r>
        <r>
          <rPr>
            <sz val="10"/>
            <color rgb="FF000000"/>
            <rFont val="Tahoma"/>
            <family val="2"/>
          </rPr>
          <t xml:space="preserve">
</t>
        </r>
        <r>
          <rPr>
            <sz val="11"/>
            <color rgb="FF000000"/>
            <rFont val="Calibri"/>
            <family val="2"/>
          </rPr>
          <t>กรอกข้อมูล</t>
        </r>
        <r>
          <rPr>
            <sz val="11"/>
            <color rgb="FF000000"/>
            <rFont val="Calibri"/>
            <family val="2"/>
          </rPr>
          <t xml:space="preserve"> end inven </t>
        </r>
        <r>
          <rPr>
            <sz val="11"/>
            <color rgb="FF000000"/>
            <rFont val="Calibri"/>
            <family val="2"/>
          </rPr>
          <t>เอง</t>
        </r>
        <r>
          <rPr>
            <sz val="11"/>
            <color rgb="FF000000"/>
            <rFont val="Calibri"/>
            <family val="2"/>
          </rPr>
          <t xml:space="preserve">
</t>
        </r>
      </text>
    </comment>
    <comment ref="AI24" authorId="6" shapeId="0" xr:uid="{3DE4B898-5395-5C49-BD43-89AE7B87983C}">
      <text>
        <t xml:space="preserve">[Threaded comment]
Your version of Excel allows you to read this threaded comment; however, any edits to it will get removed if the file is opened in a newer version of Excel. Learn more: https://go.microsoft.com/fwlink/?linkid=870924
Comment:
    ได้มาจาก 14678 (oct-21) +ability เดือน nov21 ของ LPG(กรณีที่ มี import บวกเข้าไปด้วย)-ยอดขายลูกค้า LPG </t>
      </text>
    </comment>
    <comment ref="M46" authorId="2" shapeId="0" xr:uid="{00000000-0006-0000-0200-00000D000000}">
      <text>
        <r>
          <rPr>
            <b/>
            <sz val="9"/>
            <color indexed="81"/>
            <rFont val="Tahoma"/>
            <family val="2"/>
          </rPr>
          <t>Quantumuser:</t>
        </r>
        <r>
          <rPr>
            <sz val="9"/>
            <color indexed="81"/>
            <rFont val="Tahoma"/>
            <family val="2"/>
          </rPr>
          <t xml:space="preserve">
Quantumuser: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t>
        </r>
      </text>
    </comment>
    <comment ref="N46" authorId="2" shapeId="0" xr:uid="{00000000-0006-0000-0200-00000E000000}">
      <text>
        <r>
          <rPr>
            <b/>
            <sz val="9"/>
            <color indexed="81"/>
            <rFont val="Tahoma"/>
            <family val="2"/>
          </rPr>
          <t>Quantumuser:</t>
        </r>
        <r>
          <rPr>
            <sz val="9"/>
            <color indexed="81"/>
            <rFont val="Tahoma"/>
            <family val="2"/>
          </rPr>
          <t xml:space="preserve">
Quantumuser: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t>
        </r>
      </text>
    </comment>
    <comment ref="A55" authorId="3" shapeId="0" xr:uid="{00000000-0006-0000-0200-00000F000000}">
      <text>
        <r>
          <rPr>
            <b/>
            <sz val="9"/>
            <color rgb="FF000000"/>
            <rFont val="Tahoma"/>
            <family val="2"/>
          </rPr>
          <t xml:space="preserve">Windows User:
</t>
        </r>
        <r>
          <rPr>
            <b/>
            <sz val="9"/>
            <color rgb="FF000000"/>
            <rFont val="Tahoma"/>
            <family val="2"/>
          </rPr>
          <t xml:space="preserve">ability row 50
</t>
        </r>
      </text>
    </comment>
    <comment ref="A57" authorId="3" shapeId="0" xr:uid="{00000000-0006-0000-0200-000010000000}">
      <text>
        <r>
          <rPr>
            <b/>
            <sz val="9"/>
            <color rgb="FF000000"/>
            <rFont val="Tahoma"/>
            <family val="2"/>
          </rPr>
          <t>Windows User:</t>
        </r>
        <r>
          <rPr>
            <sz val="9"/>
            <color rgb="FF000000"/>
            <rFont val="Tahoma"/>
            <family val="2"/>
          </rPr>
          <t xml:space="preserve">
</t>
        </r>
        <r>
          <rPr>
            <sz val="9"/>
            <color rgb="FF000000"/>
            <rFont val="Tahoma"/>
            <family val="2"/>
          </rPr>
          <t>ability row 58</t>
        </r>
      </text>
    </comment>
    <comment ref="A58" authorId="3" shapeId="0" xr:uid="{00000000-0006-0000-0200-000011000000}">
      <text>
        <r>
          <rPr>
            <b/>
            <sz val="9"/>
            <color rgb="FF000000"/>
            <rFont val="Tahoma"/>
            <family val="2"/>
          </rPr>
          <t>Windows User:</t>
        </r>
        <r>
          <rPr>
            <sz val="9"/>
            <color rgb="FF000000"/>
            <rFont val="Tahoma"/>
            <family val="2"/>
          </rPr>
          <t xml:space="preserve">
</t>
        </r>
        <r>
          <rPr>
            <sz val="9"/>
            <color rgb="FF000000"/>
            <rFont val="Tahoma"/>
            <family val="2"/>
          </rPr>
          <t xml:space="preserve">ability row 59
</t>
        </r>
      </text>
    </comment>
    <comment ref="A59" authorId="3" shapeId="0" xr:uid="{00000000-0006-0000-0200-000012000000}">
      <text>
        <r>
          <rPr>
            <b/>
            <sz val="9"/>
            <color rgb="FF000000"/>
            <rFont val="Tahoma"/>
            <family val="2"/>
          </rPr>
          <t>Windows User:</t>
        </r>
        <r>
          <rPr>
            <sz val="9"/>
            <color rgb="FF000000"/>
            <rFont val="Tahoma"/>
            <family val="2"/>
          </rPr>
          <t xml:space="preserve">
</t>
        </r>
        <r>
          <rPr>
            <sz val="9"/>
            <color rgb="FF000000"/>
            <rFont val="Tahoma"/>
            <family val="2"/>
          </rPr>
          <t>ability row 66</t>
        </r>
      </text>
    </comment>
    <comment ref="G59" authorId="2" shapeId="0" xr:uid="{00000000-0006-0000-0200-000013000000}">
      <text>
        <r>
          <rPr>
            <b/>
            <sz val="9"/>
            <color indexed="81"/>
            <rFont val="Tahoma"/>
            <family val="2"/>
          </rPr>
          <t>Quantumuser:</t>
        </r>
        <r>
          <rPr>
            <sz val="9"/>
            <color indexed="81"/>
            <rFont val="Tahoma"/>
            <family val="2"/>
          </rPr>
          <t xml:space="preserve">
• วันที่ 13-17 ก.ค. 62 โรงแยกก๊าซฯหน่วยที่ 3 หยุดการเดินเครื่อง เนื่องจากอุปกรณ์ Sale Gas compressor Trip จากอุปกรณ์เตาระบายไอเสีย WHRS ชำรุด </t>
        </r>
      </text>
    </comment>
    <comment ref="H59" authorId="2" shapeId="0" xr:uid="{00000000-0006-0000-0200-000014000000}">
      <text>
        <r>
          <rPr>
            <b/>
            <sz val="9"/>
            <color indexed="81"/>
            <rFont val="Tahoma"/>
            <family val="2"/>
          </rPr>
          <t>Quantumuser:</t>
        </r>
        <r>
          <rPr>
            <sz val="9"/>
            <color indexed="81"/>
            <rFont val="Tahoma"/>
            <family val="2"/>
          </rPr>
          <t xml:space="preserve">
GSP6 มีปัญหา expander
2-5 ส.ค. 62 TD 10%
6-12 ส.ค. 62 ธฏ 25%</t>
        </r>
      </text>
    </comment>
    <comment ref="I59" authorId="3" shapeId="0" xr:uid="{00000000-0006-0000-0200-000015000000}">
      <text>
        <r>
          <rPr>
            <b/>
            <sz val="9"/>
            <color indexed="81"/>
            <rFont val="Tahoma"/>
            <family val="2"/>
          </rPr>
          <t>Windows User:</t>
        </r>
        <r>
          <rPr>
            <sz val="9"/>
            <color indexed="81"/>
            <rFont val="Tahoma"/>
            <family val="2"/>
          </rPr>
          <t xml:space="preserve">
During 13-17 Sep GSP6 reducr feed gas 10% to fix reboiler leakage problem</t>
        </r>
      </text>
    </comment>
    <comment ref="J59" authorId="3" shapeId="0" xr:uid="{00000000-0006-0000-0200-000016000000}">
      <text>
        <r>
          <rPr>
            <b/>
            <sz val="9"/>
            <color indexed="81"/>
            <rFont val="Tahoma"/>
            <family val="2"/>
          </rPr>
          <t>Windows User:</t>
        </r>
        <r>
          <rPr>
            <sz val="9"/>
            <color indexed="81"/>
            <rFont val="Tahoma"/>
            <family val="2"/>
          </rPr>
          <t xml:space="preserve">
• วันที่ 1 – 3 ต.ค. โรงแยกก๊าซฯหน่วยที่ 5 ลดกำลังการผลิต 27.5% เพื่อแก้ไขปัญหา Sieve Bed A ที่หน่วยกำจัดน้ำ (Dehydration unit)
• วันที่ 4 – 10 ต.ค. โรงแยกก๊าซฯหน่วยที่ 5 ลดกำลังการผลิต 50% เพื่อดำเนินการแก้ไขปัญหา Sieve ที่หน่วยกำจัดน้ำต่อเนื่อง และ ดำเนินการทำความสะอาดอุปกรณ์ Selective Catalytic Reduction (SCR)
• วันที่ 17 – 30 ต.ค. โรงแยกก๊าซฯหน่วยที่ 6 ลดกำลังการผลิต 5% เพื่อดำเนินการเปลี่ยน sieve อุปกรณ์หน่วยกำจัดน้ำ (Dehydration unit) กระทบปริมาณ LPG 2.1 KT  , Ethane ไม่กระทบ , NGL ปริมาณลดลง 420 M3
</t>
        </r>
      </text>
    </comment>
    <comment ref="K59" authorId="2" shapeId="0" xr:uid="{00000000-0006-0000-0200-000017000000}">
      <text>
        <r>
          <rPr>
            <b/>
            <sz val="9"/>
            <color indexed="81"/>
            <rFont val="Tahoma"/>
            <family val="2"/>
          </rPr>
          <t>Quantumuser:</t>
        </r>
        <r>
          <rPr>
            <sz val="9"/>
            <color indexed="81"/>
            <rFont val="Tahoma"/>
            <family val="2"/>
          </rPr>
          <t xml:space="preserve">
• โรงแยกก๊าซฯหน่วยที่ 1 ลดกำลังการผลิต 8% เพื่อควบคุมปริมาณ Flow และ ปริมาณ CO2 ที่เข้าหน่วยกำจัดคาร์บอนไดออกไซด์ (Benfield unit)
 --&gt; ไม่มีผลต่อ C2 295 Ton/hr
--&gt; C3/LPG ลดลง 2.5 KT</t>
        </r>
      </text>
    </comment>
    <comment ref="L59" authorId="2" shapeId="0" xr:uid="{00000000-0006-0000-0200-000018000000}">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GSP1 เลื่อนเร็วขึ้น 1 วัน ลดลง 1.5 KT
compo ลดลงวันละ 300 - 500 Ton</t>
        </r>
      </text>
    </comment>
    <comment ref="M59" authorId="2" shapeId="0" xr:uid="{00000000-0006-0000-0200-000019000000}">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
ability 288 (low)
เนื่องด้วย CO2 ในท่อ 34" มีแนวโน้มสูงมากว่า 18 mol% ส่งผลให้ GSP1, ESP,GSP5 ไม่สามารถเดินได้ 100%
now 275 </t>
        </r>
      </text>
    </comment>
    <comment ref="N59" authorId="2" shapeId="0" xr:uid="{00000000-0006-0000-0200-00001A000000}">
      <text>
        <r>
          <rPr>
            <b/>
            <sz val="9"/>
            <color indexed="81"/>
            <rFont val="Tahoma"/>
            <family val="2"/>
          </rPr>
          <t>Quantumuser:</t>
        </r>
        <r>
          <rPr>
            <sz val="9"/>
            <color indexed="81"/>
            <rFont val="Tahoma"/>
            <family val="2"/>
          </rPr>
          <t xml:space="preserve">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
GSP6 re-boiler leak -2.5KT
</t>
        </r>
      </text>
    </comment>
    <comment ref="Q59" authorId="3" shapeId="0" xr:uid="{00000000-0006-0000-0200-00001B000000}">
      <text>
        <r>
          <rPr>
            <b/>
            <sz val="9"/>
            <color indexed="81"/>
            <rFont val="Tahoma"/>
            <family val="2"/>
          </rPr>
          <t>Windows User:</t>
        </r>
        <r>
          <rPr>
            <sz val="9"/>
            <color indexed="81"/>
            <rFont val="Tahoma"/>
            <family val="2"/>
          </rPr>
          <t xml:space="preserve">
rev0 = 233.5 (ability 6 rev0)
rev1 = 223.5 (PTTAC ESD GSP จึงลด feed เพื่อ balance inv)
• GSP1 TD 50% : 1-15 May (15 days)
• GSP1 SD : 16-31 May (16 days)
• GSP5 TD 50% : 1-5 May (5 days)
• GSP5 SD : 6-15 May (10 days)
• GSP5 TD 50% : 16-24 -&gt; 16-31  May (9 -&gt; 16 days)
• New: ESP Complex (ESP,GSP2, GSP3) TD 9% 13-31 May  ใช้โอกาสในการแก้ไขงาน turbine 6 วัน ช่วงที่ ต้องการผลิต C3/LPG ลดลง
</t>
        </r>
      </text>
    </comment>
    <comment ref="R59" authorId="2" shapeId="0" xr:uid="{00000000-0006-0000-0200-00001C000000}">
      <text>
        <r>
          <rPr>
            <b/>
            <sz val="9"/>
            <color indexed="81"/>
            <rFont val="Tahoma"/>
            <family val="2"/>
          </rPr>
          <t>Quantumuser:</t>
        </r>
        <r>
          <rPr>
            <sz val="9"/>
            <color indexed="81"/>
            <rFont val="Tahoma"/>
            <family val="2"/>
          </rPr>
          <t xml:space="preserve">
โรงแยกก๊าซฯหน่วยที่ 1 หยุดซ่อมบำรุงใหญ่ตามวาระ (25 วัน)</t>
        </r>
      </text>
    </comment>
    <comment ref="T59" authorId="2" shapeId="0" xr:uid="{00000000-0006-0000-0200-00001D000000}">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U59" authorId="2" shapeId="0" xr:uid="{00000000-0006-0000-0200-00001E000000}">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V59" authorId="2" shapeId="0" xr:uid="{00000000-0006-0000-0200-00001F000000}">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W59" authorId="2" shapeId="0" xr:uid="{00000000-0006-0000-0200-000020000000}">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R60" authorId="3" shapeId="0" xr:uid="{00000000-0006-0000-0200-000021000000}">
      <text>
        <r>
          <rPr>
            <b/>
            <sz val="9"/>
            <color indexed="81"/>
            <rFont val="Tahoma"/>
            <family val="2"/>
          </rPr>
          <t>Windows User:</t>
        </r>
        <r>
          <rPr>
            <sz val="9"/>
            <color indexed="81"/>
            <rFont val="Tahoma"/>
            <family val="2"/>
          </rPr>
          <t xml:space="preserve">
rev0= 0.6 KT
rev1 = 0 KT IRPC ESD
</t>
        </r>
      </text>
    </comment>
    <comment ref="V60" authorId="3" shapeId="0" xr:uid="{00000000-0006-0000-0200-000022000000}">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W60" authorId="3" shapeId="0" xr:uid="{00000000-0006-0000-0200-000023000000}">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F61" authorId="2" shapeId="0" xr:uid="{00000000-0006-0000-0200-000024000000}">
      <text>
        <r>
          <rPr>
            <b/>
            <sz val="9"/>
            <color indexed="81"/>
            <rFont val="Tahoma"/>
            <family val="2"/>
          </rPr>
          <t xml:space="preserve">Quantumuser:
rev0 = 19 KT
rev1 = 18.5 KT เนื่องจาก Aro1 plant SD and start up on 15 Jun’19 ...
จาก delay start up แล้วพอ start มาแล้วก็ ลงไปอีก เลยทำให้ตอนแรกที่ยอกว่าจะส่ง้หลือ 18 kt ตอนนี้กลับมาเหลือ 16 kt
</t>
        </r>
      </text>
    </comment>
    <comment ref="K61" authorId="2" shapeId="0" xr:uid="{00000000-0006-0000-0200-000025000000}">
      <text>
        <r>
          <rPr>
            <b/>
            <sz val="9"/>
            <color indexed="81"/>
            <rFont val="Tahoma"/>
            <family val="2"/>
          </rPr>
          <t>Quantumuser:</t>
        </r>
        <r>
          <rPr>
            <sz val="9"/>
            <color indexed="81"/>
            <rFont val="Tahoma"/>
            <family val="2"/>
          </rPr>
          <t xml:space="preserve">
rev0 = 21
rev1= 23
</t>
        </r>
      </text>
    </comment>
    <comment ref="N61" authorId="2" shapeId="0" xr:uid="{00000000-0006-0000-0200-000026000000}">
      <text>
        <r>
          <rPr>
            <b/>
            <sz val="9"/>
            <color indexed="81"/>
            <rFont val="Tahoma"/>
            <family val="2"/>
          </rPr>
          <t xml:space="preserve">Quantumuser:
</t>
        </r>
        <r>
          <rPr>
            <sz val="9"/>
            <color indexed="81"/>
            <rFont val="Tahoma"/>
            <family val="2"/>
          </rPr>
          <t>rev0</t>
        </r>
        <r>
          <rPr>
            <b/>
            <sz val="9"/>
            <color indexed="81"/>
            <rFont val="Tahoma"/>
            <family val="2"/>
          </rPr>
          <t xml:space="preserve"> = </t>
        </r>
        <r>
          <rPr>
            <sz val="9"/>
            <color indexed="81"/>
            <rFont val="Tahoma"/>
            <family val="2"/>
          </rPr>
          <t>19 KT
rev1 = 15 KT เนื่องจาก จาก GC โรง ARO I, FHU มีปัญหา แนวโน้วผลิตได้ลดลง
rev2 = 16 KT เพิ่ม 1 KT โยกมาจากเดือน มี.ค. 1 KT
rev3 = 18 KT เพิ่ม 2 KT โยกมาจากเดือน มี.ค. 2 KT</t>
        </r>
      </text>
    </comment>
    <comment ref="O61" authorId="2" shapeId="0" xr:uid="{00000000-0006-0000-0200-000027000000}">
      <text>
        <r>
          <rPr>
            <b/>
            <sz val="9"/>
            <color indexed="81"/>
            <rFont val="Tahoma"/>
            <family val="2"/>
          </rPr>
          <t>Quantumuser:</t>
        </r>
        <r>
          <rPr>
            <sz val="9"/>
            <color indexed="81"/>
            <rFont val="Tahoma"/>
            <family val="2"/>
          </rPr>
          <t xml:space="preserve">
rev0 = 14.5
rev1 = 10 
rev2 = 9 KT ส่งเพิ่มในเดือน กพ. แล้ว 1 KT
REV3 = 7 kt ส่งเพิ่มในเดือน กพ. แล้ว 2 KT
REV4 = 5 kt GC ลดรับในเดือน กพ. 2 KT จึงลดรับ เท่ากัน 2 KT
REV5 = 7 kt GSP call Vol เพิ่ม</t>
        </r>
      </text>
    </comment>
    <comment ref="P61" authorId="3" shapeId="0" xr:uid="{00000000-0006-0000-0200-000028000000}">
      <text>
        <r>
          <rPr>
            <b/>
            <sz val="9"/>
            <color indexed="81"/>
            <rFont val="Tahoma"/>
            <family val="2"/>
          </rPr>
          <t>Windows User:</t>
        </r>
        <r>
          <rPr>
            <sz val="9"/>
            <color indexed="81"/>
            <rFont val="Tahoma"/>
            <family val="2"/>
          </rPr>
          <t xml:space="preserve">
rev0 = 7 KT
rev1 = 2 KT GC ขอปรับลดDomestic Condensate shortage and have to reduce Aromatic plant operating rate</t>
        </r>
      </text>
    </comment>
    <comment ref="T61" authorId="3" shapeId="0" xr:uid="{00000000-0006-0000-0200-000029000000}">
      <text>
        <r>
          <rPr>
            <b/>
            <sz val="9"/>
            <color indexed="81"/>
            <rFont val="Tahoma"/>
            <family val="2"/>
          </rPr>
          <t>Windows User:</t>
        </r>
        <r>
          <rPr>
            <sz val="9"/>
            <color indexed="81"/>
            <rFont val="Tahoma"/>
            <family val="2"/>
          </rPr>
          <t xml:space="preserve">
rev0 = 0
rev1 = 1.8
rev2 = 1.2</t>
        </r>
      </text>
    </comment>
    <comment ref="W61" authorId="2" shapeId="0" xr:uid="{00000000-0006-0000-0200-00002A000000}">
      <text>
        <r>
          <rPr>
            <b/>
            <sz val="9"/>
            <color indexed="81"/>
            <rFont val="Tahoma"/>
            <family val="2"/>
          </rPr>
          <t>Quantumuser:</t>
        </r>
        <r>
          <rPr>
            <sz val="9"/>
            <color indexed="81"/>
            <rFont val="Tahoma"/>
            <family val="2"/>
          </rPr>
          <t xml:space="preserve">
rev0 = 11
rev1 = 13 GC ขอปรับเพิ่ม</t>
        </r>
      </text>
    </comment>
    <comment ref="X61" authorId="3" shapeId="0" xr:uid="{00000000-0006-0000-0200-00002B000000}">
      <text>
        <r>
          <rPr>
            <b/>
            <sz val="9"/>
            <color indexed="81"/>
            <rFont val="Tahoma"/>
            <family val="2"/>
          </rPr>
          <t>Windows User:</t>
        </r>
        <r>
          <rPr>
            <sz val="9"/>
            <color indexed="81"/>
            <rFont val="Tahoma"/>
            <family val="2"/>
          </rPr>
          <t xml:space="preserve">
rev0 = 14
rev1 = 11 KT เหตุ GSP5 เลื่อน TD50% ถึง 21 Jan'21
</t>
        </r>
      </text>
    </comment>
    <comment ref="Y61" authorId="3" shapeId="0" xr:uid="{00000000-0006-0000-0200-00002C000000}">
      <text>
        <r>
          <rPr>
            <b/>
            <sz val="9"/>
            <color indexed="81"/>
            <rFont val="Tahoma"/>
            <family val="2"/>
          </rPr>
          <t>Windows User:</t>
        </r>
        <r>
          <rPr>
            <sz val="9"/>
            <color indexed="81"/>
            <rFont val="Tahoma"/>
            <family val="2"/>
          </rPr>
          <t xml:space="preserve">
rev0 = 10
rev1 = 2.5 KT เหตุ GSP5 เลื่อน TD50% ถึง 21 Jan'21
</t>
        </r>
      </text>
    </comment>
    <comment ref="P62" authorId="3" shapeId="0" xr:uid="{00000000-0006-0000-0200-00002D000000}">
      <text>
        <r>
          <rPr>
            <b/>
            <sz val="9"/>
            <color indexed="81"/>
            <rFont val="Tahoma"/>
            <family val="2"/>
          </rPr>
          <t>Windows User:</t>
        </r>
        <r>
          <rPr>
            <sz val="9"/>
            <color indexed="81"/>
            <rFont val="Tahoma"/>
            <family val="2"/>
          </rPr>
          <t xml:space="preserve">
rev0 = 6.3
rev1 = 5.1
rev2 = 4.3
</t>
        </r>
      </text>
    </comment>
    <comment ref="Q62" authorId="3" shapeId="0" xr:uid="{00000000-0006-0000-0200-00002E000000}">
      <text>
        <r>
          <rPr>
            <b/>
            <sz val="9"/>
            <color indexed="81"/>
            <rFont val="Tahoma"/>
            <family val="2"/>
          </rPr>
          <t>Windows User:</t>
        </r>
        <r>
          <rPr>
            <sz val="9"/>
            <color indexed="81"/>
            <rFont val="Tahoma"/>
            <family val="2"/>
          </rPr>
          <t xml:space="preserve">
rev0 = 3.5
rev1 = 3 KT • SPRC แจ้งปรับลดการจัดส่ง จากแผน 3.5 KT เป็น 3.0 KT เนื่องจาก Demand Drop จาก COVID-19 จึงลดกำลังการผลิตลง </t>
        </r>
      </text>
    </comment>
    <comment ref="R62" authorId="3" shapeId="0" xr:uid="{00000000-0006-0000-0200-00002F000000}">
      <text>
        <r>
          <rPr>
            <b/>
            <sz val="9"/>
            <color indexed="81"/>
            <rFont val="Tahoma"/>
            <family val="2"/>
          </rPr>
          <t>Windows User:</t>
        </r>
        <r>
          <rPr>
            <sz val="9"/>
            <color indexed="81"/>
            <rFont val="Tahoma"/>
            <family val="2"/>
          </rPr>
          <t xml:space="preserve">
rev0 = 3.6
rev1 = 3.0 เนื่องจาก WP under </t>
        </r>
      </text>
    </comment>
    <comment ref="V62" authorId="3" shapeId="0" xr:uid="{00000000-0006-0000-0200-000030000000}">
      <text>
        <r>
          <rPr>
            <b/>
            <sz val="9"/>
            <color indexed="81"/>
            <rFont val="Tahoma"/>
            <family val="2"/>
          </rPr>
          <t>Windows User:</t>
        </r>
        <r>
          <rPr>
            <sz val="9"/>
            <color indexed="81"/>
            <rFont val="Tahoma"/>
            <family val="2"/>
          </rPr>
          <t xml:space="preserve">
rev0 = 7.36
rev1= 8.06 KT SPRC ปรับเพิ่ม
rev2= 6.06 KT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t>
        </r>
      </text>
    </comment>
    <comment ref="W62" authorId="2" shapeId="0" xr:uid="{00000000-0006-0000-0200-000031000000}">
      <text>
        <r>
          <rPr>
            <b/>
            <sz val="9"/>
            <color indexed="81"/>
            <rFont val="Tahoma"/>
            <family val="2"/>
          </rPr>
          <t>Quantumuser:</t>
        </r>
        <r>
          <rPr>
            <sz val="9"/>
            <color indexed="81"/>
            <rFont val="Tahoma"/>
            <family val="2"/>
          </rPr>
          <t xml:space="preserve">
rev0 = 7.36
rev1= 5.36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
rev2 = 6.06 SPRC ปรับเพิ่ม เนื่องจาก SPRC Over supply </t>
        </r>
      </text>
    </comment>
    <comment ref="F63" authorId="2" shapeId="0" xr:uid="{00000000-0006-0000-0200-000032000000}">
      <text>
        <r>
          <rPr>
            <b/>
            <sz val="9"/>
            <color rgb="FF000000"/>
            <rFont val="Tahoma"/>
            <family val="2"/>
          </rPr>
          <t>Quantumuser:</t>
        </r>
        <r>
          <rPr>
            <sz val="9"/>
            <color rgb="FF000000"/>
            <rFont val="Tahoma"/>
            <family val="2"/>
          </rPr>
          <t xml:space="preserve">
</t>
        </r>
        <r>
          <rPr>
            <sz val="9"/>
            <color rgb="FF000000"/>
            <rFont val="Tahoma"/>
            <family val="2"/>
          </rPr>
          <t xml:space="preserve">rrev0 = 5.7
</t>
        </r>
        <r>
          <rPr>
            <sz val="9"/>
            <color rgb="FF000000"/>
            <rFont val="Tahoma"/>
            <family val="2"/>
          </rPr>
          <t>rrev1 = 6.22</t>
        </r>
      </text>
    </comment>
    <comment ref="K63" authorId="2" shapeId="0" xr:uid="{00000000-0006-0000-0200-000033000000}">
      <text>
        <r>
          <rPr>
            <b/>
            <sz val="9"/>
            <color indexed="81"/>
            <rFont val="Tahoma"/>
            <family val="2"/>
          </rPr>
          <t>Quantumuser:</t>
        </r>
        <r>
          <rPr>
            <sz val="9"/>
            <color indexed="81"/>
            <rFont val="Tahoma"/>
            <family val="2"/>
          </rPr>
          <t xml:space="preserve">
rev0 = 5.85
rev1 = 6.63
</t>
        </r>
      </text>
    </comment>
    <comment ref="R63" authorId="3" shapeId="0" xr:uid="{00000000-0006-0000-0200-000034000000}">
      <text>
        <r>
          <rPr>
            <b/>
            <sz val="9"/>
            <color indexed="81"/>
            <rFont val="Tahoma"/>
            <family val="2"/>
          </rPr>
          <t>Windows User:</t>
        </r>
        <r>
          <rPr>
            <sz val="9"/>
            <color indexed="81"/>
            <rFont val="Tahoma"/>
            <family val="2"/>
          </rPr>
          <t xml:space="preserve">
rev0 = 5.4
rev 1= 5.7 PTTOR ขอรับเพิ่ม 0.3 KT
</t>
        </r>
      </text>
    </comment>
    <comment ref="V63" authorId="2" shapeId="0" xr:uid="{00000000-0006-0000-0200-000035000000}">
      <text>
        <r>
          <rPr>
            <b/>
            <sz val="9"/>
            <color indexed="81"/>
            <rFont val="Tahoma"/>
            <family val="2"/>
          </rPr>
          <t>Quantumuser:</t>
        </r>
        <r>
          <rPr>
            <sz val="9"/>
            <color indexed="81"/>
            <rFont val="Tahoma"/>
            <family val="2"/>
          </rPr>
          <t xml:space="preserve">
rev0 = 5.58 
rev1 = 5.8 PTTEP : เพิ่มประมาณการจัดส่ง </t>
        </r>
      </text>
    </comment>
    <comment ref="K64" authorId="2" shapeId="0" xr:uid="{00000000-0006-0000-0200-000036000000}">
      <text>
        <r>
          <rPr>
            <b/>
            <sz val="9"/>
            <color indexed="81"/>
            <rFont val="Tahoma"/>
            <family val="2"/>
          </rPr>
          <t>Quantumuser:</t>
        </r>
        <r>
          <rPr>
            <sz val="9"/>
            <color indexed="81"/>
            <rFont val="Tahoma"/>
            <family val="2"/>
          </rPr>
          <t xml:space="preserve">
• วันที่ 25 พ.ย. 62 – 7 ธ.ค. 62 โรงไฟฟ้าขนอมหยุดซ่อมบำรุง (โรงที่ 2)</t>
        </r>
      </text>
    </comment>
    <comment ref="P64" authorId="3" shapeId="0" xr:uid="{00000000-0006-0000-0200-000037000000}">
      <text>
        <r>
          <rPr>
            <b/>
            <sz val="9"/>
            <color indexed="81"/>
            <rFont val="Tahoma"/>
            <family val="2"/>
          </rPr>
          <t>Windows User:</t>
        </r>
        <r>
          <rPr>
            <sz val="9"/>
            <color indexed="81"/>
            <rFont val="Tahoma"/>
            <family val="2"/>
          </rPr>
          <t xml:space="preserve">
rev0 = 15.6
rev1 = 17.6 GSP KHM ปรับเพิ่มตาม Demand โรงไฟฟ้า
rev2 = 16.5 PTTOR demand drop
</t>
        </r>
      </text>
    </comment>
    <comment ref="Q64" authorId="3" shapeId="0" xr:uid="{00000000-0006-0000-0200-000038000000}">
      <text>
        <r>
          <rPr>
            <b/>
            <sz val="9"/>
            <color indexed="81"/>
            <rFont val="Tahoma"/>
            <family val="2"/>
          </rPr>
          <t xml:space="preserve">Windows User:
rev0 = 17.05
rev1 = 15.5 • GSP KHM แจ้งปรับลดการจัดส่ง จากแผน 17.05 KT เป็น 15.5 KT (-1.55 KT)
เนื่องจากวันที่ 1-3 พ.ค. 2563 ลด Feed Gas ลงเหลือ 80 MMSCFD เพื่อเปลี่ยน Pipe Spool/หน้า Flange เพื่อแก้ไขปัญหา Corrosion ที่ ERP-KN 
</t>
        </r>
      </text>
    </comment>
    <comment ref="R64" authorId="3" shapeId="0" xr:uid="{00000000-0006-0000-0200-000039000000}">
      <text>
        <r>
          <rPr>
            <b/>
            <sz val="9"/>
            <color indexed="81"/>
            <rFont val="Tahoma"/>
            <family val="2"/>
          </rPr>
          <t>Windows User:</t>
        </r>
        <r>
          <rPr>
            <sz val="9"/>
            <color indexed="81"/>
            <rFont val="Tahoma"/>
            <family val="2"/>
          </rPr>
          <t xml:space="preserve">
rev0 = 15.6
rev1 = 14.5 โรงไฟฟ้า KHM demand drop</t>
        </r>
      </text>
    </comment>
    <comment ref="V64" authorId="2" shapeId="0" xr:uid="{00000000-0006-0000-0200-00003A000000}">
      <text>
        <r>
          <rPr>
            <b/>
            <sz val="9"/>
            <color indexed="81"/>
            <rFont val="Tahoma"/>
            <family val="2"/>
          </rPr>
          <t>Quantumuser:</t>
        </r>
        <r>
          <rPr>
            <sz val="9"/>
            <color indexed="81"/>
            <rFont val="Tahoma"/>
            <family val="2"/>
          </rPr>
          <t xml:space="preserve">
GSP KHM ปรับลด ตาม demand โรงไฟฟ้าขนอม</t>
        </r>
      </text>
    </comment>
    <comment ref="AA64" authorId="3" shapeId="0" xr:uid="{00000000-0006-0000-0200-00003B000000}">
      <text>
        <r>
          <rPr>
            <b/>
            <sz val="9"/>
            <color indexed="81"/>
            <rFont val="Tahoma"/>
            <family val="2"/>
          </rPr>
          <t>Windows User:</t>
        </r>
        <r>
          <rPr>
            <sz val="9"/>
            <color indexed="81"/>
            <rFont val="Tahoma"/>
            <family val="2"/>
          </rPr>
          <t xml:space="preserve">
rev0 = 15.56 KT
rev1 = 13.5 KT KT เนื่องจากโรงไฟฟ้าขนอมทำการหยุดซ่อมบำรุงเร่งด่วน ทำให้กำลังการผลิต LPG ลดลง</t>
        </r>
      </text>
    </comment>
    <comment ref="D95" authorId="3" shapeId="0" xr:uid="{00000000-0006-0000-0200-00003C000000}">
      <text>
        <r>
          <rPr>
            <b/>
            <sz val="9"/>
            <color rgb="FF000000"/>
            <rFont val="Tahoma"/>
            <family val="2"/>
          </rPr>
          <t>Windows User:</t>
        </r>
        <r>
          <rPr>
            <sz val="9"/>
            <color rgb="FF000000"/>
            <rFont val="Tahoma"/>
            <family val="2"/>
          </rPr>
          <t xml:space="preserve">
</t>
        </r>
        <r>
          <rPr>
            <sz val="9"/>
            <color rgb="FF000000"/>
            <rFont val="Tahoma"/>
            <family val="2"/>
          </rPr>
          <t xml:space="preserve">Port chart 4-6 $/Ton (split 22 KT)
</t>
        </r>
      </text>
    </comment>
    <comment ref="AB95" authorId="3" shapeId="0" xr:uid="{00000000-0006-0000-0200-00003D000000}">
      <text>
        <r>
          <rPr>
            <b/>
            <sz val="9"/>
            <color rgb="FF000000"/>
            <rFont val="Tahoma"/>
            <family val="2"/>
          </rPr>
          <t>Windows User:</t>
        </r>
        <r>
          <rPr>
            <sz val="9"/>
            <color rgb="FF000000"/>
            <rFont val="Tahoma"/>
            <family val="2"/>
          </rPr>
          <t xml:space="preserve">
</t>
        </r>
        <r>
          <rPr>
            <sz val="9"/>
            <color rgb="FF000000"/>
            <rFont val="Tahoma"/>
            <family val="2"/>
          </rPr>
          <t xml:space="preserve">MOC </t>
        </r>
        <r>
          <rPr>
            <sz val="9"/>
            <color rgb="FF000000"/>
            <rFont val="Tahoma"/>
            <family val="2"/>
          </rPr>
          <t>ทางเรือ</t>
        </r>
      </text>
    </comment>
    <comment ref="AD95" authorId="3" shapeId="0" xr:uid="{00000000-0006-0000-0200-00003E000000}">
      <text>
        <r>
          <rPr>
            <b/>
            <sz val="9"/>
            <color rgb="FF000000"/>
            <rFont val="Tahoma"/>
            <family val="2"/>
          </rPr>
          <t>Windows User:</t>
        </r>
        <r>
          <rPr>
            <sz val="9"/>
            <color rgb="FF000000"/>
            <rFont val="Tahoma"/>
            <family val="2"/>
          </rPr>
          <t xml:space="preserve">
</t>
        </r>
        <r>
          <rPr>
            <sz val="9"/>
            <color rgb="FF000000"/>
            <rFont val="Tahoma"/>
            <family val="2"/>
          </rPr>
          <t>SCG request 23 Jun - 2Jul</t>
        </r>
      </text>
    </comment>
    <comment ref="E97" authorId="2" shapeId="0" xr:uid="{00000000-0006-0000-0200-00003F000000}">
      <text>
        <r>
          <rPr>
            <b/>
            <sz val="9"/>
            <color indexed="81"/>
            <rFont val="Tahoma"/>
            <family val="2"/>
          </rPr>
          <t>Quantumuser:</t>
        </r>
        <r>
          <rPr>
            <sz val="9"/>
            <color indexed="81"/>
            <rFont val="Tahoma"/>
            <family val="2"/>
          </rPr>
          <t xml:space="preserve">
rev0 = 90.5 (import 14.5 KT)
rev1 = 95 KT</t>
        </r>
      </text>
    </comment>
    <comment ref="G97" authorId="3" shapeId="0" xr:uid="{00000000-0006-0000-0200-000040000000}">
      <text>
        <r>
          <rPr>
            <b/>
            <sz val="9"/>
            <color indexed="81"/>
            <rFont val="Tahoma"/>
            <family val="2"/>
          </rPr>
          <t>Windows User:</t>
        </r>
        <r>
          <rPr>
            <sz val="9"/>
            <color indexed="81"/>
            <rFont val="Tahoma"/>
            <family val="2"/>
          </rPr>
          <t xml:space="preserve">
rev0 =74 
rev1= 72 KT cause GSP3 trip</t>
        </r>
      </text>
    </comment>
    <comment ref="H97" authorId="3" shapeId="0" xr:uid="{00000000-0006-0000-0200-000041000000}">
      <text>
        <r>
          <rPr>
            <b/>
            <sz val="9"/>
            <color indexed="81"/>
            <rFont val="Tahoma"/>
            <family val="2"/>
          </rPr>
          <t>Windows User:</t>
        </r>
        <r>
          <rPr>
            <sz val="9"/>
            <color indexed="81"/>
            <rFont val="Tahoma"/>
            <family val="2"/>
          </rPr>
          <t xml:space="preserve">
rev0 = 68 KT
rev1 = 65.5 KT GC ขอปรับลดเนื่องจาก C2 rate สูง ประมาน 295 -297 ton/hr.
rev2 = 69.5 KT เนื่องจาก GSP TD
- GSP6 reduce 10% of feed gas to fix expander vibration problem during 2-5 Aug
- GSP6 reduce 25% of feed gas to fix expander vibration problem during 6-12 Aug
rev3 = 67.5 KT GC ปรับลด เนื่องจาก Ethane supply will be 300T/h instead of 295T/h 
rev4 = 67 KT GC แจ้ง carry ove rC3 0.5 KT to Sep'19
</t>
        </r>
      </text>
    </comment>
    <comment ref="I97" authorId="2" shapeId="0" xr:uid="{00000000-0006-0000-0200-000042000000}">
      <text>
        <r>
          <rPr>
            <b/>
            <sz val="9"/>
            <color indexed="81"/>
            <rFont val="Tahoma"/>
            <family val="2"/>
          </rPr>
          <t>Quantumuser:</t>
        </r>
        <r>
          <rPr>
            <sz val="9"/>
            <color indexed="81"/>
            <rFont val="Tahoma"/>
            <family val="2"/>
          </rPr>
          <t xml:space="preserve">
rev0 = 61.5
rev1 = 62 KT เนื่องจาก carry over C3 from Aug 0.5 KT</t>
        </r>
      </text>
    </comment>
    <comment ref="J97" authorId="3" shapeId="0" xr:uid="{00000000-0006-0000-0200-000043000000}">
      <text>
        <r>
          <rPr>
            <b/>
            <sz val="9"/>
            <color indexed="81"/>
            <rFont val="Tahoma"/>
            <family val="2"/>
          </rPr>
          <t>Windows User:
rev0 = 62
rev1 = 65.6
rev2 = 66 KT
rev3 = 67 KT
rev4 = 63 KT (โยกไปพย 4 KT)</t>
        </r>
      </text>
    </comment>
    <comment ref="K97" authorId="2" shapeId="0" xr:uid="{00000000-0006-0000-0200-000044000000}">
      <text>
        <r>
          <rPr>
            <b/>
            <sz val="9"/>
            <color indexed="81"/>
            <rFont val="Tahoma"/>
            <family val="2"/>
          </rPr>
          <t>Quantumuser:</t>
        </r>
        <r>
          <rPr>
            <sz val="9"/>
            <color indexed="81"/>
            <rFont val="Tahoma"/>
            <family val="2"/>
          </rPr>
          <t xml:space="preserve">
rev0 = 57
rev1 = 63 (57+4+2) 4 โยกมาจาก ตค และ 2 มาจาก swap (21 เป็น 23)
rev2 = 65 KT (+2 GC ขอรับเพิ่ม)</t>
        </r>
      </text>
    </comment>
    <comment ref="L97" authorId="2" shapeId="0" xr:uid="{00000000-0006-0000-0200-000045000000}">
      <text>
        <r>
          <rPr>
            <b/>
            <sz val="9"/>
            <color indexed="81"/>
            <rFont val="Tahoma"/>
            <family val="2"/>
          </rPr>
          <t>Quantumuser:</t>
        </r>
        <r>
          <rPr>
            <sz val="9"/>
            <color indexed="81"/>
            <rFont val="Tahoma"/>
            <family val="2"/>
          </rPr>
          <t xml:space="preserve">
rev0 = 59.5
rev1 = 64.5 (swap vol 2.5 KT จาก 21 KT เป็น 23.5 KT)
rev2 = 66.5 (GC ขอรับเพิ่ม +2 KT
rev3 = 68.5
rev4 = 65.5 KT เนื่องจาก GC black out วันที่ 23 ธ.ค. 62
</t>
        </r>
      </text>
    </comment>
    <comment ref="M97" authorId="2" shapeId="0" xr:uid="{00000000-0006-0000-0200-000046000000}">
      <text>
        <r>
          <rPr>
            <b/>
            <sz val="9"/>
            <color indexed="81"/>
            <rFont val="Tahoma"/>
            <family val="2"/>
          </rPr>
          <t>Quantumuser:</t>
        </r>
        <r>
          <rPr>
            <sz val="9"/>
            <color indexed="81"/>
            <rFont val="Tahoma"/>
            <family val="2"/>
          </rPr>
          <t xml:space="preserve">
I-4/1 SD19 Jan – 24 Feb’20
I-4/2 SD 15 Jan- 16 Feb’20
รอบ Nov 52
รอบ Dec 58
rev0 = 55 KT GSP ลดจาก demand GC 58 KT เพื่อ balabce inven และ LR เนื่องจากหาเรือ importไม่ได้ เพราะติดตรุษจีน
rev1 = 53.5 KT เนื่องจาก GC black out วันที่ 23 ธ.ค. 62
rev2 = 45 GC ขอลดรับ พี่สุคาด PE ลงส่งผลให้ gc กิน C2 ที่ผลิตได้เองก่อน (18 ton/hr) จึงมาลดรับ C3/lpg
rev2 = 49 GC เพิ่มเนื่องจาก เลื่อน TA ออกไป 5 วัน
rev3 = 47 KT GC ขอปรับลด เนื่องจาก we are conducting T/A OLE2 in this period and it cause LPG demand in Jan to be lessor than plan </t>
        </r>
      </text>
    </comment>
    <comment ref="N97" authorId="2" shapeId="0" xr:uid="{00000000-0006-0000-0200-000047000000}">
      <text>
        <r>
          <rPr>
            <b/>
            <sz val="9"/>
            <color indexed="81"/>
            <rFont val="Tahoma"/>
            <family val="2"/>
          </rPr>
          <t>Quantumuser:</t>
        </r>
        <r>
          <rPr>
            <sz val="9"/>
            <color indexed="81"/>
            <rFont val="Tahoma"/>
            <family val="2"/>
          </rPr>
          <t xml:space="preserve">
I-4/1 SD19 Jan – 24 Feb’20
I-4/2 SD 15 Jan- 16 Feb’20
รอบ Nov 34
รอบ Dec 36
รอบ Jan 27.5 เพราะเลื่อน TA ออกไปกินเดือน กพ เพิ่มขึ้น 5 วัน
rev1 = 25.5
rev2 = 24
rev3 = 22 KT GC เลื่อนการ SD Oleflex จาก 1 มี.ค. 63 – 6 เม.ย. 63 เป็น 24 ก.พ. 63 – 31 มี.ค. 63 
rev4 = 18.9  KT GC i4 delay start up จากแผนเดิมวันที่ 27 ก.พ. 63 </t>
        </r>
      </text>
    </comment>
    <comment ref="O97" authorId="2" shapeId="0" xr:uid="{00000000-0006-0000-0200-000048000000}">
      <text>
        <r>
          <rPr>
            <b/>
            <sz val="9"/>
            <color indexed="81"/>
            <rFont val="Tahoma"/>
            <family val="2"/>
          </rPr>
          <t>Quantumuser:</t>
        </r>
        <r>
          <rPr>
            <sz val="9"/>
            <color indexed="81"/>
            <rFont val="Tahoma"/>
            <family val="2"/>
          </rPr>
          <t xml:space="preserve">
รอบ Nov 68
รอบ Dec 53
รอบ Jan 52
rev0 = 44.623
rev1 = 41 GC ขอปรับลดเนื่องจาก GC delay S/U of OLE2/1
rev2 = 39 GC ขอปรับลดเนื่องจาก economic ราคาอ้างอิงตก เพราะ ซาอุทะเลาะรัฐเซีย และ demand drop จาก Covid</t>
        </r>
      </text>
    </comment>
    <comment ref="P97" authorId="2" shapeId="0" xr:uid="{00000000-0006-0000-0200-000049000000}">
      <text>
        <r>
          <rPr>
            <b/>
            <sz val="9"/>
            <color indexed="81"/>
            <rFont val="Tahoma"/>
            <family val="2"/>
          </rPr>
          <t>Quantumuser:</t>
        </r>
        <r>
          <rPr>
            <sz val="9"/>
            <color indexed="81"/>
            <rFont val="Tahoma"/>
            <family val="2"/>
          </rPr>
          <t xml:space="preserve">
รอบ Dec 72
รอบ Jan 60
rev1 = 43.5
rev2 = 46.5 GC ขอเพิ่ม เนื่องจาก GSP ลด C2
rev3 = 44.5 ปรับลดการจัดส่ง GC 2 KT เนื่องจาก refinery ปรับลดการจัดส่ง 5 KT (ช่วยเหลือ GC 3 KT)</t>
        </r>
      </text>
    </comment>
    <comment ref="Q97" authorId="3" shapeId="0" xr:uid="{00000000-0006-0000-0200-00004A000000}">
      <text>
        <r>
          <rPr>
            <b/>
            <sz val="9"/>
            <color indexed="81"/>
            <rFont val="Tahoma"/>
            <family val="2"/>
          </rPr>
          <t xml:space="preserve">Windows User:
Feb </t>
        </r>
        <r>
          <rPr>
            <sz val="9"/>
            <color indexed="81"/>
            <rFont val="Tahoma"/>
            <family val="2"/>
          </rPr>
          <t>57.488
Mar 36.591</t>
        </r>
      </text>
    </comment>
    <comment ref="R97" authorId="2" shapeId="0" xr:uid="{00000000-0006-0000-0200-00004B000000}">
      <text>
        <r>
          <rPr>
            <b/>
            <sz val="9"/>
            <color indexed="81"/>
            <rFont val="Tahoma"/>
            <family val="2"/>
          </rPr>
          <t>Quantumuser:</t>
        </r>
        <r>
          <rPr>
            <sz val="9"/>
            <color indexed="81"/>
            <rFont val="Tahoma"/>
            <family val="2"/>
          </rPr>
          <t xml:space="preserve">
รอบ Dec 72
รอบ Jan 60
rev1 = 43.5
rev2 = 46.5 GC ขอเพิ่ม เนื่องจาก GSP ลด C2
rev0 = 58 KT</t>
        </r>
      </text>
    </comment>
    <comment ref="S97" authorId="3" shapeId="0" xr:uid="{00000000-0006-0000-0200-00004C000000}">
      <text>
        <r>
          <rPr>
            <b/>
            <sz val="9"/>
            <color indexed="81"/>
            <rFont val="Tahoma"/>
            <family val="2"/>
          </rPr>
          <t>Windows User:</t>
        </r>
        <r>
          <rPr>
            <sz val="9"/>
            <color indexed="81"/>
            <rFont val="Tahoma"/>
            <family val="2"/>
          </rPr>
          <t xml:space="preserve">
Feb 61.541
Mar 25.252</t>
        </r>
      </text>
    </comment>
    <comment ref="Q99" authorId="3" shapeId="0" xr:uid="{00000000-0006-0000-0200-00004D000000}">
      <text>
        <r>
          <rPr>
            <b/>
            <sz val="9"/>
            <color indexed="81"/>
            <rFont val="Tahoma"/>
            <family val="2"/>
          </rPr>
          <t>Windows User:</t>
        </r>
        <r>
          <rPr>
            <sz val="9"/>
            <color indexed="81"/>
            <rFont val="Tahoma"/>
            <family val="2"/>
          </rPr>
          <t xml:space="preserve">
rev0 = 23.064
rev1 = 26 KT GSP เสนอ GC รับ C3 เพิ่ม เพื่อช่วยลด inv high จาก PTTAC ESD</t>
        </r>
      </text>
    </comment>
    <comment ref="W99" authorId="3" shapeId="0" xr:uid="{00000000-0006-0000-0200-00004E000000}">
      <text>
        <r>
          <rPr>
            <b/>
            <sz val="9"/>
            <color indexed="81"/>
            <rFont val="Tahoma"/>
            <family val="2"/>
          </rPr>
          <t>Windows User:</t>
        </r>
        <r>
          <rPr>
            <sz val="9"/>
            <color indexed="81"/>
            <rFont val="Tahoma"/>
            <family val="2"/>
          </rPr>
          <t xml:space="preserve">
ก่อนเกิดเหต GSP5 = 23 KT
</t>
        </r>
      </text>
    </comment>
    <comment ref="X99" authorId="3" shapeId="0" xr:uid="{00000000-0006-0000-0200-00004F000000}">
      <text>
        <r>
          <rPr>
            <b/>
            <sz val="9"/>
            <color indexed="81"/>
            <rFont val="Tahoma"/>
            <family val="2"/>
          </rPr>
          <t>Windows User:</t>
        </r>
        <r>
          <rPr>
            <sz val="9"/>
            <color indexed="81"/>
            <rFont val="Tahoma"/>
            <family val="2"/>
          </rPr>
          <t xml:space="preserve">
ก่อนเกิดเหต GSP5 = 23 KT
rev1 = 23.5
rev2 = 29 HMC ไฟไหม้</t>
        </r>
      </text>
    </comment>
    <comment ref="AA99" authorId="3" shapeId="0" xr:uid="{00000000-0006-0000-0200-000050000000}">
      <text>
        <r>
          <rPr>
            <b/>
            <sz val="9"/>
            <color rgb="FF000000"/>
            <rFont val="Tahoma"/>
            <family val="2"/>
          </rPr>
          <t>Windows User:</t>
        </r>
        <r>
          <rPr>
            <sz val="9"/>
            <color rgb="FF000000"/>
            <rFont val="Tahoma"/>
            <family val="2"/>
          </rPr>
          <t xml:space="preserve">
</t>
        </r>
        <r>
          <rPr>
            <sz val="9"/>
            <color rgb="FF000000"/>
            <rFont val="Tahoma"/>
            <family val="2"/>
          </rPr>
          <t xml:space="preserve">rev0 = 22.32 KT
</t>
        </r>
        <r>
          <rPr>
            <sz val="9"/>
            <color rgb="FF000000"/>
            <rFont val="Tahoma"/>
            <family val="2"/>
          </rPr>
          <t xml:space="preserve">rev1 = 19.82 KT (GC </t>
        </r>
        <r>
          <rPr>
            <sz val="9"/>
            <color rgb="FF000000"/>
            <rFont val="Tahoma"/>
            <family val="2"/>
          </rPr>
          <t>คุยกับ</t>
        </r>
        <r>
          <rPr>
            <sz val="9"/>
            <color rgb="FF000000"/>
            <rFont val="Tahoma"/>
            <family val="2"/>
          </rPr>
          <t xml:space="preserve"> AC </t>
        </r>
        <r>
          <rPr>
            <sz val="9"/>
            <color rgb="FF000000"/>
            <rFont val="Tahoma"/>
            <family val="2"/>
          </rPr>
          <t>โดย</t>
        </r>
        <r>
          <rPr>
            <sz val="9"/>
            <color rgb="FF000000"/>
            <rFont val="Tahoma"/>
            <family val="2"/>
          </rPr>
          <t xml:space="preserve"> GC </t>
        </r>
        <r>
          <rPr>
            <sz val="9"/>
            <color rgb="FF000000"/>
            <rFont val="Tahoma"/>
            <family val="2"/>
          </rPr>
          <t>จะลด</t>
        </r>
        <r>
          <rPr>
            <sz val="9"/>
            <color rgb="FF000000"/>
            <rFont val="Tahoma"/>
            <family val="2"/>
          </rPr>
          <t xml:space="preserve"> -2.5 KT </t>
        </r>
        <r>
          <rPr>
            <sz val="9"/>
            <color rgb="FF000000"/>
            <rFont val="Tahoma"/>
            <family val="2"/>
          </rPr>
          <t>และ</t>
        </r>
        <r>
          <rPr>
            <sz val="9"/>
            <color rgb="FF000000"/>
            <rFont val="Tahoma"/>
            <family val="2"/>
          </rPr>
          <t xml:space="preserve"> AC </t>
        </r>
        <r>
          <rPr>
            <sz val="9"/>
            <color rgb="FF000000"/>
            <rFont val="Tahoma"/>
            <family val="2"/>
          </rPr>
          <t>จะซื้อ</t>
        </r>
        <r>
          <rPr>
            <sz val="9"/>
            <color rgb="FF000000"/>
            <rFont val="Tahoma"/>
            <family val="2"/>
          </rPr>
          <t xml:space="preserve"> Spot </t>
        </r>
        <r>
          <rPr>
            <sz val="9"/>
            <color rgb="FF000000"/>
            <rFont val="Tahoma"/>
            <family val="2"/>
          </rPr>
          <t>เพิ่ม</t>
        </r>
        <r>
          <rPr>
            <sz val="9"/>
            <color rgb="FF000000"/>
            <rFont val="Tahoma"/>
            <family val="2"/>
          </rPr>
          <t xml:space="preserve"> 2.5 KT)
</t>
        </r>
        <r>
          <rPr>
            <sz val="9"/>
            <color rgb="FF000000"/>
            <rFont val="Tahoma"/>
            <family val="2"/>
          </rPr>
          <t xml:space="preserve">rev2 = 18.82 KT (GC </t>
        </r>
        <r>
          <rPr>
            <sz val="9"/>
            <color rgb="FF000000"/>
            <rFont val="Tahoma"/>
            <family val="2"/>
          </rPr>
          <t>คุยกับ</t>
        </r>
        <r>
          <rPr>
            <sz val="9"/>
            <color rgb="FF000000"/>
            <rFont val="Tahoma"/>
            <family val="2"/>
          </rPr>
          <t xml:space="preserve"> AC </t>
        </r>
        <r>
          <rPr>
            <sz val="9"/>
            <color rgb="FF000000"/>
            <rFont val="Tahoma"/>
            <family val="2"/>
          </rPr>
          <t>โดย</t>
        </r>
        <r>
          <rPr>
            <sz val="9"/>
            <color rgb="FF000000"/>
            <rFont val="Tahoma"/>
            <family val="2"/>
          </rPr>
          <t xml:space="preserve"> GC </t>
        </r>
        <r>
          <rPr>
            <sz val="9"/>
            <color rgb="FF000000"/>
            <rFont val="Tahoma"/>
            <family val="2"/>
          </rPr>
          <t>จะลด</t>
        </r>
        <r>
          <rPr>
            <sz val="9"/>
            <color rgb="FF000000"/>
            <rFont val="Tahoma"/>
            <family val="2"/>
          </rPr>
          <t xml:space="preserve"> -1 KT </t>
        </r>
        <r>
          <rPr>
            <sz val="9"/>
            <color rgb="FF000000"/>
            <rFont val="Tahoma"/>
            <family val="2"/>
          </rPr>
          <t>และ</t>
        </r>
        <r>
          <rPr>
            <sz val="9"/>
            <color rgb="FF000000"/>
            <rFont val="Tahoma"/>
            <family val="2"/>
          </rPr>
          <t xml:space="preserve"> AC </t>
        </r>
        <r>
          <rPr>
            <sz val="9"/>
            <color rgb="FF000000"/>
            <rFont val="Tahoma"/>
            <family val="2"/>
          </rPr>
          <t>จะซื้อ</t>
        </r>
        <r>
          <rPr>
            <sz val="9"/>
            <color rgb="FF000000"/>
            <rFont val="Tahoma"/>
            <family val="2"/>
          </rPr>
          <t xml:space="preserve"> Spot </t>
        </r>
        <r>
          <rPr>
            <sz val="9"/>
            <color rgb="FF000000"/>
            <rFont val="Tahoma"/>
            <family val="2"/>
          </rPr>
          <t>เพิ่ม</t>
        </r>
        <r>
          <rPr>
            <sz val="9"/>
            <color rgb="FF000000"/>
            <rFont val="Tahoma"/>
            <family val="2"/>
          </rPr>
          <t xml:space="preserve"> 1 KT)</t>
        </r>
      </text>
    </comment>
    <comment ref="AB99" authorId="3" shapeId="0" xr:uid="{00000000-0006-0000-0200-000051000000}">
      <text>
        <r>
          <rPr>
            <b/>
            <sz val="9"/>
            <color indexed="81"/>
            <rFont val="Tahoma"/>
            <family val="2"/>
          </rPr>
          <t>Windows User:</t>
        </r>
        <r>
          <rPr>
            <sz val="9"/>
            <color indexed="81"/>
            <rFont val="Tahoma"/>
            <family val="2"/>
          </rPr>
          <t xml:space="preserve">
rev0 = 18.4 KT
rev1 = 15.8 KT วันที่ 14 เม.ย. 64 GC แจ้งเหตุไฟฟ้าขัดข้อง จึงลดรับ C3
rev2 = 13 KT delay start up
rev3 = 12KT เนื่องจาก ไฟฟ้าดับเมื่อวันที่ 20 Apr (GC official)</t>
        </r>
      </text>
    </comment>
    <comment ref="AC99" authorId="3" shapeId="0" xr:uid="{00000000-0006-0000-0200-000052000000}">
      <text>
        <r>
          <rPr>
            <b/>
            <sz val="9"/>
            <color rgb="FF000000"/>
            <rFont val="Tahoma"/>
            <family val="2"/>
          </rPr>
          <t>Windows User:</t>
        </r>
        <r>
          <rPr>
            <sz val="9"/>
            <color rgb="FF000000"/>
            <rFont val="Tahoma"/>
            <family val="2"/>
          </rPr>
          <t xml:space="preserve">
</t>
        </r>
        <r>
          <rPr>
            <sz val="9"/>
            <color rgb="FF000000"/>
            <rFont val="Tahoma"/>
            <family val="2"/>
          </rPr>
          <t>rev0 = 18.556 KT</t>
        </r>
      </text>
    </comment>
    <comment ref="AE99" authorId="3" shapeId="0" xr:uid="{00000000-0006-0000-0200-000053000000}">
      <text>
        <r>
          <rPr>
            <b/>
            <sz val="9"/>
            <color indexed="81"/>
            <rFont val="Tahoma"/>
            <family val="2"/>
          </rPr>
          <t>Windows User:</t>
        </r>
        <r>
          <rPr>
            <sz val="9"/>
            <color indexed="81"/>
            <rFont val="Tahoma"/>
            <family val="2"/>
          </rPr>
          <t xml:space="preserve">
rev0 = 22.32 KT
rev1 = 16.72 KT GC ปรับลดเนื่องจากโยกไปให้ HMC</t>
        </r>
      </text>
    </comment>
    <comment ref="AF99" authorId="2" shapeId="0" xr:uid="{00000000-0006-0000-0200-000054000000}">
      <text>
        <r>
          <rPr>
            <b/>
            <sz val="9"/>
            <color indexed="81"/>
            <rFont val="Tahoma"/>
            <family val="2"/>
          </rPr>
          <t>Quantumuser:</t>
        </r>
        <r>
          <rPr>
            <sz val="9"/>
            <color indexed="81"/>
            <rFont val="Tahoma"/>
            <family val="2"/>
          </rPr>
          <t xml:space="preserve">
Oleflex SD Aug'20 -Sep'20</t>
        </r>
      </text>
    </comment>
    <comment ref="AG99" authorId="2" shapeId="0" xr:uid="{00000000-0006-0000-0200-000055000000}">
      <text>
        <r>
          <rPr>
            <b/>
            <sz val="9"/>
            <color rgb="FF000000"/>
            <rFont val="Tahoma"/>
            <family val="2"/>
          </rPr>
          <t>Quantumuser:</t>
        </r>
        <r>
          <rPr>
            <sz val="9"/>
            <color rgb="FF000000"/>
            <rFont val="Tahoma"/>
            <family val="2"/>
          </rPr>
          <t xml:space="preserve">
</t>
        </r>
        <r>
          <rPr>
            <sz val="9"/>
            <color rgb="FF000000"/>
            <rFont val="Tahoma"/>
            <family val="2"/>
          </rPr>
          <t xml:space="preserve">Oleflex SD Aug'20 -Sep'20
</t>
        </r>
        <r>
          <rPr>
            <sz val="9"/>
            <color rgb="FF000000"/>
            <rFont val="Tahoma"/>
            <family val="2"/>
          </rPr>
          <t xml:space="preserve">
</t>
        </r>
        <r>
          <rPr>
            <sz val="9"/>
            <color rgb="FF000000"/>
            <rFont val="Tahoma"/>
            <family val="2"/>
          </rPr>
          <t xml:space="preserve">BZ 20.7259301179628 KT
</t>
        </r>
      </text>
    </comment>
    <comment ref="R100" authorId="3" shapeId="0" xr:uid="{00000000-0006-0000-0200-000056000000}">
      <text>
        <r>
          <rPr>
            <b/>
            <sz val="9"/>
            <color indexed="81"/>
            <rFont val="Tahoma"/>
            <family val="2"/>
          </rPr>
          <t>Windows User:</t>
        </r>
        <r>
          <rPr>
            <sz val="9"/>
            <color indexed="81"/>
            <rFont val="Tahoma"/>
            <family val="2"/>
          </rPr>
          <t xml:space="preserve">
rev0 =32
rev1 = 30 GC ขอลด เนื่องจาก ขายไม่ออก ของล้น</t>
        </r>
      </text>
    </comment>
    <comment ref="T100" authorId="3" shapeId="0" xr:uid="{00000000-0006-0000-0200-000057000000}">
      <text>
        <r>
          <rPr>
            <b/>
            <sz val="9"/>
            <color indexed="81"/>
            <rFont val="Tahoma"/>
            <family val="2"/>
          </rPr>
          <t>Windows User:</t>
        </r>
        <r>
          <rPr>
            <sz val="9"/>
            <color indexed="81"/>
            <rFont val="Tahoma"/>
            <family val="2"/>
          </rPr>
          <t xml:space="preserve">
rev0 = 31.25
rev1 = 38.75 GC ขอเพิ่ม ชดชเย C2
rev2 = 36 GC ขอลด เพราะwe got additional ethane supply from your side from 197KT to 198KT, so we would like your support to reduce LPG from 38.75KT to 36KT krub.
</t>
        </r>
      </text>
    </comment>
    <comment ref="U100" authorId="2" shapeId="0" xr:uid="{00000000-0006-0000-0200-000058000000}">
      <text>
        <r>
          <rPr>
            <b/>
            <sz val="9"/>
            <color indexed="81"/>
            <rFont val="Tahoma"/>
            <family val="2"/>
          </rPr>
          <t>Quantumuser:
rev0 = 32.5
rev1 = 31.5 GC ขอลดรับ เนื่องจากต้องการ  own use Light Naphtha ตาม economic decision
rev2 = 13 KT
rev3 = 22.5 KT เนื่องจาก GSP C2 compo ลดลง จาก 201 KT เป็น 197 KT
rev4 = 24.5 GC ขอเพิ่ม เนื่องจาก GSP C2 compo ลดลง จาก 197 KT เป็น 195 KT
rev5 = 20.5 GC ลดรับ เนื่องจาก GSP C2 compo สูงกว่าแผน</t>
        </r>
      </text>
    </comment>
    <comment ref="V100" authorId="3" shapeId="0" xr:uid="{00000000-0006-0000-0200-000059000000}">
      <text>
        <r>
          <rPr>
            <b/>
            <sz val="9"/>
            <color indexed="81"/>
            <rFont val="Tahoma"/>
            <family val="2"/>
          </rPr>
          <t>Windows User:</t>
        </r>
        <r>
          <rPr>
            <sz val="9"/>
            <color indexed="81"/>
            <rFont val="Tahoma"/>
            <family val="2"/>
          </rPr>
          <t xml:space="preserve">
25
</t>
        </r>
      </text>
    </comment>
    <comment ref="W100" authorId="3" shapeId="0" xr:uid="{00000000-0006-0000-0200-00005A000000}">
      <text>
        <r>
          <rPr>
            <b/>
            <sz val="9"/>
            <color indexed="81"/>
            <rFont val="Tahoma"/>
            <family val="2"/>
          </rPr>
          <t>Windows User:</t>
        </r>
        <r>
          <rPr>
            <sz val="9"/>
            <color indexed="81"/>
            <rFont val="Tahoma"/>
            <family val="2"/>
          </rPr>
          <t xml:space="preserve">
ก่อนเกิดเหต GSP5 = 18.5 KT
 </t>
        </r>
      </text>
    </comment>
    <comment ref="X100" authorId="3" shapeId="0" xr:uid="{00000000-0006-0000-0200-00005B000000}">
      <text>
        <r>
          <rPr>
            <b/>
            <sz val="9"/>
            <color indexed="81"/>
            <rFont val="Tahoma"/>
            <family val="2"/>
          </rPr>
          <t>Windows User:</t>
        </r>
        <r>
          <rPr>
            <sz val="9"/>
            <color indexed="81"/>
            <rFont val="Tahoma"/>
            <family val="2"/>
          </rPr>
          <t xml:space="preserve">
ก่อนเกิดเหต GSP5 = 19 KT
rev1 = 22 KT GSP5 21 ม.ค. 63
rev2 = 27 KT GSP5 9 ม.ค. 63
rev3 = 29.5 HMC ไฟไหม้</t>
        </r>
      </text>
    </comment>
    <comment ref="Y100" authorId="3" shapeId="0" xr:uid="{00000000-0006-0000-0200-00005C000000}">
      <text>
        <r>
          <rPr>
            <b/>
            <sz val="9"/>
            <color rgb="FF000000"/>
            <rFont val="Tahoma"/>
            <family val="2"/>
          </rPr>
          <t>Windows User:</t>
        </r>
        <r>
          <rPr>
            <sz val="9"/>
            <color rgb="FF000000"/>
            <rFont val="Tahoma"/>
            <family val="2"/>
          </rPr>
          <t xml:space="preserve">
</t>
        </r>
        <r>
          <rPr>
            <sz val="9"/>
            <color rgb="FF000000"/>
            <rFont val="Tahoma"/>
            <family val="2"/>
          </rPr>
          <t xml:space="preserve">rev0 = 34.1
</t>
        </r>
        <r>
          <rPr>
            <sz val="9"/>
            <color rgb="FF000000"/>
            <rFont val="Tahoma"/>
            <family val="2"/>
          </rPr>
          <t xml:space="preserve">rev1 = 33.1 GC </t>
        </r>
        <r>
          <rPr>
            <sz val="9"/>
            <color rgb="FF000000"/>
            <rFont val="Tahoma"/>
            <family val="2"/>
          </rPr>
          <t>แจ้ง</t>
        </r>
        <r>
          <rPr>
            <sz val="9"/>
            <color rgb="FF000000"/>
            <rFont val="Tahoma"/>
            <family val="2"/>
          </rPr>
          <t xml:space="preserve"> drop -1 KT </t>
        </r>
        <r>
          <rPr>
            <sz val="9"/>
            <color rgb="FF000000"/>
            <rFont val="Tahoma"/>
            <family val="2"/>
          </rPr>
          <t>โดยยังอยู่ใน</t>
        </r>
        <r>
          <rPr>
            <sz val="9"/>
            <color rgb="FF000000"/>
            <rFont val="Tahoma"/>
            <family val="2"/>
          </rPr>
          <t xml:space="preserve"> 3%</t>
        </r>
      </text>
    </comment>
    <comment ref="Z100" authorId="3" shapeId="0" xr:uid="{00000000-0006-0000-0200-00005D000000}">
      <text>
        <r>
          <rPr>
            <b/>
            <sz val="9"/>
            <color indexed="81"/>
            <rFont val="Tahoma"/>
            <family val="2"/>
          </rPr>
          <t>Windows User:</t>
        </r>
        <r>
          <rPr>
            <sz val="9"/>
            <color indexed="81"/>
            <rFont val="Tahoma"/>
            <family val="2"/>
          </rPr>
          <t xml:space="preserve">
rev0 = 25
rev1 = 20 KT GC ขอลดเนื่องจาก GSP ผลิต C2 ได้เพิ่มขึ้น</t>
        </r>
      </text>
    </comment>
    <comment ref="AA100" authorId="3" shapeId="0" xr:uid="{00000000-0006-0000-0200-00005E000000}">
      <text>
        <r>
          <rPr>
            <b/>
            <sz val="9"/>
            <color indexed="81"/>
            <rFont val="Tahoma"/>
            <family val="2"/>
          </rPr>
          <t>Windows User:</t>
        </r>
        <r>
          <rPr>
            <sz val="9"/>
            <color indexed="81"/>
            <rFont val="Tahoma"/>
            <family val="2"/>
          </rPr>
          <t xml:space="preserve">
rev0 = 31.5
rev1 = 32.5 เนื่องจาก GC ลดรับ C3 1 KT จึงรับ LPG เพิ่ม 1 KT
</t>
        </r>
      </text>
    </comment>
    <comment ref="AB100" authorId="3" shapeId="0" xr:uid="{00000000-0006-0000-0200-00005F000000}">
      <text>
        <r>
          <rPr>
            <b/>
            <sz val="9"/>
            <color indexed="81"/>
            <rFont val="Tahoma"/>
            <family val="2"/>
          </rPr>
          <t>Windows User:</t>
        </r>
        <r>
          <rPr>
            <sz val="9"/>
            <color indexed="81"/>
            <rFont val="Tahoma"/>
            <family val="2"/>
          </rPr>
          <t xml:space="preserve">
rev0 = 32.904
rev1 = 33.5 GC ปรับเพิ่มเนื่องจาก GSP5 แจ้งแผน TD 50% กระทันหันในวันที่ 19 - 28 เม.ย. 64 
rev2 = 25.4 KT วันที่ 14 เม.ย. 64 GC แจ้งเหตุไฟฟ้าขัดข้อง จึงลดรับ LPG
rev3 = 24 KT เนื่องจาก ไฟฟ้าดับเมื่อวันที่ 20 Apr (GC official)</t>
        </r>
      </text>
    </comment>
    <comment ref="AC100" authorId="3" shapeId="0" xr:uid="{00000000-0006-0000-0200-000060000000}">
      <text>
        <r>
          <rPr>
            <b/>
            <sz val="9"/>
            <color rgb="FF000000"/>
            <rFont val="Tahoma"/>
            <family val="2"/>
          </rPr>
          <t>Windows User:</t>
        </r>
        <r>
          <rPr>
            <sz val="9"/>
            <color rgb="FF000000"/>
            <rFont val="Tahoma"/>
            <family val="2"/>
          </rPr>
          <t xml:space="preserve">
</t>
        </r>
        <r>
          <rPr>
            <sz val="9"/>
            <color rgb="FF000000"/>
            <rFont val="Tahoma"/>
            <family val="2"/>
          </rPr>
          <t xml:space="preserve">rev0 = 37.442 KT
</t>
        </r>
        <r>
          <rPr>
            <sz val="9"/>
            <color rgb="FF000000"/>
            <rFont val="Tahoma"/>
            <family val="2"/>
          </rPr>
          <t xml:space="preserve">rev1 = 42.4 KT </t>
        </r>
        <r>
          <rPr>
            <sz val="9"/>
            <color rgb="FF000000"/>
            <rFont val="Tahoma"/>
            <family val="2"/>
          </rPr>
          <t>เนื่องจาก</t>
        </r>
        <r>
          <rPr>
            <sz val="9"/>
            <color rgb="FF000000"/>
            <rFont val="Tahoma"/>
            <family val="2"/>
          </rPr>
          <t xml:space="preserve"> GC need LPG 50 KT</t>
        </r>
      </text>
    </comment>
    <comment ref="Z101" authorId="3" shapeId="0" xr:uid="{00000000-0006-0000-0200-000061000000}">
      <text>
        <r>
          <rPr>
            <b/>
            <sz val="9"/>
            <color indexed="81"/>
            <rFont val="Tahoma"/>
            <family val="2"/>
          </rPr>
          <t>Windows User:</t>
        </r>
        <r>
          <rPr>
            <sz val="9"/>
            <color indexed="81"/>
            <rFont val="Tahoma"/>
            <family val="2"/>
          </rPr>
          <t xml:space="preserve">
rev0 =10.8
rev1 = 9 SCG แจ้งปรับลด เนื่องจาก uncertainty of the commissioning and start-up </t>
        </r>
      </text>
    </comment>
    <comment ref="AB101" authorId="3" shapeId="0" xr:uid="{00000000-0006-0000-0200-000062000000}">
      <text>
        <r>
          <rPr>
            <b/>
            <sz val="9"/>
            <color indexed="81"/>
            <rFont val="Tahoma"/>
            <family val="2"/>
          </rPr>
          <t>Windows User:</t>
        </r>
        <r>
          <rPr>
            <sz val="9"/>
            <color indexed="81"/>
            <rFont val="Tahoma"/>
            <family val="2"/>
          </rPr>
          <t xml:space="preserve">
MOC ทางท่อ</t>
        </r>
      </text>
    </comment>
    <comment ref="AC101" authorId="3" shapeId="0" xr:uid="{00000000-0006-0000-0200-000063000000}">
      <text>
        <r>
          <rPr>
            <b/>
            <sz val="9"/>
            <color rgb="FF000000"/>
            <rFont val="Tahoma"/>
            <family val="2"/>
          </rPr>
          <t>Windows User:</t>
        </r>
        <r>
          <rPr>
            <sz val="9"/>
            <color rgb="FF000000"/>
            <rFont val="Tahoma"/>
            <family val="2"/>
          </rPr>
          <t xml:space="preserve">
</t>
        </r>
        <r>
          <rPr>
            <sz val="9"/>
            <color rgb="FF000000"/>
            <rFont val="Tahoma"/>
            <family val="2"/>
          </rPr>
          <t xml:space="preserve">rev0 = 12.312
</t>
        </r>
        <r>
          <rPr>
            <sz val="9"/>
            <color rgb="FF000000"/>
            <rFont val="Tahoma"/>
            <family val="2"/>
          </rPr>
          <t xml:space="preserve">rev1 = 10.5 SCG </t>
        </r>
        <r>
          <rPr>
            <sz val="9"/>
            <color rgb="FF000000"/>
            <rFont val="Tahoma"/>
            <family val="2"/>
          </rPr>
          <t>ลดรับ</t>
        </r>
        <r>
          <rPr>
            <sz val="9"/>
            <color rgb="FF000000"/>
            <rFont val="Tahoma"/>
            <family val="2"/>
          </rPr>
          <t xml:space="preserve"> </t>
        </r>
        <r>
          <rPr>
            <sz val="9"/>
            <color rgb="FF000000"/>
            <rFont val="Tahoma"/>
            <family val="2"/>
          </rPr>
          <t>เนื่องจาก</t>
        </r>
        <r>
          <rPr>
            <sz val="9"/>
            <color rgb="FF000000"/>
            <rFont val="Tahoma"/>
            <family val="2"/>
          </rPr>
          <t xml:space="preserve"> GSP </t>
        </r>
        <r>
          <rPr>
            <sz val="9"/>
            <color rgb="FF000000"/>
            <rFont val="Tahoma"/>
            <family val="2"/>
          </rPr>
          <t>จัดส่ง</t>
        </r>
        <r>
          <rPr>
            <sz val="9"/>
            <color rgb="FF000000"/>
            <rFont val="Tahoma"/>
            <family val="2"/>
          </rPr>
          <t xml:space="preserve"> C2 </t>
        </r>
        <r>
          <rPr>
            <sz val="9"/>
            <color rgb="FF000000"/>
            <rFont val="Tahoma"/>
            <family val="2"/>
          </rPr>
          <t>ให้ในเดือน</t>
        </r>
        <r>
          <rPr>
            <sz val="9"/>
            <color rgb="FF000000"/>
            <rFont val="Tahoma"/>
            <family val="2"/>
          </rPr>
          <t xml:space="preserve"> Apr </t>
        </r>
        <r>
          <rPr>
            <sz val="9"/>
            <color rgb="FF000000"/>
            <rFont val="Tahoma"/>
            <family val="2"/>
          </rPr>
          <t>มากขึ้น</t>
        </r>
        <r>
          <rPr>
            <sz val="9"/>
            <color rgb="FF000000"/>
            <rFont val="Tahoma"/>
            <family val="2"/>
          </rPr>
          <t xml:space="preserve"> GSP </t>
        </r>
        <r>
          <rPr>
            <sz val="9"/>
            <color rgb="FF000000"/>
            <rFont val="Tahoma"/>
            <family val="2"/>
          </rPr>
          <t>จึงขอให้ลดการรับ</t>
        </r>
        <r>
          <rPr>
            <sz val="9"/>
            <color rgb="FF000000"/>
            <rFont val="Tahoma"/>
            <family val="2"/>
          </rPr>
          <t xml:space="preserve"> C3 in May GSP </t>
        </r>
        <r>
          <rPr>
            <sz val="9"/>
            <color rgb="FF000000"/>
            <rFont val="Tahoma"/>
            <family val="2"/>
          </rPr>
          <t>จะได้ไม่ต้อง</t>
        </r>
        <r>
          <rPr>
            <sz val="9"/>
            <color rgb="FF000000"/>
            <rFont val="Tahoma"/>
            <family val="2"/>
          </rPr>
          <t xml:space="preserve"> Split cargo</t>
        </r>
      </text>
    </comment>
    <comment ref="AE101" authorId="2" shapeId="0" xr:uid="{00000000-0006-0000-0200-000064000000}">
      <text>
        <r>
          <rPr>
            <b/>
            <sz val="9"/>
            <color indexed="81"/>
            <rFont val="Tahoma"/>
            <family val="2"/>
          </rPr>
          <t>Quantumuser:</t>
        </r>
        <r>
          <rPr>
            <sz val="9"/>
            <color indexed="81"/>
            <rFont val="Tahoma"/>
            <family val="2"/>
          </rPr>
          <t xml:space="preserve">
GSP6 TA 
ดังนั้นส่งให้ทางเรือแทน ปลายเดือน มิ.ย. 64 = 18 KT ตาม Demand SCG
</t>
        </r>
      </text>
    </comment>
    <comment ref="E103" authorId="2" shapeId="0" xr:uid="{00000000-0006-0000-0200-000065000000}">
      <text>
        <r>
          <rPr>
            <b/>
            <sz val="9"/>
            <color indexed="81"/>
            <rFont val="Tahoma"/>
            <family val="2"/>
          </rPr>
          <t>Quantumuser:</t>
        </r>
        <r>
          <rPr>
            <sz val="9"/>
            <color indexed="81"/>
            <rFont val="Tahoma"/>
            <family val="2"/>
          </rPr>
          <t xml:space="preserve">
rev0 = 19
rev1 = 22 ROC ขอปรับเพิ่ม โดยโยกมาจากเดือน มิ.ย. เพราะเกรงว่าจะรับ 35 kt ในเดือน Jun ไม่ไหว</t>
        </r>
      </text>
    </comment>
    <comment ref="F103" authorId="2" shapeId="0" xr:uid="{00000000-0006-0000-0200-000066000000}">
      <text>
        <r>
          <rPr>
            <b/>
            <sz val="9"/>
            <color indexed="81"/>
            <rFont val="Tahoma"/>
            <family val="2"/>
          </rPr>
          <t>Quantumuser:</t>
        </r>
        <r>
          <rPr>
            <sz val="9"/>
            <color indexed="81"/>
            <rFont val="Tahoma"/>
            <family val="2"/>
          </rPr>
          <t xml:space="preserve">
rev0 = 35
rev1 = 32 โยกไปรับเดือน พค. ก่อน 3 KT
</t>
        </r>
      </text>
    </comment>
    <comment ref="G103" authorId="3" shapeId="0" xr:uid="{00000000-0006-0000-0200-000067000000}">
      <text>
        <r>
          <rPr>
            <b/>
            <sz val="9"/>
            <color indexed="81"/>
            <rFont val="Tahoma"/>
            <family val="2"/>
          </rPr>
          <t>Windows User:</t>
        </r>
        <r>
          <rPr>
            <sz val="9"/>
            <color indexed="81"/>
            <rFont val="Tahoma"/>
            <family val="2"/>
          </rPr>
          <t xml:space="preserve">
rev0 = 19 
rev1= 15 KT cause GSP3 trip</t>
        </r>
      </text>
    </comment>
    <comment ref="L103" authorId="2" shapeId="0" xr:uid="{00000000-0006-0000-0200-000068000000}">
      <text>
        <r>
          <rPr>
            <b/>
            <sz val="9"/>
            <color indexed="81"/>
            <rFont val="Tahoma"/>
            <family val="2"/>
          </rPr>
          <t>Quantumuser:</t>
        </r>
        <r>
          <rPr>
            <sz val="9"/>
            <color indexed="81"/>
            <rFont val="Tahoma"/>
            <family val="2"/>
          </rPr>
          <t xml:space="preserve">
rev0 = 6 KT
rev1 = 8 KT (GSP ขายเพิ่ม เพื่อ balance ถัง)
rev2 = 13 KT GSP ขายเพิ่ม 5 KT เนื่องจากลูกค้า GC, HMC, PTTAC blackout เมื่อวันที่ 23 ธ.ค. 62 จึงต้องขายเพิ่ม เพื่อรักษา inv รายวัน
</t>
        </r>
      </text>
    </comment>
    <comment ref="P103" authorId="2" shapeId="0" xr:uid="{00000000-0006-0000-0200-000069000000}">
      <text>
        <r>
          <rPr>
            <b/>
            <sz val="9"/>
            <color indexed="81"/>
            <rFont val="Tahoma"/>
            <family val="2"/>
          </rPr>
          <t>Quantumuser:</t>
        </r>
        <r>
          <rPr>
            <sz val="9"/>
            <color indexed="81"/>
            <rFont val="Tahoma"/>
            <family val="2"/>
          </rPr>
          <t xml:space="preserve">
roc base 12 kt
roc spot 9 kt (MOP’J -80)</t>
        </r>
      </text>
    </comment>
    <comment ref="Q103" authorId="2" shapeId="0" xr:uid="{00000000-0006-0000-0200-00006A000000}">
      <text>
        <r>
          <rPr>
            <b/>
            <sz val="9"/>
            <color indexed="81"/>
            <rFont val="Tahoma"/>
            <family val="2"/>
          </rPr>
          <t>Quantumuser:</t>
        </r>
        <r>
          <rPr>
            <sz val="9"/>
            <color indexed="81"/>
            <rFont val="Tahoma"/>
            <family val="2"/>
          </rPr>
          <t xml:space="preserve">
MOC TA May- Jun'20
roc spot 6 kt (mop,j -80)
rev0 = 0 KT
rev1 = 6 KT GSP ขายเพิ่ม
rev2 = 0 KT โยกไป Oct'20
</t>
        </r>
      </text>
    </comment>
    <comment ref="R103" authorId="2" shapeId="0" xr:uid="{00000000-0006-0000-0200-00006B000000}">
      <text>
        <r>
          <rPr>
            <b/>
            <sz val="9"/>
            <color indexed="81"/>
            <rFont val="Tahoma"/>
            <family val="2"/>
          </rPr>
          <t>Quantumuser:</t>
        </r>
        <r>
          <rPr>
            <sz val="9"/>
            <color indexed="81"/>
            <rFont val="Tahoma"/>
            <family val="2"/>
          </rPr>
          <t xml:space="preserve">
MOC TA May- Jun'20
</t>
        </r>
      </text>
    </comment>
    <comment ref="V103" authorId="3" shapeId="0" xr:uid="{00000000-0006-0000-0200-00006C000000}">
      <text>
        <r>
          <rPr>
            <b/>
            <sz val="9"/>
            <color indexed="81"/>
            <rFont val="Tahoma"/>
            <family val="2"/>
          </rPr>
          <t>Windows User:</t>
        </r>
        <r>
          <rPr>
            <sz val="9"/>
            <color indexed="81"/>
            <rFont val="Tahoma"/>
            <family val="2"/>
          </rPr>
          <t xml:space="preserve">
rev0 = 33.4 
rev1 = 39.4 KT โยกมาจากเดือน May +6 KT
MOC TA</t>
        </r>
      </text>
    </comment>
    <comment ref="W103" authorId="3" shapeId="0" xr:uid="{00000000-0006-0000-0200-00006D000000}">
      <text>
        <r>
          <rPr>
            <b/>
            <sz val="9"/>
            <color indexed="81"/>
            <rFont val="Tahoma"/>
            <family val="2"/>
          </rPr>
          <t>Windows User:</t>
        </r>
        <r>
          <rPr>
            <sz val="9"/>
            <color indexed="81"/>
            <rFont val="Tahoma"/>
            <family val="2"/>
          </rPr>
          <t xml:space="preserve">
MOC TA</t>
        </r>
      </text>
    </comment>
    <comment ref="Z103" authorId="3" shapeId="0" xr:uid="{00000000-0006-0000-0200-00006E000000}">
      <text>
        <r>
          <rPr>
            <b/>
            <sz val="9"/>
            <color rgb="FF000000"/>
            <rFont val="Tahoma"/>
            <family val="2"/>
          </rPr>
          <t>Windows User:</t>
        </r>
        <r>
          <rPr>
            <sz val="9"/>
            <color rgb="FF000000"/>
            <rFont val="Tahoma"/>
            <family val="2"/>
          </rPr>
          <t xml:space="preserve">
</t>
        </r>
        <r>
          <rPr>
            <sz val="9"/>
            <color rgb="FF000000"/>
            <rFont val="Tahoma"/>
            <family val="2"/>
          </rPr>
          <t xml:space="preserve">17.6 KT </t>
        </r>
        <r>
          <rPr>
            <sz val="9"/>
            <color rgb="FF000000"/>
            <rFont val="Tahoma"/>
            <family val="2"/>
          </rPr>
          <t>เป็น</t>
        </r>
        <r>
          <rPr>
            <sz val="9"/>
            <color rgb="FF000000"/>
            <rFont val="Tahoma"/>
            <family val="2"/>
          </rPr>
          <t xml:space="preserve"> Spot price : MOP'J-70</t>
        </r>
      </text>
    </comment>
    <comment ref="AB103" authorId="3" shapeId="0" xr:uid="{00000000-0006-0000-0200-00006F000000}">
      <text>
        <r>
          <rPr>
            <b/>
            <sz val="9"/>
            <color indexed="81"/>
            <rFont val="Tahoma"/>
            <family val="2"/>
          </rPr>
          <t>Windows User:</t>
        </r>
        <r>
          <rPr>
            <sz val="9"/>
            <color indexed="81"/>
            <rFont val="Tahoma"/>
            <family val="2"/>
          </rPr>
          <t xml:space="preserve">
rev0 = 23 KT
rev1 = 27.5 KT GSP เสนอขายเพิ่มที่ 4.5 KT (MOP'J-105) เพื่อให้ลด Feed น้อยลง
rev2 = 28.1 KT SCG ขอรับเพิ่ม</t>
        </r>
      </text>
    </comment>
    <comment ref="AC103" authorId="3" shapeId="0" xr:uid="{00000000-0006-0000-0200-000070000000}">
      <text>
        <r>
          <rPr>
            <b/>
            <sz val="9"/>
            <color rgb="FF000000"/>
            <rFont val="Tahoma"/>
            <family val="2"/>
          </rPr>
          <t>Windows User:</t>
        </r>
        <r>
          <rPr>
            <sz val="9"/>
            <color rgb="FF000000"/>
            <rFont val="Tahoma"/>
            <family val="2"/>
          </rPr>
          <t xml:space="preserve">
</t>
        </r>
        <r>
          <rPr>
            <sz val="9"/>
            <color rgb="FF000000"/>
            <rFont val="Tahoma"/>
            <family val="2"/>
          </rPr>
          <t xml:space="preserve">rev0 = 12 KT
</t>
        </r>
        <r>
          <rPr>
            <sz val="9"/>
            <color rgb="FF000000"/>
            <rFont val="Tahoma"/>
            <family val="2"/>
          </rPr>
          <t xml:space="preserve">rev1 = 28 KT GSP </t>
        </r>
        <r>
          <rPr>
            <sz val="9"/>
            <color rgb="FF000000"/>
            <rFont val="Tahoma"/>
            <family val="2"/>
          </rPr>
          <t>เสนอขายเพิ่มเพือ</t>
        </r>
        <r>
          <rPr>
            <sz val="9"/>
            <color rgb="FF000000"/>
            <rFont val="Tahoma"/>
            <family val="2"/>
          </rPr>
          <t xml:space="preserve"> balance inv
</t>
        </r>
        <r>
          <rPr>
            <sz val="9"/>
            <color rgb="FF000000"/>
            <rFont val="Tahoma"/>
            <family val="2"/>
          </rPr>
          <t xml:space="preserve">rev2 = 29.5 KT SCG </t>
        </r>
        <r>
          <rPr>
            <sz val="9"/>
            <color rgb="FF000000"/>
            <rFont val="Tahoma"/>
            <family val="2"/>
          </rPr>
          <t>ขอซื้อเพิ่ม</t>
        </r>
        <r>
          <rPr>
            <sz val="9"/>
            <color rgb="FF000000"/>
            <rFont val="Tahoma"/>
            <family val="2"/>
          </rPr>
          <t xml:space="preserve"> +1.5 KT (MOP'J-80)
</t>
        </r>
        <r>
          <rPr>
            <sz val="9"/>
            <color rgb="FF000000"/>
            <rFont val="Tahoma"/>
            <family val="2"/>
          </rPr>
          <t xml:space="preserve">rev3 = 30.8 KT SCG </t>
        </r>
        <r>
          <rPr>
            <sz val="9"/>
            <color rgb="FF000000"/>
            <rFont val="Tahoma"/>
            <family val="2"/>
          </rPr>
          <t>ขอซื้อเพิ่ม</t>
        </r>
        <r>
          <rPr>
            <sz val="9"/>
            <color rgb="FF000000"/>
            <rFont val="Tahoma"/>
            <family val="2"/>
          </rPr>
          <t xml:space="preserve"> +1.3 KT (MOP'J-80)</t>
        </r>
      </text>
    </comment>
    <comment ref="AE103" authorId="3" shapeId="0" xr:uid="{00000000-0006-0000-0200-000071000000}">
      <text>
        <r>
          <rPr>
            <b/>
            <sz val="9"/>
            <color indexed="81"/>
            <rFont val="Tahoma"/>
            <family val="2"/>
          </rPr>
          <t>Windows User:</t>
        </r>
        <r>
          <rPr>
            <sz val="9"/>
            <color indexed="81"/>
            <rFont val="Tahoma"/>
            <family val="2"/>
          </rPr>
          <t xml:space="preserve">
rev0 = 3 KT
rev1 = 0 KT เนื่องจาก SCG เตาเสีย ซ่อมเสร็จไม่ทัน</t>
        </r>
      </text>
    </comment>
    <comment ref="G104" authorId="2" shapeId="0" xr:uid="{00000000-0006-0000-0200-000072000000}">
      <text>
        <r>
          <rPr>
            <b/>
            <sz val="9"/>
            <color indexed="81"/>
            <rFont val="Tahoma"/>
            <family val="2"/>
          </rPr>
          <t xml:space="preserve">Quantumuser:
rev0  =27.8
rev1 = 24.5   HMC delay start up
</t>
        </r>
      </text>
    </comment>
    <comment ref="H104" authorId="2" shapeId="0" xr:uid="{00000000-0006-0000-0200-000073000000}">
      <text>
        <r>
          <rPr>
            <b/>
            <sz val="9"/>
            <color indexed="81"/>
            <rFont val="Tahoma"/>
            <family val="2"/>
          </rPr>
          <t>Quantumuser:</t>
        </r>
        <r>
          <rPr>
            <sz val="9"/>
            <color indexed="81"/>
            <rFont val="Tahoma"/>
            <family val="2"/>
          </rPr>
          <t xml:space="preserve">
rev0 = 34.1 
rev1 = 32.55 PDH have some technical problem at main compressor Aug-Sep'19 1,050 KT/day
rev2 = 28.563 HMC มีปัญหา ต้องลด load เพิ่มจาก 1,050 --&gt; 870 Ton/day
 (reduce PDH rate to 80% 10-31 Aug'19)
HMC PP Plant had an unplanned shutdown on last Sunday.  We restarted it in this morning but it had an unplanned shutdown again in this evening.
The propylene storage at PTT tank was full also.  As a result, we have to reduce PDH production in August.
rev3 = 27 KT  HMC มีปัญหา compressor
rev4 = 25 KT  HMC มีปัญหา compressor</t>
        </r>
      </text>
    </comment>
    <comment ref="I104" authorId="2" shapeId="0" xr:uid="{00000000-0006-0000-0200-000074000000}">
      <text>
        <r>
          <rPr>
            <b/>
            <sz val="9"/>
            <color indexed="81"/>
            <rFont val="Tahoma"/>
            <family val="2"/>
          </rPr>
          <t>Quantumuser:</t>
        </r>
        <r>
          <rPr>
            <sz val="9"/>
            <color indexed="81"/>
            <rFont val="Tahoma"/>
            <family val="2"/>
          </rPr>
          <t xml:space="preserve">
rev0 = 31.5 KT
rev1 = 27.6 KT HMC มีปัญหา compressor
rev2 = 26.737 KT HMC มีปัญหา compressor</t>
        </r>
      </text>
    </comment>
    <comment ref="J104" authorId="2" shapeId="0" xr:uid="{00000000-0006-0000-0200-000075000000}">
      <text>
        <r>
          <rPr>
            <b/>
            <sz val="9"/>
            <color indexed="81"/>
            <rFont val="Tahoma"/>
            <family val="2"/>
          </rPr>
          <t>Quantumuser:</t>
        </r>
        <r>
          <rPr>
            <sz val="9"/>
            <color indexed="81"/>
            <rFont val="Tahoma"/>
            <family val="2"/>
          </rPr>
          <t xml:space="preserve">
rev0 = 32.55 KT
rev1 = 33.48 KT HMC run 100% @1,080 Ton/day</t>
        </r>
      </text>
    </comment>
    <comment ref="K104" authorId="2" shapeId="0" xr:uid="{00000000-0006-0000-0200-000076000000}">
      <text>
        <r>
          <rPr>
            <b/>
            <sz val="9"/>
            <color indexed="81"/>
            <rFont val="Tahoma"/>
            <family val="2"/>
          </rPr>
          <t>Quantumuser:</t>
        </r>
        <r>
          <rPr>
            <sz val="9"/>
            <color indexed="81"/>
            <rFont val="Tahoma"/>
            <family val="2"/>
          </rPr>
          <t xml:space="preserve">
rev0 = 33 KT
rev1 = 32.4 KT HMC run 100% @1,080 Ton/day
rev2 = 31.632  KT HMC run 98% @1,060 Ton/day</t>
        </r>
      </text>
    </comment>
    <comment ref="L104" authorId="2" shapeId="0" xr:uid="{00000000-0006-0000-0200-000077000000}">
      <text>
        <r>
          <rPr>
            <b/>
            <sz val="9"/>
            <color indexed="81"/>
            <rFont val="Tahoma"/>
            <family val="2"/>
          </rPr>
          <t>Quantumuser:</t>
        </r>
        <r>
          <rPr>
            <sz val="9"/>
            <color indexed="81"/>
            <rFont val="Tahoma"/>
            <family val="2"/>
          </rPr>
          <t xml:space="preserve">
HMC has planned to receive Propane at 1,060 Ton/day (98%) 
rev0 = 32.86 
rev1 = 29 KT HMC ขอปรับลดเนื่องจาก PDH plant lost power supply and had an emergency shutdown
rev2 = 23.6 KT HMC ขอปรับลดเนื่องจาก blackout</t>
        </r>
      </text>
    </comment>
    <comment ref="M104" authorId="2" shapeId="0" xr:uid="{00000000-0006-0000-0200-000078000000}">
      <text>
        <r>
          <rPr>
            <b/>
            <sz val="9"/>
            <color indexed="81"/>
            <rFont val="Tahoma"/>
            <family val="2"/>
          </rPr>
          <t>Quantumuser
HMC has planned to receive Propane at 1,060 Ton/day (98%) เพื่อรักษา catalyst ใน reactor</t>
        </r>
      </text>
    </comment>
    <comment ref="N104" authorId="2" shapeId="0" xr:uid="{00000000-0006-0000-0200-000079000000}">
      <text>
        <r>
          <rPr>
            <b/>
            <sz val="9"/>
            <color indexed="81"/>
            <rFont val="Tahoma"/>
            <family val="2"/>
          </rPr>
          <t>Quantumuser:</t>
        </r>
        <r>
          <rPr>
            <sz val="9"/>
            <color indexed="81"/>
            <rFont val="Tahoma"/>
            <family val="2"/>
          </rPr>
          <t xml:space="preserve">
HMC has planned to receive Propane at 1,060 Ton/day (98%) เพื่อรักษา catalyst ใน reactor
 HMC แจ้งว่าพบปัญหา critical ที่ equipment (ตัวตัดเม็ด) ที่ Line 3 จึงมีความจำเป็นที่ต้องลง Line 3 พร้อม PDH เพื่อเร่งแก้ปัญหาอย่างเร่งด่วนในช่วงวันที่ 28 กพ -16 มีค 63 
(ซึ่งเป็นระยะเวลาที่เร็วที่สุดที่จะะจัดหา Spare part )
**** เป็นการขอขยับเลื่อน Turnaround เร็วขึ้นจากแผนเดิม 18 วันในเดือนมิถุนายน 63 ****
Dec'19 = 30.74 KT
Jan'20 = 28.82 เนื่องจาก HMC เลื่อน TA จากดือน มิ.ย. 63 เป็น 28Feb-16Mar 
rev0 = 28.82
rev1 = 25.4 KT เนื่องจาก HMC ESD </t>
        </r>
      </text>
    </comment>
    <comment ref="O104" authorId="2" shapeId="0" xr:uid="{00000000-0006-0000-0200-00007A000000}">
      <text>
        <r>
          <rPr>
            <b/>
            <sz val="9"/>
            <color indexed="81"/>
            <rFont val="Tahoma"/>
            <family val="2"/>
          </rPr>
          <t xml:space="preserve">Quantumuser
Dec'19 = 32.86 KT
Jan'20 = 18.52 เนื่องจาก HMC เลื่อน TA จากดือน มิ.ย. 63 เป็น 28Feb-16Mar 
rev0 = 18.52
rev1= 16.645 KT HMC ปรับลดเนื่องจาก step  start up 
</t>
        </r>
      </text>
    </comment>
    <comment ref="P104" authorId="2" shapeId="0" xr:uid="{00000000-0006-0000-0200-00007B000000}">
      <text>
        <r>
          <rPr>
            <b/>
            <sz val="9"/>
            <color indexed="81"/>
            <rFont val="Tahoma"/>
            <family val="2"/>
          </rPr>
          <t>Quantumuser
HMC has planned to receive Propane at 1,080 Ton/day (100%) เนื่องจากเปลี่ยน catalyst ใน reactor ใหม่แล้ว
rev0 32.4 KT
rev1 26.57 KT HMC ไม่ economic
rev2 24 KT HMC ไม่ economic</t>
        </r>
      </text>
    </comment>
    <comment ref="Q104" authorId="2" shapeId="0" xr:uid="{00000000-0006-0000-0200-00007C000000}">
      <text>
        <r>
          <rPr>
            <b/>
            <sz val="9"/>
            <color indexed="81"/>
            <rFont val="Tahoma"/>
            <family val="2"/>
          </rPr>
          <t xml:space="preserve">Quantumuser
HMC has planned to receive Propane at 1,080 Ton/day (100%) เนื่องจากเปลี่ยน catalyst ใน reactor ใหม่แล้ว
rev0 = 24.8
rev1 = 23.184 HMC runเหลือ 75% เพราะ economic ราคาขาย propylene ไม่ ok
</t>
        </r>
      </text>
    </comment>
    <comment ref="R104" authorId="2" shapeId="0" xr:uid="{00000000-0006-0000-0200-00007D000000}">
      <text>
        <r>
          <rPr>
            <b/>
            <sz val="9"/>
            <color indexed="81"/>
            <rFont val="Tahoma"/>
            <family val="2"/>
          </rPr>
          <t xml:space="preserve">Quantumuser
HMC has planned to receive Propane at 1,080 Ton/day (100%) เนื่องจากเปลี่ยน catalyst ใน reactor ใหม่แล้ว
nom May 24
rev0 = 27.6
rev1 = 25.8
rev2 = 24.15 HMC แจ้งปรับลดจาก economic PP plant SD
rev3 = 22.482 HMC แจ้งปรับลดจาก PP plant SD
rev4 = 23.6 HMC ขอเพิ่ม
</t>
        </r>
      </text>
    </comment>
    <comment ref="S104" authorId="2" shapeId="0" xr:uid="{00000000-0006-0000-0200-00007E000000}">
      <text>
        <r>
          <rPr>
            <b/>
            <sz val="9"/>
            <color indexed="81"/>
            <rFont val="Tahoma"/>
            <family val="2"/>
          </rPr>
          <t xml:space="preserve">Quantumuser
rev0 =27
rev1 = 25.8
</t>
        </r>
      </text>
    </comment>
    <comment ref="U104" authorId="2" shapeId="0" xr:uid="{00000000-0006-0000-0200-00007F000000}">
      <text>
        <r>
          <rPr>
            <b/>
            <sz val="9"/>
            <color indexed="81"/>
            <rFont val="Tahoma"/>
            <family val="2"/>
          </rPr>
          <t xml:space="preserve">rev0 = 31.8
rev1 = 30.3 </t>
        </r>
      </text>
    </comment>
    <comment ref="V104" authorId="2" shapeId="0" xr:uid="{00000000-0006-0000-0200-000080000000}">
      <text>
        <r>
          <rPr>
            <b/>
            <sz val="9"/>
            <color indexed="81"/>
            <rFont val="Tahoma"/>
            <family val="2"/>
          </rPr>
          <t>HMC รับลดลงเหลือ 1000 - 1040 จากแผน 1060 เนื่องจากReactor no3 has high different pressure.</t>
        </r>
      </text>
    </comment>
    <comment ref="W104" authorId="2" shapeId="0" xr:uid="{00000000-0006-0000-0200-000081000000}">
      <text>
        <r>
          <rPr>
            <b/>
            <sz val="9"/>
            <color indexed="81"/>
            <rFont val="Tahoma"/>
            <family val="2"/>
          </rPr>
          <t xml:space="preserve">Quantumuser
HMC has planned to receive Propane at 1,080 Ton/day (100%) เนื่องจากเปลี่ยน catalyst ใน reactor ใหม่แล้ว
</t>
        </r>
      </text>
    </comment>
    <comment ref="X104" authorId="2" shapeId="0" xr:uid="{00000000-0006-0000-0200-000082000000}">
      <text>
        <r>
          <rPr>
            <b/>
            <sz val="9"/>
            <color indexed="81"/>
            <rFont val="Tahoma"/>
            <family val="2"/>
          </rPr>
          <t>Quantumuser
HMC รับ 1,040 Ton/hr.
rev0 = 32.24
rev1 = 19.526 HMC เกิเหตุไฟไหม่ silo เก็บเม็ดพลาสติก
rev2 = 25.775 HMC สามารถ run 1040 (95%) ได้ตั้งแต่วันที่ 19 Dec
rev3 = 25.674 HMC ปรับแผน step up</t>
        </r>
      </text>
    </comment>
    <comment ref="Y104" authorId="3" shapeId="0" xr:uid="{00000000-0006-0000-0200-000083000000}">
      <text>
        <r>
          <rPr>
            <b/>
            <sz val="9"/>
            <color rgb="FF000000"/>
            <rFont val="Tahoma"/>
            <family val="2"/>
          </rPr>
          <t>Windows User:</t>
        </r>
        <r>
          <rPr>
            <sz val="9"/>
            <color rgb="FF000000"/>
            <rFont val="Tahoma"/>
            <family val="2"/>
          </rPr>
          <t xml:space="preserve">
</t>
        </r>
        <r>
          <rPr>
            <sz val="9"/>
            <color rgb="FF000000"/>
            <rFont val="Tahoma"/>
            <family val="2"/>
          </rPr>
          <t xml:space="preserve">HMC </t>
        </r>
        <r>
          <rPr>
            <sz val="9"/>
            <color rgb="FF000000"/>
            <rFont val="Tahoma"/>
            <family val="2"/>
          </rPr>
          <t>รับ</t>
        </r>
        <r>
          <rPr>
            <sz val="9"/>
            <color rgb="FF000000"/>
            <rFont val="Tahoma"/>
            <family val="2"/>
          </rPr>
          <t xml:space="preserve"> 1,040 Ton/hr.</t>
        </r>
      </text>
    </comment>
    <comment ref="Z104" authorId="3" shapeId="0" xr:uid="{00000000-0006-0000-0200-000084000000}">
      <text>
        <r>
          <rPr>
            <b/>
            <sz val="9"/>
            <color indexed="81"/>
            <rFont val="Tahoma"/>
            <family val="2"/>
          </rPr>
          <t>Windows User:</t>
        </r>
        <r>
          <rPr>
            <sz val="9"/>
            <color indexed="81"/>
            <rFont val="Tahoma"/>
            <family val="2"/>
          </rPr>
          <t xml:space="preserve">
HMC รับ 1,040 Ton/hr.
rev0 = 29.12
rev1 = 28.10 plant PP shutdown ทำให้ PDH ที่รับ C3 ต้อง slowdown ตาม ลดจาก 100&gt;90%  เริ่มลดตั้งแต่ 12- 19 กพ</t>
        </r>
      </text>
    </comment>
    <comment ref="AA104" authorId="3" shapeId="0" xr:uid="{00000000-0006-0000-0200-000085000000}">
      <text>
        <r>
          <rPr>
            <b/>
            <sz val="9"/>
            <color indexed="81"/>
            <rFont val="Tahoma"/>
            <family val="2"/>
          </rPr>
          <t>Windows User:</t>
        </r>
        <r>
          <rPr>
            <sz val="9"/>
            <color indexed="81"/>
            <rFont val="Tahoma"/>
            <family val="2"/>
          </rPr>
          <t xml:space="preserve">
HMC รับ 1,040 Ton/day</t>
        </r>
      </text>
    </comment>
    <comment ref="AB104" authorId="3" shapeId="0" xr:uid="{00000000-0006-0000-0200-000086000000}">
      <text>
        <r>
          <rPr>
            <b/>
            <sz val="9"/>
            <color indexed="81"/>
            <rFont val="Tahoma"/>
            <family val="2"/>
          </rPr>
          <t>Windows User:</t>
        </r>
        <r>
          <rPr>
            <sz val="9"/>
            <color indexed="81"/>
            <rFont val="Tahoma"/>
            <family val="2"/>
          </rPr>
          <t xml:space="preserve">
rev0 = 31.2 KT 
rev1 = 30.015 KT  HMC ลดรับเนื่องจาก 14-Apr at noon, all HMC PP plant had an emergency shutdown due to loss of power and steam.
HMC PDH plant had to run slow rate until PP plant can restart.
rev2 = 29.546 KT จากไฟดับวันที่ 14 Apr HMC จะกลับมารับปกติในวันที่ 22 Apr'21
rev3 = 27.070 KT นื่องจาก ไฟฟ้าดับเมื่อวันที่ 20 Apr
rev4 = 26.143 KT นื่องจาก ไฟฟ้าดับเมื่อวันที่ 20 Apr
rev5 =24.491 KT เนื่องจาก HMC PP plant ยัง start up ไม่ได้เนื่องจากพบ polymer เต็ม reactor ทำให้ PDH plant ต้อง slowdown ลงไป 60%  จึงเริ่มลงช่วงบ่ายวันที่ 28 เม.ย.  - early May </t>
        </r>
      </text>
    </comment>
    <comment ref="AC104" authorId="3" shapeId="0" xr:uid="{00000000-0006-0000-0200-000087000000}">
      <text>
        <r>
          <rPr>
            <b/>
            <sz val="9"/>
            <color rgb="FF000000"/>
            <rFont val="Tahoma"/>
            <family val="2"/>
          </rPr>
          <t>Windows User:</t>
        </r>
        <r>
          <rPr>
            <sz val="9"/>
            <color rgb="FF000000"/>
            <rFont val="Tahoma"/>
            <family val="2"/>
          </rPr>
          <t xml:space="preserve">
</t>
        </r>
        <r>
          <rPr>
            <sz val="9"/>
            <color rgb="FF000000"/>
            <rFont val="Tahoma"/>
            <family val="2"/>
          </rPr>
          <t xml:space="preserve">rev0 = 32.24 KT
</t>
        </r>
        <r>
          <rPr>
            <sz val="9"/>
            <color rgb="FF000000"/>
            <rFont val="Tahoma"/>
            <family val="2"/>
          </rPr>
          <t xml:space="preserve">rev1 = 27.735 KT HMC PP3 plant delay start up
</t>
        </r>
        <r>
          <rPr>
            <sz val="9"/>
            <color rgb="FF000000"/>
            <rFont val="Tahoma"/>
            <family val="2"/>
          </rPr>
          <t xml:space="preserve">rev2 = 26.955 KT HMC delay full load </t>
        </r>
        <r>
          <rPr>
            <sz val="9"/>
            <color rgb="FF000000"/>
            <rFont val="Tahoma"/>
            <family val="2"/>
          </rPr>
          <t>จาก</t>
        </r>
        <r>
          <rPr>
            <sz val="9"/>
            <color rgb="FF000000"/>
            <rFont val="Tahoma"/>
            <family val="2"/>
          </rPr>
          <t xml:space="preserve"> 13 </t>
        </r>
        <r>
          <rPr>
            <sz val="9"/>
            <color rgb="FF000000"/>
            <rFont val="Tahoma"/>
            <family val="2"/>
          </rPr>
          <t>พค</t>
        </r>
        <r>
          <rPr>
            <sz val="9"/>
            <color rgb="FF000000"/>
            <rFont val="Tahoma"/>
            <family val="2"/>
          </rPr>
          <t xml:space="preserve"> </t>
        </r>
        <r>
          <rPr>
            <sz val="9"/>
            <color rgb="FF000000"/>
            <rFont val="Tahoma"/>
            <family val="2"/>
          </rPr>
          <t>เป็น</t>
        </r>
        <r>
          <rPr>
            <sz val="9"/>
            <color rgb="FF000000"/>
            <rFont val="Tahoma"/>
            <family val="2"/>
          </rPr>
          <t xml:space="preserve"> 15 </t>
        </r>
        <r>
          <rPr>
            <sz val="9"/>
            <color rgb="FF000000"/>
            <rFont val="Tahoma"/>
            <family val="2"/>
          </rPr>
          <t>พ</t>
        </r>
        <r>
          <rPr>
            <sz val="9"/>
            <color rgb="FF000000"/>
            <rFont val="Tahoma"/>
            <family val="2"/>
          </rPr>
          <t>.</t>
        </r>
        <r>
          <rPr>
            <sz val="9"/>
            <color rgb="FF000000"/>
            <rFont val="Tahoma"/>
            <family val="2"/>
          </rPr>
          <t>ค</t>
        </r>
        <r>
          <rPr>
            <sz val="9"/>
            <color rgb="FF000000"/>
            <rFont val="Tahoma"/>
            <family val="2"/>
          </rPr>
          <t xml:space="preserve">. </t>
        </r>
      </text>
    </comment>
    <comment ref="AE104" authorId="2" shapeId="0" xr:uid="{00000000-0006-0000-0200-000088000000}">
      <text>
        <r>
          <rPr>
            <b/>
            <sz val="9"/>
            <color indexed="81"/>
            <rFont val="Tahoma"/>
            <family val="2"/>
          </rPr>
          <t>Quantumuser:</t>
        </r>
        <r>
          <rPr>
            <sz val="9"/>
            <color indexed="81"/>
            <rFont val="Tahoma"/>
            <family val="2"/>
          </rPr>
          <t xml:space="preserve">
rev0 = 24.5 KT ตาม BZ เนื่องจาก GSP6 TA แบ่งตามสัดส่วน
rev1 = 29.14 KT โยกมาจาก GC 
rev2 = 24.5 KT GC call volume คืน</t>
        </r>
      </text>
    </comment>
    <comment ref="AG104" authorId="3" shapeId="0" xr:uid="{00000000-0006-0000-0200-000089000000}">
      <text>
        <r>
          <rPr>
            <b/>
            <sz val="9"/>
            <color rgb="FF000000"/>
            <rFont val="Tahoma"/>
            <family val="2"/>
          </rPr>
          <t>Windows User:</t>
        </r>
        <r>
          <rPr>
            <sz val="9"/>
            <color rgb="FF000000"/>
            <rFont val="Tahoma"/>
            <family val="2"/>
          </rPr>
          <t xml:space="preserve">
</t>
        </r>
        <r>
          <rPr>
            <sz val="9"/>
            <color rgb="FF000000"/>
            <rFont val="Tahoma"/>
            <family val="2"/>
          </rPr>
          <t>HMC SD 10 days</t>
        </r>
      </text>
    </comment>
    <comment ref="AH104" authorId="2" shapeId="0" xr:uid="{00000000-0006-0000-0200-00008A000000}">
      <text>
        <r>
          <rPr>
            <b/>
            <sz val="9"/>
            <color indexed="81"/>
            <rFont val="Tahoma"/>
            <family val="2"/>
          </rPr>
          <t>Quantumuser:</t>
        </r>
        <r>
          <rPr>
            <sz val="9"/>
            <color indexed="81"/>
            <rFont val="Tahoma"/>
            <family val="2"/>
          </rPr>
          <t xml:space="preserve">
HMC SD 30 days</t>
        </r>
      </text>
    </comment>
    <comment ref="F105" authorId="2" shapeId="0" xr:uid="{00000000-0006-0000-0200-00008B000000}">
      <text>
        <r>
          <rPr>
            <b/>
            <sz val="9"/>
            <color indexed="81"/>
            <rFont val="Tahoma"/>
            <family val="2"/>
          </rPr>
          <t>Quantumuser:</t>
        </r>
        <r>
          <rPr>
            <sz val="9"/>
            <color indexed="81"/>
            <rFont val="Tahoma"/>
            <family val="2"/>
          </rPr>
          <t xml:space="preserve">
rev0 = 15.157 KT   PTTAC TA 9May - 12Jun (35 days)
rev1 = 12 KT   PTTAC delay start up from 12Jun to 16 Jun</t>
        </r>
      </text>
    </comment>
    <comment ref="G105" authorId="3" shapeId="0" xr:uid="{00000000-0006-0000-0200-00008C000000}">
      <text>
        <r>
          <rPr>
            <b/>
            <sz val="9"/>
            <color indexed="81"/>
            <rFont val="Tahoma"/>
            <family val="2"/>
          </rPr>
          <t>Windows User:</t>
        </r>
        <r>
          <rPr>
            <sz val="9"/>
            <color indexed="81"/>
            <rFont val="Tahoma"/>
            <family val="2"/>
          </rPr>
          <t xml:space="preserve">
rev0 = 31.837
rev1= 30.837 KT cause GSP3 trip</t>
        </r>
      </text>
    </comment>
    <comment ref="L105" authorId="2" shapeId="0" xr:uid="{00000000-0006-0000-0200-00008D000000}">
      <text>
        <r>
          <rPr>
            <b/>
            <sz val="9"/>
            <color indexed="81"/>
            <rFont val="Tahoma"/>
            <family val="2"/>
          </rPr>
          <t>Quantumuser:</t>
        </r>
        <r>
          <rPr>
            <sz val="9"/>
            <color indexed="81"/>
            <rFont val="Tahoma"/>
            <family val="2"/>
          </rPr>
          <t xml:space="preserve">
SAOWANI DETJAREANSRI:
PTTAC มีความสนใจรับ Propane Spot เพิ่มในช่วงเดือน พฤศจิกายน – ธันวาคม 62 ที่ 23 ตันต่อวัน หรือ 690 ตัน และ 713 ตันต่อเดือนตามลำดับ
rev = 31.129 
rev = 31.394  จัดสรรคืนปริมาณที่ต่ำกว่าแผนให้ PTTAC จากที่เดือน มี.ค. ต่ำกว่าแผน
rev0 (Nom) = 31.694  Refer to PTT GSP decreased Propane supply volume to PTTAC in Jul’19 due to the unplanned shutdown of GSP3. Therefore, the compensate volume totally 300 Ton shall be supply in Dec’19 as PTTAC requirement. 
rev0 = 31.69
rev1 = 23.6 KT PTTAC ขอปรับลด เนื่องจาก blackout</t>
        </r>
      </text>
    </comment>
    <comment ref="M105" authorId="2" shapeId="0" xr:uid="{00000000-0006-0000-0200-00008E000000}">
      <text>
        <r>
          <rPr>
            <b/>
            <sz val="9"/>
            <color indexed="81"/>
            <rFont val="Tahoma"/>
            <family val="2"/>
          </rPr>
          <t>Quantumuser:</t>
        </r>
        <r>
          <rPr>
            <sz val="9"/>
            <color indexed="81"/>
            <rFont val="Tahoma"/>
            <family val="2"/>
          </rPr>
          <t xml:space="preserve">
rev0 = 27.982
rev1 = 17.95  KT PTTAC ขอปรับลด เนื่องจาก blackout</t>
        </r>
      </text>
    </comment>
    <comment ref="N105" authorId="3" shapeId="0" xr:uid="{00000000-0006-0000-0200-00008F000000}">
      <text>
        <r>
          <rPr>
            <b/>
            <sz val="9"/>
            <color indexed="81"/>
            <rFont val="Tahoma"/>
            <family val="2"/>
          </rPr>
          <t>Windows User:</t>
        </r>
        <r>
          <rPr>
            <sz val="9"/>
            <color indexed="81"/>
            <rFont val="Tahoma"/>
            <family val="2"/>
          </rPr>
          <t xml:space="preserve">
rev0 = 26.179 KT
rev1 = 25.31 KT PTTAC ปรับลดเนื่องจากReactor มีปัญหา ในช่วงวันที่ 26-Feb to 12-Mar </t>
        </r>
      </text>
    </comment>
    <comment ref="O105" authorId="3" shapeId="0" xr:uid="{00000000-0006-0000-0200-000090000000}">
      <text>
        <r>
          <rPr>
            <b/>
            <sz val="9"/>
            <color indexed="81"/>
            <rFont val="Tahoma"/>
            <family val="2"/>
          </rPr>
          <t>Windows User:</t>
        </r>
        <r>
          <rPr>
            <sz val="9"/>
            <color indexed="81"/>
            <rFont val="Tahoma"/>
            <family val="2"/>
          </rPr>
          <t xml:space="preserve">
rev0 = 28.022 KT
rev1 = 27.61 KT PTTAC ปรับลดเนื่องจากReactor มีปัญหา ในช่วงวันที่ 26-Feb to 12-Mar 
rev2 = 26.68 KT PTTAC ปรับลดเนื่อง demand drop from covid</t>
        </r>
      </text>
    </comment>
    <comment ref="P105" authorId="3" shapeId="0" xr:uid="{00000000-0006-0000-0200-000091000000}">
      <text>
        <r>
          <rPr>
            <b/>
            <sz val="9"/>
            <color indexed="81"/>
            <rFont val="Tahoma"/>
            <family val="2"/>
          </rPr>
          <t>Windows User:</t>
        </r>
        <r>
          <rPr>
            <sz val="9"/>
            <color indexed="81"/>
            <rFont val="Tahoma"/>
            <family val="2"/>
          </rPr>
          <t xml:space="preserve">
rev0 = 27.118
rev1 = 20.55 PTTAC plan to S/D 1 Reactor on 1 Apr’202
</t>
        </r>
      </text>
    </comment>
    <comment ref="Q105" authorId="3" shapeId="0" xr:uid="{00000000-0006-0000-0200-000092000000}">
      <text>
        <r>
          <rPr>
            <b/>
            <sz val="9"/>
            <color indexed="81"/>
            <rFont val="Tahoma"/>
            <family val="2"/>
          </rPr>
          <t>Windows User:</t>
        </r>
        <r>
          <rPr>
            <sz val="9"/>
            <color indexed="81"/>
            <rFont val="Tahoma"/>
            <family val="2"/>
          </rPr>
          <t xml:space="preserve">
rev= 28.022
rev= 21.235 PTTAC plan to S/D 1 Reactor on 1 Apr’202
rev0 = 19.102
rev1 = 6.92 KT PTTAC ESD (AN Plant has been Emergency Shutdown since 5 May 2020 กลับมารับ 22 May'20)
worst = 4.596 PTTAC กลับมารับ 27 May'20</t>
        </r>
      </text>
    </comment>
    <comment ref="R105" authorId="3" shapeId="0" xr:uid="{00000000-0006-0000-0200-000093000000}">
      <text>
        <r>
          <rPr>
            <b/>
            <sz val="9"/>
            <color indexed="81"/>
            <rFont val="Tahoma"/>
            <family val="2"/>
          </rPr>
          <t>Windows User:</t>
        </r>
        <r>
          <rPr>
            <sz val="9"/>
            <color indexed="81"/>
            <rFont val="Tahoma"/>
            <family val="2"/>
          </rPr>
          <t xml:space="preserve">
rev0 28.032 
rev1 27.120
May
18.486 
rev0= 20 KT</t>
        </r>
      </text>
    </comment>
    <comment ref="T105" authorId="3" shapeId="0" xr:uid="{00000000-0006-0000-0200-000094000000}">
      <text>
        <r>
          <rPr>
            <b/>
            <sz val="9"/>
            <color indexed="81"/>
            <rFont val="Tahoma"/>
            <family val="2"/>
          </rPr>
          <t>Windows User:</t>
        </r>
        <r>
          <rPr>
            <sz val="9"/>
            <color indexed="81"/>
            <rFont val="Tahoma"/>
            <family val="2"/>
          </rPr>
          <t xml:space="preserve">
nomination Jun = 25.5
PTTAC request 26.195 KT GSP จะดูให้ ถ้า compo ดี น่าจะส่งให้ได้</t>
        </r>
      </text>
    </comment>
    <comment ref="Y105" authorId="3" shapeId="0" xr:uid="{00000000-0006-0000-0200-000095000000}">
      <text>
        <r>
          <rPr>
            <b/>
            <sz val="9"/>
            <color indexed="81"/>
            <rFont val="Tahoma"/>
            <family val="2"/>
          </rPr>
          <t>Windows User:</t>
        </r>
        <r>
          <rPr>
            <sz val="9"/>
            <color indexed="81"/>
            <rFont val="Tahoma"/>
            <family val="2"/>
          </rPr>
          <t xml:space="preserve">
ปรับลดจากผลกระทบ GSP5 แล้ว -8%</t>
        </r>
      </text>
    </comment>
    <comment ref="Z105" authorId="3" shapeId="0" xr:uid="{00000000-0006-0000-0200-000096000000}">
      <text>
        <r>
          <rPr>
            <b/>
            <sz val="9"/>
            <color indexed="81"/>
            <rFont val="Tahoma"/>
            <family val="2"/>
          </rPr>
          <t>Windows User:</t>
        </r>
        <r>
          <rPr>
            <sz val="9"/>
            <color indexed="81"/>
            <rFont val="Tahoma"/>
            <family val="2"/>
          </rPr>
          <t xml:space="preserve">
rev0 = 21.276
rev1 = 25.276 ขาย AC ด้วยราคา import parity 4 KT (CP + 80%balticM-1) +Terminal 20
</t>
        </r>
      </text>
    </comment>
    <comment ref="AB105" authorId="3" shapeId="0" xr:uid="{00000000-0006-0000-0200-000097000000}">
      <text>
        <r>
          <rPr>
            <b/>
            <sz val="9"/>
            <color indexed="81"/>
            <rFont val="Tahoma"/>
            <family val="2"/>
          </rPr>
          <t>Windows User:
rev0 =22.796 KT
rev1 = 19.7 KT เนื่องจาก วันที่ 20 เม.ย. ไฟฟ้าดับ</t>
        </r>
      </text>
    </comment>
    <comment ref="AC105" authorId="3" shapeId="0" xr:uid="{00000000-0006-0000-0200-000098000000}">
      <text>
        <r>
          <rPr>
            <b/>
            <sz val="9"/>
            <color indexed="81"/>
            <rFont val="Tahoma"/>
            <family val="2"/>
          </rPr>
          <t>Windows User:</t>
        </r>
        <r>
          <rPr>
            <sz val="9"/>
            <color indexed="81"/>
            <rFont val="Tahoma"/>
            <family val="2"/>
          </rPr>
          <t xml:space="preserve">
rev0 = 23.556 KT
rev1 = 21.5 KT เนื่องจาก วันที่ 21 เม.ย. ไฟฟ้าดับ
rev2 = 20.772 KT เนื่องจาก วันที่ 21 เม.ย. ไฟฟ้าดับ</t>
        </r>
      </text>
    </comment>
    <comment ref="AE105" authorId="2" shapeId="0" xr:uid="{00000000-0006-0000-0200-000099000000}">
      <text>
        <r>
          <rPr>
            <b/>
            <sz val="9"/>
            <color indexed="81"/>
            <rFont val="Tahoma"/>
            <family val="2"/>
          </rPr>
          <t>Quantumuser:</t>
        </r>
        <r>
          <rPr>
            <sz val="9"/>
            <color indexed="81"/>
            <rFont val="Tahoma"/>
            <family val="2"/>
          </rPr>
          <t xml:space="preserve">
PTTAC TA</t>
        </r>
      </text>
    </comment>
    <comment ref="AF105" authorId="2" shapeId="0" xr:uid="{00000000-0006-0000-0200-00009A000000}">
      <text>
        <r>
          <rPr>
            <b/>
            <sz val="9"/>
            <color indexed="81"/>
            <rFont val="Tahoma"/>
            <family val="2"/>
          </rPr>
          <t>Quantumuser:</t>
        </r>
        <r>
          <rPr>
            <sz val="9"/>
            <color indexed="81"/>
            <rFont val="Tahoma"/>
            <family val="2"/>
          </rPr>
          <t xml:space="preserve">
PTTAC TA 29 Jun - 3 Aug
</t>
        </r>
      </text>
    </comment>
    <comment ref="AA106" authorId="3" shapeId="0" xr:uid="{00000000-0006-0000-0200-00009B000000}">
      <text>
        <r>
          <rPr>
            <b/>
            <sz val="9"/>
            <color indexed="81"/>
            <rFont val="Tahoma"/>
            <family val="2"/>
          </rPr>
          <t xml:space="preserve">Windows User:
rev0 = 4 KT
rev1 = 6.5 KT </t>
        </r>
        <r>
          <rPr>
            <sz val="9"/>
            <color indexed="81"/>
            <rFont val="Tahoma"/>
            <family val="2"/>
          </rPr>
          <t xml:space="preserve">PTTAC แจ้งซื้อ Spot C3 เพิ่มขึ้น +2.5 KT
</t>
        </r>
        <r>
          <rPr>
            <b/>
            <sz val="9"/>
            <color indexed="81"/>
            <rFont val="Tahoma"/>
            <family val="2"/>
          </rPr>
          <t xml:space="preserve">rev2 = 7.5 KT  </t>
        </r>
        <r>
          <rPr>
            <sz val="9"/>
            <color indexed="81"/>
            <rFont val="Tahoma"/>
            <family val="2"/>
          </rPr>
          <t>PTTAC แจ้งซื้อ Spot C3 เพิ่มขึ้น +1 KT</t>
        </r>
      </text>
    </comment>
    <comment ref="AB106" authorId="3" shapeId="0" xr:uid="{00000000-0006-0000-0200-00009C000000}">
      <text>
        <r>
          <rPr>
            <b/>
            <sz val="9"/>
            <color indexed="81"/>
            <rFont val="Tahoma"/>
            <family val="2"/>
          </rPr>
          <t>Windows User:</t>
        </r>
        <r>
          <rPr>
            <sz val="9"/>
            <color indexed="81"/>
            <rFont val="Tahoma"/>
            <family val="2"/>
          </rPr>
          <t xml:space="preserve">
rev0 = 7.2
rev1 = 0  KT เนื่องจาก วันที่ 21 เม.ย. ไฟฟ้าดับ</t>
        </r>
      </text>
    </comment>
    <comment ref="AC106" authorId="3" shapeId="0" xr:uid="{00000000-0006-0000-0200-00009D000000}">
      <text>
        <r>
          <rPr>
            <b/>
            <sz val="9"/>
            <color indexed="81"/>
            <rFont val="Tahoma"/>
            <family val="2"/>
          </rPr>
          <t xml:space="preserve">Windows User:
</t>
        </r>
        <r>
          <rPr>
            <sz val="9"/>
            <color indexed="81"/>
            <rFont val="Tahoma"/>
            <family val="2"/>
          </rPr>
          <t xml:space="preserve">rev0 = 7.764
rev1 = 0  KT เนื่องจาก วันที่ 21 เม.ย. ไฟฟ้าดับ
rev2 = 2 KT  เนื่องจาก  PTTAC แจ้งว่า มีแนวโน้มขึ้นได้เร็ว 2 วัน (เดิมวันที่ 7 &gt;&gt; 5 พ.ค.แทน ) </t>
        </r>
      </text>
    </comment>
    <comment ref="U107" authorId="3" shapeId="0" xr:uid="{00000000-0006-0000-0200-00009E000000}">
      <text>
        <r>
          <rPr>
            <b/>
            <sz val="9"/>
            <color indexed="81"/>
            <rFont val="Tahoma"/>
            <family val="2"/>
          </rPr>
          <t>Windows User:</t>
        </r>
        <r>
          <rPr>
            <sz val="9"/>
            <color indexed="81"/>
            <rFont val="Tahoma"/>
            <family val="2"/>
          </rPr>
          <t xml:space="preserve">
rev0 = 0.27
rev1 = 0.7 KT Ordemand เพิ่ม</t>
        </r>
      </text>
    </comment>
    <comment ref="I113" authorId="3" shapeId="0" xr:uid="{00000000-0006-0000-0200-00009F000000}">
      <text>
        <r>
          <rPr>
            <b/>
            <sz val="9"/>
            <color indexed="81"/>
            <rFont val="Tahoma"/>
            <family val="2"/>
          </rPr>
          <t>Windows User:</t>
        </r>
        <r>
          <rPr>
            <sz val="9"/>
            <color indexed="81"/>
            <rFont val="Tahoma"/>
            <family val="2"/>
          </rPr>
          <t xml:space="preserve">
rev0 = 32
rev1 = 33.28 SGP ขอรับเพิ่ม 4%</t>
        </r>
      </text>
    </comment>
    <comment ref="J113" authorId="3" shapeId="0" xr:uid="{00000000-0006-0000-0200-0000A0000000}">
      <text>
        <r>
          <rPr>
            <b/>
            <sz val="9"/>
            <color indexed="81"/>
            <rFont val="Tahoma"/>
            <family val="2"/>
          </rPr>
          <t>Windows User:</t>
        </r>
        <r>
          <rPr>
            <sz val="9"/>
            <color indexed="81"/>
            <rFont val="Tahoma"/>
            <family val="2"/>
          </rPr>
          <t xml:space="preserve">
rev0 = 32
rev1 = 33.6 SGP ขอรับเพิ่ม 5%</t>
        </r>
      </text>
    </comment>
    <comment ref="K113" authorId="3" shapeId="0" xr:uid="{00000000-0006-0000-0200-0000A1000000}">
      <text>
        <r>
          <rPr>
            <b/>
            <sz val="9"/>
            <color indexed="81"/>
            <rFont val="Tahoma"/>
            <family val="2"/>
          </rPr>
          <t>Windows User:</t>
        </r>
        <r>
          <rPr>
            <sz val="9"/>
            <color indexed="81"/>
            <rFont val="Tahoma"/>
            <family val="2"/>
          </rPr>
          <t xml:space="preserve">
rev0 = 32
rev1 = 33.6 SGP ขอรับเพิ่ม 5%</t>
        </r>
      </text>
    </comment>
    <comment ref="L113" authorId="3" shapeId="0" xr:uid="{00000000-0006-0000-0200-0000A2000000}">
      <text>
        <r>
          <rPr>
            <b/>
            <sz val="9"/>
            <color indexed="81"/>
            <rFont val="Tahoma"/>
            <family val="2"/>
          </rPr>
          <t>Windows User:</t>
        </r>
        <r>
          <rPr>
            <sz val="9"/>
            <color indexed="81"/>
            <rFont val="Tahoma"/>
            <family val="2"/>
          </rPr>
          <t xml:space="preserve">
rev0 = 32
rev1 = 33.6 SGP ขอรับเพิ่ม 5%</t>
        </r>
      </text>
    </comment>
    <comment ref="I114" authorId="3" shapeId="0" xr:uid="{00000000-0006-0000-0200-0000A3000000}">
      <text>
        <r>
          <rPr>
            <b/>
            <sz val="9"/>
            <color indexed="81"/>
            <rFont val="Tahoma"/>
            <family val="2"/>
          </rPr>
          <t>Windows User:</t>
        </r>
        <r>
          <rPr>
            <sz val="9"/>
            <color indexed="81"/>
            <rFont val="Tahoma"/>
            <family val="2"/>
          </rPr>
          <t xml:space="preserve">
rev0 = 12 KT
rev1 = 12.48 KT SGP ขอรับเพิ่ม 4%</t>
        </r>
      </text>
    </comment>
    <comment ref="J114" authorId="3" shapeId="0" xr:uid="{00000000-0006-0000-0200-0000A4000000}">
      <text>
        <r>
          <rPr>
            <b/>
            <sz val="9"/>
            <color indexed="81"/>
            <rFont val="Tahoma"/>
            <family val="2"/>
          </rPr>
          <t>Windows User:</t>
        </r>
        <r>
          <rPr>
            <sz val="9"/>
            <color indexed="81"/>
            <rFont val="Tahoma"/>
            <family val="2"/>
          </rPr>
          <t xml:space="preserve">
rev0 = 12 KT
rev1 = 12.6 KT SGP ขอรับเพิ่ม 5%</t>
        </r>
      </text>
    </comment>
    <comment ref="K114" authorId="3" shapeId="0" xr:uid="{00000000-0006-0000-0200-0000A5000000}">
      <text>
        <r>
          <rPr>
            <b/>
            <sz val="9"/>
            <color indexed="81"/>
            <rFont val="Tahoma"/>
            <family val="2"/>
          </rPr>
          <t>Windows User:</t>
        </r>
        <r>
          <rPr>
            <sz val="9"/>
            <color indexed="81"/>
            <rFont val="Tahoma"/>
            <family val="2"/>
          </rPr>
          <t xml:space="preserve">
rev0 = 12 KT
rev1 = 12.6 KT SGP ขอรับเพิ่ม 5%</t>
        </r>
      </text>
    </comment>
    <comment ref="L114" authorId="3" shapeId="0" xr:uid="{00000000-0006-0000-0200-0000A6000000}">
      <text>
        <r>
          <rPr>
            <b/>
            <sz val="9"/>
            <color indexed="81"/>
            <rFont val="Tahoma"/>
            <family val="2"/>
          </rPr>
          <t>Windows User:</t>
        </r>
        <r>
          <rPr>
            <sz val="9"/>
            <color indexed="81"/>
            <rFont val="Tahoma"/>
            <family val="2"/>
          </rPr>
          <t xml:space="preserve">
rev0 = 12 KT
rev1 = 12.6 KT SGP ขอรับเพิ่ม 5%</t>
        </r>
      </text>
    </comment>
    <comment ref="J126" authorId="2" shapeId="0" xr:uid="{00000000-0006-0000-0200-0000A7000000}">
      <text>
        <r>
          <rPr>
            <b/>
            <sz val="9"/>
            <color indexed="81"/>
            <rFont val="Tahoma"/>
            <family val="2"/>
          </rPr>
          <t>Quantumuser:</t>
        </r>
        <r>
          <rPr>
            <sz val="9"/>
            <color indexed="81"/>
            <rFont val="Tahoma"/>
            <family val="2"/>
          </rPr>
          <t xml:space="preserve">
rev0 = 2
rev 1 = 1.2 KT</t>
        </r>
      </text>
    </comment>
    <comment ref="K126" authorId="2" shapeId="0" xr:uid="{00000000-0006-0000-0200-0000A8000000}">
      <text>
        <r>
          <rPr>
            <b/>
            <sz val="9"/>
            <color indexed="81"/>
            <rFont val="Tahoma"/>
            <family val="2"/>
          </rPr>
          <t>Quantumuser:</t>
        </r>
        <r>
          <rPr>
            <sz val="9"/>
            <color indexed="81"/>
            <rFont val="Tahoma"/>
            <family val="2"/>
          </rPr>
          <t xml:space="preserve">
rev0 3 KT
rev1 = 3.4 KT โยกมาจากเดือน ธค. 62 = 0.4 KT</t>
        </r>
      </text>
    </comment>
    <comment ref="L126" authorId="2" shapeId="0" xr:uid="{00000000-0006-0000-0200-0000A9000000}">
      <text>
        <r>
          <rPr>
            <b/>
            <sz val="9"/>
            <color indexed="81"/>
            <rFont val="Tahoma"/>
            <family val="2"/>
          </rPr>
          <t>Quantumuser:</t>
        </r>
        <r>
          <rPr>
            <sz val="9"/>
            <color indexed="81"/>
            <rFont val="Tahoma"/>
            <family val="2"/>
          </rPr>
          <t xml:space="preserve">
rev0 3 KT
rev1 = 2.6 KT โยกไปส่งในเดือน พย. 62 แล้ว = 0.4 KT
rev2 = 3.1 KT ตช. ขายเพิ่ม</t>
        </r>
      </text>
    </comment>
    <comment ref="J131" authorId="3" shapeId="0" xr:uid="{00000000-0006-0000-0200-0000AA000000}">
      <text>
        <r>
          <rPr>
            <b/>
            <sz val="9"/>
            <color indexed="81"/>
            <rFont val="Tahoma"/>
            <family val="2"/>
          </rPr>
          <t>Windows User:</t>
        </r>
        <r>
          <rPr>
            <sz val="9"/>
            <color indexed="81"/>
            <rFont val="Tahoma"/>
            <family val="2"/>
          </rPr>
          <t xml:space="preserve">
rev0 = 4
rev1 = 4.2</t>
        </r>
      </text>
    </comment>
    <comment ref="G137" authorId="2" shapeId="0" xr:uid="{00000000-0006-0000-0200-0000AB000000}">
      <text>
        <r>
          <rPr>
            <b/>
            <sz val="9"/>
            <color indexed="81"/>
            <rFont val="Tahoma"/>
            <family val="2"/>
          </rPr>
          <t>Quantumuser:
rev0=0
rev1=2  GC ปรับเพิ่มจาก 19 เป็น 21 KT</t>
        </r>
      </text>
    </comment>
    <comment ref="L143" authorId="3" shapeId="0" xr:uid="{00000000-0006-0000-0200-0000AC000000}">
      <text>
        <r>
          <rPr>
            <b/>
            <sz val="9"/>
            <color indexed="81"/>
            <rFont val="Tahoma"/>
            <family val="2"/>
          </rPr>
          <t xml:space="preserve">Windows User:
</t>
        </r>
        <r>
          <rPr>
            <sz val="9"/>
            <color indexed="81"/>
            <rFont val="Tahoma"/>
            <family val="2"/>
          </rPr>
          <t>rev0 = 1.8
rev1 = 2.4  ตช ขายเพิ่ม</t>
        </r>
      </text>
    </comment>
    <comment ref="J146" authorId="3" shapeId="0" xr:uid="{00000000-0006-0000-0200-0000AD000000}">
      <text>
        <r>
          <rPr>
            <b/>
            <sz val="9"/>
            <color indexed="81"/>
            <rFont val="Tahoma"/>
            <family val="2"/>
          </rPr>
          <t>Windows User:</t>
        </r>
        <r>
          <rPr>
            <sz val="9"/>
            <color indexed="81"/>
            <rFont val="Tahoma"/>
            <family val="2"/>
          </rPr>
          <t xml:space="preserve">
rev0 = 5
rev1 = 6.4</t>
        </r>
      </text>
    </comment>
    <comment ref="K146" authorId="3" shapeId="0" xr:uid="{00000000-0006-0000-0200-0000AE000000}">
      <text>
        <r>
          <rPr>
            <b/>
            <sz val="9"/>
            <color indexed="81"/>
            <rFont val="Tahoma"/>
            <family val="2"/>
          </rPr>
          <t>Windows User:</t>
        </r>
        <r>
          <rPr>
            <sz val="9"/>
            <color indexed="81"/>
            <rFont val="Tahoma"/>
            <family val="2"/>
          </rPr>
          <t xml:space="preserve">
rev0 = 5
rev1 = 6.4
rev2 = 5.6
</t>
        </r>
      </text>
    </comment>
    <comment ref="L146" authorId="3" shapeId="0" xr:uid="{00000000-0006-0000-0200-0000AF000000}">
      <text>
        <r>
          <rPr>
            <b/>
            <sz val="9"/>
            <color indexed="81"/>
            <rFont val="Tahoma"/>
            <family val="2"/>
          </rPr>
          <t>Windows User:</t>
        </r>
        <r>
          <rPr>
            <sz val="9"/>
            <color indexed="81"/>
            <rFont val="Tahoma"/>
            <family val="2"/>
          </rPr>
          <t xml:space="preserve">
rev0 = 5
rev1 = 5.7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SAOWANI DETJAREANSRI</author>
    <author>Quantumuser</author>
    <author>Windows User</author>
    <author>tc={74ABA495-3955-E049-8EE2-E2D22B69918F}</author>
  </authors>
  <commentList>
    <comment ref="Y6" authorId="0" shapeId="0" xr:uid="{00000000-0006-0000-0300-000001000000}">
      <text>
        <r>
          <rPr>
            <b/>
            <sz val="9"/>
            <color indexed="81"/>
            <rFont val="Tahoma"/>
            <family val="2"/>
          </rPr>
          <t>SAOWANI DETJAREANSRI:</t>
        </r>
        <r>
          <rPr>
            <sz val="9"/>
            <color indexed="81"/>
            <rFont val="Tahoma"/>
            <family val="2"/>
          </rPr>
          <t xml:space="preserve">
rev0 = 83.3 Km3
rev1 = 85.7 Km3 เนื่องจาก stab เพิ่มขึ้นจากแผนวันละ 100 m3</t>
        </r>
      </text>
    </comment>
    <comment ref="AA6" authorId="0" shapeId="0" xr:uid="{00000000-0006-0000-0300-000002000000}">
      <text>
        <r>
          <rPr>
            <b/>
            <sz val="9"/>
            <color indexed="81"/>
            <rFont val="Tahoma"/>
            <family val="2"/>
          </rPr>
          <t>SAOWANI DETJAREANSRI:</t>
        </r>
        <r>
          <rPr>
            <sz val="9"/>
            <color indexed="81"/>
            <rFont val="Tahoma"/>
            <family val="2"/>
          </rPr>
          <t xml:space="preserve">
rev0 = 90.5
</t>
        </r>
      </text>
    </comment>
    <comment ref="AB6" authorId="0" shapeId="0" xr:uid="{00000000-0006-0000-0300-000003000000}">
      <text>
        <r>
          <rPr>
            <b/>
            <sz val="9"/>
            <color indexed="81"/>
            <rFont val="Tahoma"/>
            <family val="2"/>
          </rPr>
          <t>SAOWANI DETJAREANSRI:</t>
        </r>
        <r>
          <rPr>
            <sz val="9"/>
            <color indexed="81"/>
            <rFont val="Tahoma"/>
            <family val="2"/>
          </rPr>
          <t xml:space="preserve">
rev0 = 79.49 Km3
rev1 = 78.212 Km3  เนื่องจาก GSP6 หยุดเดินเครื่องวันที่ 6-7 ก.พ. (2วัน) เพื่อแก้ไขปัญหา Dehydration  </t>
        </r>
      </text>
    </comment>
    <comment ref="AF6" authorId="0" shapeId="0" xr:uid="{00000000-0006-0000-0300-000004000000}">
      <text>
        <r>
          <rPr>
            <b/>
            <sz val="9"/>
            <color indexed="81"/>
            <rFont val="Tahoma"/>
            <family val="2"/>
          </rPr>
          <t>SAOWANI DETJAREANSRI:</t>
        </r>
        <r>
          <rPr>
            <sz val="9"/>
            <color indexed="81"/>
            <rFont val="Tahoma"/>
            <family val="2"/>
          </rPr>
          <t xml:space="preserve">
rev0 = 83.37 Km3
</t>
        </r>
      </text>
    </comment>
    <comment ref="AG6" authorId="0" shapeId="0" xr:uid="{00000000-0006-0000-0300-000005000000}">
      <text>
        <r>
          <rPr>
            <b/>
            <sz val="9"/>
            <color indexed="81"/>
            <rFont val="Tahoma"/>
            <family val="2"/>
          </rPr>
          <t>SAOWANI DETJAREANSRI:</t>
        </r>
        <r>
          <rPr>
            <sz val="9"/>
            <color indexed="81"/>
            <rFont val="Tahoma"/>
            <family val="2"/>
          </rPr>
          <t xml:space="preserve">
rev0 = 86 Km3
rev1 = 84 Km3  GSP5 GSP6 TD ผลิตลดลง 2 km3</t>
        </r>
      </text>
    </comment>
    <comment ref="AP6" authorId="0" shapeId="0" xr:uid="{00000000-0006-0000-0300-000006000000}">
      <text>
        <r>
          <rPr>
            <b/>
            <sz val="9"/>
            <color indexed="81"/>
            <rFont val="Tahoma"/>
            <family val="2"/>
          </rPr>
          <t>SAOWANI DETJAREANSRI:</t>
        </r>
        <r>
          <rPr>
            <sz val="9"/>
            <color indexed="81"/>
            <rFont val="Tahoma"/>
            <family val="2"/>
          </rPr>
          <t xml:space="preserve">
Apr - May 2019 : GSP6 Shutdown 17 Days (Tentatve)</t>
        </r>
      </text>
    </comment>
    <comment ref="BF6" authorId="1" shapeId="0" xr:uid="{00000000-0006-0000-0300-000007000000}">
      <text>
        <r>
          <rPr>
            <b/>
            <sz val="9"/>
            <color indexed="81"/>
            <rFont val="Tahoma"/>
            <family val="2"/>
          </rPr>
          <t>Quantumuser:
rev0 = 71.59</t>
        </r>
      </text>
    </comment>
    <comment ref="BG6" authorId="2" shapeId="0" xr:uid="{00000000-0006-0000-0300-000008000000}">
      <text>
        <r>
          <rPr>
            <b/>
            <sz val="9"/>
            <color indexed="81"/>
            <rFont val="Tahoma"/>
            <family val="2"/>
          </rPr>
          <t>Windows User:</t>
        </r>
        <r>
          <rPr>
            <sz val="9"/>
            <color indexed="81"/>
            <rFont val="Tahoma"/>
            <family val="2"/>
          </rPr>
          <t xml:space="preserve">
ผลิตสูงขึ้นจาก stab
</t>
        </r>
      </text>
    </comment>
    <comment ref="L7" authorId="0" shapeId="0" xr:uid="{00000000-0006-0000-0300-000009000000}">
      <text>
        <r>
          <rPr>
            <b/>
            <sz val="9"/>
            <color indexed="81"/>
            <rFont val="Tahoma"/>
            <family val="2"/>
          </rPr>
          <t>SAOWANI DETJAREANSRI:</t>
        </r>
        <r>
          <rPr>
            <sz val="9"/>
            <color indexed="81"/>
            <rFont val="Tahoma"/>
            <family val="2"/>
          </rPr>
          <t xml:space="preserve">
rev0 = 46.5 
rev1 = 52.5</t>
        </r>
      </text>
    </comment>
    <comment ref="M7" authorId="0" shapeId="0" xr:uid="{00000000-0006-0000-0300-00000A000000}">
      <text>
        <r>
          <rPr>
            <b/>
            <sz val="9"/>
            <color indexed="81"/>
            <rFont val="Tahoma"/>
            <family val="2"/>
          </rPr>
          <t>nom 60 Km3
rev0 = 60
rev1 = 58 เนื่องจาก Hg สูง ต้องส่งออกจึงปรับลดลูกค้า (แต่บอกลูกค้ามี condensate มาน้อย)</t>
        </r>
      </text>
    </comment>
    <comment ref="N7" authorId="0" shapeId="0" xr:uid="{00000000-0006-0000-0300-00000B000000}">
      <text>
        <r>
          <rPr>
            <b/>
            <sz val="9"/>
            <color indexed="81"/>
            <rFont val="Tahoma"/>
            <family val="2"/>
          </rPr>
          <t>SAOWANI DETJAREANSRI:</t>
        </r>
        <r>
          <rPr>
            <sz val="9"/>
            <color indexed="81"/>
            <rFont val="Tahoma"/>
            <family val="2"/>
          </rPr>
          <t xml:space="preserve">
nom ให้ลูกค้า 60.5 km3
rev0 = 60.5
rev1 =  55.648 GSP ขอปรับลดเนื่องจาก condensate มาน้อย (แต่จิงๆ คือ พย. 59 high Hg จึงต้อง Export)</t>
        </r>
      </text>
    </comment>
    <comment ref="O7" authorId="0" shapeId="0" xr:uid="{00000000-0006-0000-0300-00000C000000}">
      <text>
        <r>
          <rPr>
            <b/>
            <sz val="9"/>
            <color indexed="81"/>
            <rFont val="Tahoma"/>
            <family val="2"/>
          </rPr>
          <t>SAOWANI DETJAREANSRI:</t>
        </r>
        <r>
          <rPr>
            <sz val="9"/>
            <color indexed="81"/>
            <rFont val="Tahoma"/>
            <family val="2"/>
          </rPr>
          <t xml:space="preserve">
rev0 = 30.5</t>
        </r>
      </text>
    </comment>
    <comment ref="P7" authorId="0" shapeId="0" xr:uid="{00000000-0006-0000-0300-00000D000000}">
      <text>
        <r>
          <rPr>
            <b/>
            <sz val="9"/>
            <color indexed="81"/>
            <rFont val="Tahoma"/>
            <family val="2"/>
          </rPr>
          <t>SAOWANI DETJAREANSRI:</t>
        </r>
        <r>
          <rPr>
            <sz val="9"/>
            <color indexed="81"/>
            <rFont val="Tahoma"/>
            <family val="2"/>
          </rPr>
          <t xml:space="preserve">
rev0 = 30.5
rev1 = 28.5</t>
        </r>
      </text>
    </comment>
    <comment ref="Q7" authorId="0" shapeId="0" xr:uid="{00000000-0006-0000-0300-00000E000000}">
      <text>
        <r>
          <rPr>
            <b/>
            <sz val="9"/>
            <color indexed="81"/>
            <rFont val="Tahoma"/>
            <family val="2"/>
          </rPr>
          <t>SAOWANI DETJAREANSRI:</t>
        </r>
        <r>
          <rPr>
            <sz val="9"/>
            <color indexed="81"/>
            <rFont val="Tahoma"/>
            <family val="2"/>
          </rPr>
          <t xml:space="preserve">
rev0 = 28.549 Km3
rev1 = 30.2 Km3 เนื่องจาก Demand โรงไฟฟ้าสูง และ LNG max แล้ว ส่งผลให้มีการดึง bypass เพิ่มขึ้น condensate จึงมาสูงกว่าแผน</t>
        </r>
      </text>
    </comment>
    <comment ref="S7" authorId="0" shapeId="0" xr:uid="{00000000-0006-0000-0300-00000F000000}">
      <text>
        <r>
          <rPr>
            <b/>
            <sz val="9"/>
            <color indexed="81"/>
            <rFont val="Tahoma"/>
            <family val="2"/>
          </rPr>
          <t>SAOWANI DETJAREANSRI:</t>
        </r>
        <r>
          <rPr>
            <sz val="9"/>
            <color indexed="81"/>
            <rFont val="Tahoma"/>
            <family val="2"/>
          </rPr>
          <t xml:space="preserve">
PTTGC I-4/1 Olefins 2/1 TA 26 พ.ค. 60 – 3 ก.ค. 60 (39 วัน)</t>
        </r>
      </text>
    </comment>
    <comment ref="T7" authorId="0" shapeId="0" xr:uid="{00000000-0006-0000-0300-000010000000}">
      <text>
        <r>
          <rPr>
            <b/>
            <sz val="9"/>
            <color indexed="81"/>
            <rFont val="Tahoma"/>
            <family val="2"/>
          </rPr>
          <t>SAOWANI DETJAREANSRI:</t>
        </r>
        <r>
          <rPr>
            <sz val="9"/>
            <color indexed="81"/>
            <rFont val="Tahoma"/>
            <family val="2"/>
          </rPr>
          <t xml:space="preserve">
PTTGC I-4/1 Olefins 2/1 TA 26 พ.ค. 60 – 3 ก.ค. 60 (39 วัน)</t>
        </r>
      </text>
    </comment>
    <comment ref="Y7" authorId="0" shapeId="0" xr:uid="{00000000-0006-0000-0300-000011000000}">
      <text>
        <r>
          <rPr>
            <b/>
            <sz val="9"/>
            <color indexed="81"/>
            <rFont val="Tahoma"/>
            <family val="2"/>
          </rPr>
          <t>SAOWANI DETJAREANSRI:</t>
        </r>
        <r>
          <rPr>
            <sz val="9"/>
            <color indexed="81"/>
            <rFont val="Tahoma"/>
            <family val="2"/>
          </rPr>
          <t xml:space="preserve">
rev0 = 27.8 Km3
rev1= 31 Km3 เนื่องจาก condensate เพิ่มขึ้น จากการ Test (14 พ.ย. 60 - 14 ม.ค. 61) สลับก๊าซจากแหล่ง จากท่อ 34" มาที่ท่อ 42"
rev2= 34 Km3 เนื่องจาก condensate เพิ่มขึ้น</t>
        </r>
      </text>
    </comment>
    <comment ref="Z7" authorId="0" shapeId="0" xr:uid="{00000000-0006-0000-0300-000012000000}">
      <text>
        <r>
          <rPr>
            <b/>
            <sz val="9"/>
            <color indexed="81"/>
            <rFont val="Tahoma"/>
            <family val="2"/>
          </rPr>
          <t>SAOWANI DETJAREANSRI:
rev0 = 33.174 km3 (21.5 KT)
rev1 = 35.179 km3 (22.8 KT)</t>
        </r>
      </text>
    </comment>
    <comment ref="AG7" authorId="0" shapeId="0" xr:uid="{00000000-0006-0000-0300-000013000000}">
      <text>
        <r>
          <rPr>
            <b/>
            <sz val="9"/>
            <color indexed="81"/>
            <rFont val="Tahoma"/>
            <family val="2"/>
          </rPr>
          <t>SAOWANI DETJAREANSRI:
rev0 = 29.32 
rev1 = 27.32 KT ปรับลด 2 km3 เนื่องจาก stab น้อย</t>
        </r>
      </text>
    </comment>
    <comment ref="AK7" authorId="0" shapeId="0" xr:uid="{00000000-0006-0000-0300-000014000000}">
      <text>
        <r>
          <rPr>
            <b/>
            <sz val="9"/>
            <color indexed="81"/>
            <rFont val="Tahoma"/>
            <family val="2"/>
          </rPr>
          <t>SAOWANI DETJAREANSRI:</t>
        </r>
        <r>
          <rPr>
            <sz val="9"/>
            <color indexed="81"/>
            <rFont val="Tahoma"/>
            <family val="2"/>
          </rPr>
          <t xml:space="preserve">
rev0 = 15 KT
rev1 = 19 KT ปรับคาม Inv GSP
rev2 = 22 KT (โยกจากเดือน ธ.ค. มา 3 KT)
rev3 = 23 KT GSP เสนอขายเพิ่ม 1 KT</t>
        </r>
      </text>
    </comment>
    <comment ref="AL7" authorId="0" shapeId="0" xr:uid="{00000000-0006-0000-0300-000015000000}">
      <text>
        <r>
          <rPr>
            <b/>
            <sz val="9"/>
            <color indexed="81"/>
            <rFont val="Tahoma"/>
            <family val="2"/>
          </rPr>
          <t>SAOWANI DETJAREANSRI:</t>
        </r>
        <r>
          <rPr>
            <sz val="9"/>
            <color indexed="81"/>
            <rFont val="Tahoma"/>
            <family val="2"/>
          </rPr>
          <t xml:space="preserve">
rev0 = 20 KT
rev1 = 17 KT (โยกไปขายเดือน พย. 3 KT)
rev2 = 18 KT GSP เสนอขายเพิ่ม
rev3 = 19.5 KT GSP เสนอขายเพิ่ม</t>
        </r>
      </text>
    </comment>
    <comment ref="AM7" authorId="0" shapeId="0" xr:uid="{00000000-0006-0000-0300-000016000000}">
      <text>
        <r>
          <rPr>
            <b/>
            <sz val="9"/>
            <color indexed="81"/>
            <rFont val="Tahoma"/>
            <family val="2"/>
          </rPr>
          <t>SAOWANI DETJAREANSRI:</t>
        </r>
        <r>
          <rPr>
            <sz val="9"/>
            <color indexed="81"/>
            <rFont val="Tahoma"/>
            <family val="2"/>
          </rPr>
          <t xml:space="preserve">
rev0 = 16 KT
rev1 = 12 KT GSP ตัด เนื่องจากพายุปาบึก</t>
        </r>
      </text>
    </comment>
    <comment ref="AN7" authorId="0" shapeId="0" xr:uid="{00000000-0006-0000-0300-000017000000}">
      <text>
        <r>
          <rPr>
            <b/>
            <sz val="9"/>
            <color indexed="81"/>
            <rFont val="Tahoma"/>
            <family val="2"/>
          </rPr>
          <t>SAOWANI DETJAREANSRI:</t>
        </r>
        <r>
          <rPr>
            <sz val="9"/>
            <color indexed="81"/>
            <rFont val="Tahoma"/>
            <family val="2"/>
          </rPr>
          <t xml:space="preserve">
rev0 = 14 KT
rev1 = 15 KT ปรับเพิ่มให้ตาม stab ที่เพิ่มขึ้น เนื่องจาก GC ช่วยปรับแผนรับ C3/LPG ลดลงในช่วงครึ่งเดือนแรกของ กพ</t>
        </r>
      </text>
    </comment>
    <comment ref="AO7" authorId="0" shapeId="0" xr:uid="{00000000-0006-0000-0300-000018000000}">
      <text>
        <r>
          <rPr>
            <b/>
            <sz val="9"/>
            <color indexed="81"/>
            <rFont val="Tahoma"/>
            <family val="2"/>
          </rPr>
          <t>SAOWANI DETJAREANSRI:</t>
        </r>
        <r>
          <rPr>
            <sz val="9"/>
            <color indexed="81"/>
            <rFont val="Tahoma"/>
            <family val="2"/>
          </rPr>
          <t xml:space="preserve">
rev0 = 19
rev1 = 21</t>
        </r>
      </text>
    </comment>
    <comment ref="AP7" authorId="1" shapeId="0" xr:uid="{00000000-0006-0000-0300-000019000000}">
      <text>
        <r>
          <rPr>
            <b/>
            <sz val="9"/>
            <color indexed="81"/>
            <rFont val="Tahoma"/>
            <family val="2"/>
          </rPr>
          <t>Quantumuser:</t>
        </r>
        <r>
          <rPr>
            <sz val="9"/>
            <color indexed="81"/>
            <rFont val="Tahoma"/>
            <family val="2"/>
          </rPr>
          <t xml:space="preserve">
rev0 = 19 KT
rev1 = 20 KT</t>
        </r>
      </text>
    </comment>
    <comment ref="AQ7" authorId="1" shapeId="0" xr:uid="{00000000-0006-0000-0300-00001A000000}">
      <text>
        <r>
          <rPr>
            <b/>
            <sz val="9"/>
            <color indexed="81"/>
            <rFont val="Tahoma"/>
            <family val="2"/>
          </rPr>
          <t>Quantumuser:</t>
        </r>
        <r>
          <rPr>
            <sz val="9"/>
            <color indexed="81"/>
            <rFont val="Tahoma"/>
            <family val="2"/>
          </rPr>
          <t xml:space="preserve">
rev0 = 16 KT
rev1 = 17 KT</t>
        </r>
      </text>
    </comment>
    <comment ref="AS7" authorId="1" shapeId="0" xr:uid="{00000000-0006-0000-0300-00001B000000}">
      <text>
        <r>
          <rPr>
            <b/>
            <sz val="9"/>
            <color indexed="81"/>
            <rFont val="Tahoma"/>
            <family val="2"/>
          </rPr>
          <t>Quantumuser:</t>
        </r>
        <r>
          <rPr>
            <sz val="9"/>
            <color indexed="81"/>
            <rFont val="Tahoma"/>
            <family val="2"/>
          </rPr>
          <t xml:space="preserve">
rev0 = 17 KT
</t>
        </r>
      </text>
    </comment>
    <comment ref="AT7" authorId="1" shapeId="0" xr:uid="{00000000-0006-0000-0300-00001C000000}">
      <text>
        <r>
          <rPr>
            <b/>
            <sz val="9"/>
            <color indexed="81"/>
            <rFont val="Tahoma"/>
            <family val="2"/>
          </rPr>
          <t>Quantumuser:</t>
        </r>
        <r>
          <rPr>
            <sz val="9"/>
            <color indexed="81"/>
            <rFont val="Tahoma"/>
            <family val="2"/>
          </rPr>
          <t xml:space="preserve">
Nom @Jun = 18 KT
</t>
        </r>
      </text>
    </comment>
    <comment ref="AV7" authorId="2" shapeId="0" xr:uid="{00000000-0006-0000-0300-00001D000000}">
      <text>
        <r>
          <rPr>
            <b/>
            <sz val="9"/>
            <color indexed="81"/>
            <rFont val="Tahoma"/>
            <family val="2"/>
          </rPr>
          <t>Windows User:</t>
        </r>
        <r>
          <rPr>
            <sz val="9"/>
            <color indexed="81"/>
            <rFont val="Tahoma"/>
            <family val="2"/>
          </rPr>
          <t xml:space="preserve">
rev0 = 18 KT
rev1 = 18.5 KT กผ. ให้แทน LPG ที่ลดลง จาก GSP5 เพิ่มจำนวนวัน TD </t>
        </r>
      </text>
    </comment>
    <comment ref="AX7" authorId="1" shapeId="0" xr:uid="{00000000-0006-0000-0300-00001E000000}">
      <text>
        <r>
          <rPr>
            <b/>
            <sz val="9"/>
            <color indexed="81"/>
            <rFont val="Tahoma"/>
            <family val="2"/>
          </rPr>
          <t>Quantumuser:</t>
        </r>
        <r>
          <rPr>
            <sz val="9"/>
            <color indexed="81"/>
            <rFont val="Tahoma"/>
            <family val="2"/>
          </rPr>
          <t xml:space="preserve">
rev0 = 17 
rev1 = 19 GSP balance inv
rev2 = 21 GSP balance inv</t>
        </r>
      </text>
    </comment>
    <comment ref="AY7" authorId="1" shapeId="0" xr:uid="{00000000-0006-0000-0300-00001F000000}">
      <text>
        <r>
          <rPr>
            <b/>
            <sz val="9"/>
            <color indexed="81"/>
            <rFont val="Tahoma"/>
            <family val="2"/>
          </rPr>
          <t>Quantumuser:
rev0 = 15
rev1 = 18
rev2 = 19 KT</t>
        </r>
      </text>
    </comment>
    <comment ref="AZ7" authorId="2" shapeId="0" xr:uid="{00000000-0006-0000-0300-000020000000}">
      <text>
        <r>
          <rPr>
            <b/>
            <sz val="9"/>
            <color indexed="81"/>
            <rFont val="Tahoma"/>
            <family val="2"/>
          </rPr>
          <t>Windows User:</t>
        </r>
        <r>
          <rPr>
            <sz val="9"/>
            <color indexed="81"/>
            <rFont val="Tahoma"/>
            <family val="2"/>
          </rPr>
          <t xml:space="preserve">
rev0 = 13.5 KT
rev1 = 12.5 KT GSP ปรับลดเนื่องจาก stab มาลดลง
rev2 = 9.8 KT เนื่องจาก GC พบปัญหากระบวนการผลิตหลังการ Start up และ Inventory สูง จึงขอหยุดการรับตั้งแต่วันที่ 22 ก.พ. เวลา 12:00 น. – 26 ก.พ. 2563
rev3 = 5 KT เนื่องจาก i4 delay start up จากเดิมวันที่ 27 กพ. 63</t>
        </r>
      </text>
    </comment>
    <comment ref="BA7" authorId="1" shapeId="0" xr:uid="{00000000-0006-0000-0300-000021000000}">
      <text>
        <r>
          <rPr>
            <b/>
            <sz val="9"/>
            <color indexed="81"/>
            <rFont val="Tahoma"/>
            <family val="2"/>
          </rPr>
          <t>Quantumuser:
rev0 = 22.5 KT
rev1 = 25.2 KT เนื่องจากโยก 2.7 KT มาจากเดือน ก.พ. 63</t>
        </r>
      </text>
    </comment>
    <comment ref="BB7" authorId="2" shapeId="0" xr:uid="{00000000-0006-0000-0300-000022000000}">
      <text>
        <r>
          <rPr>
            <b/>
            <sz val="9"/>
            <color indexed="81"/>
            <rFont val="Tahoma"/>
            <family val="2"/>
          </rPr>
          <t>Windows User:</t>
        </r>
        <r>
          <rPr>
            <sz val="9"/>
            <color indexed="81"/>
            <rFont val="Tahoma"/>
            <family val="2"/>
          </rPr>
          <t xml:space="preserve">
rev0 = 23
rev1 = 20 KT เนื่องจาก GSP ปรับลดกำลังการผลิต optimum case + ปรับเพิ่ม C3/LPG ให้พอขาย GC เพื่อชดชเย C2
rev2 = 19 KT GC แจ้งปรับลดจาก Economi
rev3 = 15 KT GC แจ้งปรับลดจาก Economi</t>
        </r>
      </text>
    </comment>
    <comment ref="BG7" authorId="2" shapeId="0" xr:uid="{00000000-0006-0000-0300-000023000000}">
      <text>
        <r>
          <rPr>
            <b/>
            <sz val="9"/>
            <color indexed="81"/>
            <rFont val="Tahoma"/>
            <family val="2"/>
          </rPr>
          <t>Windows User:</t>
        </r>
        <r>
          <rPr>
            <sz val="9"/>
            <color indexed="81"/>
            <rFont val="Tahoma"/>
            <family val="2"/>
          </rPr>
          <t xml:space="preserve">
rev0 = 21 KT
rev1 = 23 KT GSP เสนอเพิ่ม เพื่อ balance inv</t>
        </r>
      </text>
    </comment>
    <comment ref="BH7" authorId="2" shapeId="0" xr:uid="{00000000-0006-0000-0300-000024000000}">
      <text>
        <r>
          <rPr>
            <b/>
            <sz val="9"/>
            <color indexed="81"/>
            <rFont val="Tahoma"/>
            <family val="2"/>
          </rPr>
          <t>Windows User:</t>
        </r>
        <r>
          <rPr>
            <sz val="9"/>
            <color indexed="81"/>
            <rFont val="Tahoma"/>
            <family val="2"/>
          </rPr>
          <t xml:space="preserve">
rev0 = 24.5 KT
rev1 = 25.5 KT</t>
        </r>
      </text>
    </comment>
    <comment ref="BI7" authorId="2" shapeId="0" xr:uid="{00000000-0006-0000-0300-000025000000}">
      <text>
        <r>
          <rPr>
            <b/>
            <sz val="9"/>
            <color indexed="81"/>
            <rFont val="Tahoma"/>
            <family val="2"/>
          </rPr>
          <t>Windows User:
rev0 = 21.5 KT
rev1 = 20 KT เหตุจาก GSP5</t>
        </r>
      </text>
    </comment>
    <comment ref="BJ7" authorId="2" shapeId="0" xr:uid="{00000000-0006-0000-0300-000026000000}">
      <text>
        <r>
          <rPr>
            <b/>
            <sz val="9"/>
            <color indexed="81"/>
            <rFont val="Tahoma"/>
            <family val="2"/>
          </rPr>
          <t>Windows User:</t>
        </r>
        <r>
          <rPr>
            <sz val="9"/>
            <color indexed="81"/>
            <rFont val="Tahoma"/>
            <family val="2"/>
          </rPr>
          <t xml:space="preserve">
20</t>
        </r>
      </text>
    </comment>
    <comment ref="BK7" authorId="2" shapeId="0" xr:uid="{00000000-0006-0000-0300-000027000000}">
      <text>
        <r>
          <rPr>
            <b/>
            <sz val="9"/>
            <color rgb="FF000000"/>
            <rFont val="Tahoma"/>
            <family val="2"/>
          </rPr>
          <t>Windows User:</t>
        </r>
        <r>
          <rPr>
            <sz val="9"/>
            <color rgb="FF000000"/>
            <rFont val="Tahoma"/>
            <family val="2"/>
          </rPr>
          <t xml:space="preserve">
</t>
        </r>
        <r>
          <rPr>
            <sz val="9"/>
            <color rgb="FF000000"/>
            <rFont val="Tahoma"/>
            <family val="2"/>
          </rPr>
          <t xml:space="preserve">rev1 = 24.5 KT
</t>
        </r>
      </text>
    </comment>
    <comment ref="BL7" authorId="2" shapeId="0" xr:uid="{00000000-0006-0000-0300-000028000000}">
      <text>
        <r>
          <rPr>
            <b/>
            <sz val="9"/>
            <color indexed="81"/>
            <rFont val="Tahoma"/>
            <family val="2"/>
          </rPr>
          <t>Windows User:</t>
        </r>
        <r>
          <rPr>
            <sz val="9"/>
            <color indexed="81"/>
            <rFont val="Tahoma"/>
            <family val="2"/>
          </rPr>
          <t xml:space="preserve">
rev0 = 23 KT
rev1 = 24.5 KT GSP ปรับเพิ่ม เพื่อ balance inventory
</t>
        </r>
      </text>
    </comment>
    <comment ref="BN7" authorId="2" shapeId="0" xr:uid="{00000000-0006-0000-0300-000029000000}">
      <text>
        <r>
          <rPr>
            <b/>
            <sz val="9"/>
            <color indexed="81"/>
            <rFont val="Tahoma"/>
            <family val="2"/>
          </rPr>
          <t>Windows User:</t>
        </r>
        <r>
          <rPr>
            <sz val="9"/>
            <color indexed="81"/>
            <rFont val="Tahoma"/>
            <family val="2"/>
          </rPr>
          <t xml:space="preserve">
rev0 = 22.5 KT
rev1 = 20.5 KT GC ขอรับเท่า rev0 เนื่องจาก inv LN high
</t>
        </r>
      </text>
    </comment>
    <comment ref="BO7" authorId="2" shapeId="0" xr:uid="{00000000-0006-0000-0300-00002A000000}">
      <text>
        <r>
          <rPr>
            <b/>
            <sz val="9"/>
            <color indexed="81"/>
            <rFont val="Tahoma"/>
            <family val="2"/>
          </rPr>
          <t>Windows User:</t>
        </r>
        <r>
          <rPr>
            <sz val="9"/>
            <color indexed="81"/>
            <rFont val="Tahoma"/>
            <family val="2"/>
          </rPr>
          <t xml:space="preserve">
rev0 = 27.5 KT
rev1 = 26.5 KT
rev2 = 26 KT</t>
        </r>
      </text>
    </comment>
    <comment ref="CS7" authorId="2" shapeId="0" xr:uid="{00000000-0006-0000-0300-00002B000000}">
      <text>
        <r>
          <rPr>
            <b/>
            <sz val="9"/>
            <color indexed="81"/>
            <rFont val="Tahoma"/>
            <family val="2"/>
          </rPr>
          <t>Windows User:</t>
        </r>
        <r>
          <rPr>
            <sz val="9"/>
            <color indexed="81"/>
            <rFont val="Tahoma"/>
            <family val="2"/>
          </rPr>
          <t xml:space="preserve">
สัญญา &gt; 250 KT</t>
        </r>
      </text>
    </comment>
    <comment ref="I8" authorId="0" shapeId="0" xr:uid="{00000000-0006-0000-0300-00002C000000}">
      <text>
        <r>
          <rPr>
            <b/>
            <sz val="9"/>
            <color indexed="81"/>
            <rFont val="Tahoma"/>
            <family val="2"/>
          </rPr>
          <t>SAOWANI DETJAREANSRI:
30 GSP เสนอเป็น 33 (มิย กด ให้ 33 33 รวมเพิ่ม 6 Km3)
33 ลดเป็น 32 เพราะให้ก่อนแล้วในเดือน พค 1 Km3 แต่หากมีของจะให้เพิ่มขึ้นจาก 32 เป็นเท่าไหร่ขอดูการผลิตก่อน</t>
        </r>
      </text>
    </comment>
    <comment ref="L8" authorId="0" shapeId="0" xr:uid="{00000000-0006-0000-0300-00002D000000}">
      <text>
        <r>
          <rPr>
            <sz val="9"/>
            <color indexed="81"/>
            <rFont val="Tahoma"/>
            <family val="2"/>
          </rPr>
          <t xml:space="preserve">ทำ nom ให้ลูกค้า 30 Km3
</t>
        </r>
      </text>
    </comment>
    <comment ref="M8" authorId="0" shapeId="0" xr:uid="{00000000-0006-0000-0300-00002E000000}">
      <text>
        <r>
          <rPr>
            <sz val="9"/>
            <color indexed="81"/>
            <rFont val="Tahoma"/>
            <family val="2"/>
          </rPr>
          <t>ROC T/A : 4 พ.ย. 59 – 13 ธ.ค. 59</t>
        </r>
      </text>
    </comment>
    <comment ref="N8" authorId="0" shapeId="0" xr:uid="{00000000-0006-0000-0300-00002F000000}">
      <text>
        <r>
          <rPr>
            <sz val="9"/>
            <color indexed="81"/>
            <rFont val="Tahoma"/>
            <family val="2"/>
          </rPr>
          <t>ROC T/A : 4 พ.ย. 59 – 13 ธ.ค. 59
rev0 = 31.514
rev1 = 29.11  GSP ขอปรับลดเนื่องจาก condensate มาน้อย (แต่จิงๆ คือ พย. 59 high Hg จึงต้อง Export)</t>
        </r>
      </text>
    </comment>
    <comment ref="Q8" authorId="0" shapeId="0" xr:uid="{00000000-0006-0000-0300-000030000000}">
      <text>
        <r>
          <rPr>
            <b/>
            <sz val="9"/>
            <color indexed="81"/>
            <rFont val="Tahoma"/>
            <family val="2"/>
          </rPr>
          <t>SAOWANI DETJAREANSRI:</t>
        </r>
        <r>
          <rPr>
            <sz val="9"/>
            <color indexed="81"/>
            <rFont val="Tahoma"/>
            <family val="2"/>
          </rPr>
          <t xml:space="preserve">
rev0 = 53 Km3
rev1 = 53.8 Km3 เนื่องจาก Demand โรงไฟฟ้าสูง และ LNG max แล้ว ส่งผลให้มีการดึง bypass เพิ่มขึ้น condensate จึงมาสูงกว่าแผน</t>
        </r>
      </text>
    </comment>
    <comment ref="V8" authorId="0" shapeId="0" xr:uid="{00000000-0006-0000-0300-000031000000}">
      <text>
        <r>
          <rPr>
            <b/>
            <sz val="9"/>
            <color indexed="81"/>
            <rFont val="Tahoma"/>
            <family val="2"/>
          </rPr>
          <t>SAOWANI DETJAREANSRI:</t>
        </r>
        <r>
          <rPr>
            <sz val="9"/>
            <color indexed="81"/>
            <rFont val="Tahoma"/>
            <family val="2"/>
          </rPr>
          <t xml:space="preserve">
rev0 = 56 KT
rev1 = 55 KT GSP ขอลด  เนื่องจากช่วงวันแม่ GSP ลด feed และจะ compensate ให้ใน Sep'17)</t>
        </r>
      </text>
    </comment>
    <comment ref="W8" authorId="0" shapeId="0" xr:uid="{00000000-0006-0000-0300-000032000000}">
      <text>
        <r>
          <rPr>
            <b/>
            <sz val="9"/>
            <color indexed="81"/>
            <rFont val="Tahoma"/>
            <family val="2"/>
          </rPr>
          <t xml:space="preserve">SAOWANI DETJAREANSRI:
rev 0 = 53 (nom plan)
rev1 = 54 (compensate 1 Km3 จากที่เดือน ส.ค. 60 GSP ขอลดไป เนื่องจากช่วงวันแม่ GSP ลด feed)
 </t>
        </r>
      </text>
    </comment>
    <comment ref="Z8" authorId="0" shapeId="0" xr:uid="{00000000-0006-0000-0300-000033000000}">
      <text>
        <r>
          <rPr>
            <b/>
            <sz val="9"/>
            <color indexed="81"/>
            <rFont val="Tahoma"/>
            <family val="2"/>
          </rPr>
          <t>SAOWANI DETJAREANSRI:</t>
        </r>
        <r>
          <rPr>
            <sz val="9"/>
            <color indexed="81"/>
            <rFont val="Tahoma"/>
            <family val="2"/>
          </rPr>
          <t xml:space="preserve">
ROC ไม่อยากให้เกิน max meter ที่ prove ไว้ 48 T/hr</t>
        </r>
      </text>
    </comment>
    <comment ref="AM8" authorId="0" shapeId="0" xr:uid="{00000000-0006-0000-0300-000034000000}">
      <text>
        <r>
          <rPr>
            <b/>
            <sz val="9"/>
            <color indexed="81"/>
            <rFont val="Tahoma"/>
            <family val="2"/>
          </rPr>
          <t>SAOWANI DETJAREANSRI:</t>
        </r>
        <r>
          <rPr>
            <sz val="9"/>
            <color indexed="81"/>
            <rFont val="Tahoma"/>
            <family val="2"/>
          </rPr>
          <t xml:space="preserve">
rev0 = 55 km3
</t>
        </r>
      </text>
    </comment>
    <comment ref="AO8" authorId="0" shapeId="0" xr:uid="{00000000-0006-0000-0300-000035000000}">
      <text>
        <r>
          <rPr>
            <b/>
            <sz val="9"/>
            <color indexed="81"/>
            <rFont val="Tahoma"/>
            <family val="2"/>
          </rPr>
          <t>SAOWANI DETJAREANSRI:</t>
        </r>
        <r>
          <rPr>
            <sz val="9"/>
            <color indexed="81"/>
            <rFont val="Tahoma"/>
            <family val="2"/>
          </rPr>
          <t xml:space="preserve">
rev0 = 54 Km3
rev1 = 55 Km3 เพื่อ balance inv GSP</t>
        </r>
      </text>
    </comment>
    <comment ref="AU8" authorId="1" shapeId="0" xr:uid="{00000000-0006-0000-0300-000036000000}">
      <text>
        <r>
          <rPr>
            <b/>
            <sz val="9"/>
            <color indexed="81"/>
            <rFont val="Tahoma"/>
            <family val="2"/>
          </rPr>
          <t>Quantumuser
Rev0 = 53 Km3
Rev1 = 51.5 Km3 เนื่องจาก GSP RY วันที่ 10 ก.ย. 62 มีงาน overhaul valve NGL เนื่องจากมี วาล์ลติดขัดเลยจะทำการเปลี่ยน ส่งผลให้ต้องหยุดส่งลูกค้า 2 เจ้า 1 วัน
ROC. ไม่สามารถจ่ายคืนได้เพราะ max meter  แจ้งลูกค้ารับทราบแล้ว ทำให้ vol เดือนอยู่ 51.5 km3.</t>
        </r>
      </text>
    </comment>
    <comment ref="AY8" authorId="1" shapeId="0" xr:uid="{00000000-0006-0000-0300-000037000000}">
      <text>
        <r>
          <rPr>
            <b/>
            <sz val="9"/>
            <color indexed="81"/>
            <rFont val="Tahoma"/>
            <family val="2"/>
          </rPr>
          <t>Quantumuser:</t>
        </r>
        <r>
          <rPr>
            <sz val="9"/>
            <color indexed="81"/>
            <rFont val="Tahoma"/>
            <family val="2"/>
          </rPr>
          <t xml:space="preserve">
rev0 = 53 km3
rev1 = 55 km3</t>
        </r>
      </text>
    </comment>
    <comment ref="BC8" authorId="2" shapeId="0" xr:uid="{00000000-0006-0000-0300-000038000000}">
      <text>
        <r>
          <rPr>
            <b/>
            <sz val="9"/>
            <color indexed="81"/>
            <rFont val="Tahoma"/>
            <family val="2"/>
          </rPr>
          <t>Windows User:</t>
        </r>
        <r>
          <rPr>
            <sz val="9"/>
            <color indexed="81"/>
            <rFont val="Tahoma"/>
            <family val="2"/>
          </rPr>
          <t xml:space="preserve">
rev0 = 43.6 Km3
</t>
        </r>
      </text>
    </comment>
    <comment ref="BD8" authorId="2" shapeId="0" xr:uid="{00000000-0006-0000-0300-000039000000}">
      <text>
        <r>
          <rPr>
            <b/>
            <sz val="9"/>
            <color indexed="81"/>
            <rFont val="Tahoma"/>
            <family val="2"/>
          </rPr>
          <t>Windows User:</t>
        </r>
        <r>
          <rPr>
            <sz val="9"/>
            <color indexed="81"/>
            <rFont val="Tahoma"/>
            <family val="2"/>
          </rPr>
          <t xml:space="preserve">
53.3 Km3 (Spot MOP'J - 34.5)</t>
        </r>
      </text>
    </comment>
    <comment ref="BE8" authorId="2" shapeId="0" xr:uid="{00000000-0006-0000-0300-00003A000000}">
      <text>
        <r>
          <rPr>
            <b/>
            <sz val="9"/>
            <color indexed="81"/>
            <rFont val="Tahoma"/>
            <family val="2"/>
          </rPr>
          <t>Windows User:</t>
        </r>
        <r>
          <rPr>
            <sz val="9"/>
            <color indexed="81"/>
            <rFont val="Tahoma"/>
            <family val="2"/>
          </rPr>
          <t xml:space="preserve">
rev0 = 55 Km3 (30 Km3 normal price + 25 Km3 Spot MOP'J - 30)
rev1 = 58.858 Km3 (30 Km3 normal price + 30 up  Km3 Spot MOP'J - 30)</t>
        </r>
      </text>
    </comment>
    <comment ref="BI8" authorId="2" shapeId="0" xr:uid="{00000000-0006-0000-0300-00003B000000}">
      <text>
        <r>
          <rPr>
            <b/>
            <sz val="9"/>
            <color indexed="81"/>
            <rFont val="Tahoma"/>
            <family val="2"/>
          </rPr>
          <t>Windows User:</t>
        </r>
        <r>
          <rPr>
            <sz val="9"/>
            <color indexed="81"/>
            <rFont val="Tahoma"/>
            <family val="2"/>
          </rPr>
          <t xml:space="preserve">
rev0 = 42.22 Km3
rev1 = 40 Km3
</t>
        </r>
      </text>
    </comment>
    <comment ref="BJ8" authorId="2" shapeId="0" xr:uid="{00000000-0006-0000-0300-00003C000000}">
      <text>
        <r>
          <rPr>
            <b/>
            <sz val="9"/>
            <color indexed="81"/>
            <rFont val="Tahoma"/>
            <family val="2"/>
          </rPr>
          <t>Windows User:</t>
        </r>
        <r>
          <rPr>
            <sz val="9"/>
            <color indexed="81"/>
            <rFont val="Tahoma"/>
            <family val="2"/>
          </rPr>
          <t xml:space="preserve">
rev0 = 40.6 Km3
rev1 = 42.6 Km3 SCG ขอเพิ่ม</t>
        </r>
      </text>
    </comment>
    <comment ref="BK8" authorId="2" shapeId="0" xr:uid="{00000000-0006-0000-0300-00003D000000}">
      <text>
        <r>
          <rPr>
            <b/>
            <sz val="9"/>
            <color rgb="FF000000"/>
            <rFont val="Tahoma"/>
            <family val="2"/>
          </rPr>
          <t xml:space="preserve">Windows User:rev1
</t>
        </r>
        <r>
          <rPr>
            <b/>
            <sz val="9"/>
            <color rgb="FF000000"/>
            <rFont val="Tahoma"/>
            <family val="2"/>
          </rPr>
          <t xml:space="preserve">rev 1 = 45 Km3
</t>
        </r>
      </text>
    </comment>
    <comment ref="K10" authorId="0" shapeId="0" xr:uid="{00000000-0006-0000-0300-00003E000000}">
      <text>
        <r>
          <rPr>
            <b/>
            <sz val="9"/>
            <color indexed="81"/>
            <rFont val="Tahoma"/>
            <family val="2"/>
          </rPr>
          <t>SAOWANI DETJAREANSRI:</t>
        </r>
        <r>
          <rPr>
            <sz val="9"/>
            <color indexed="81"/>
            <rFont val="Tahoma"/>
            <family val="2"/>
          </rPr>
          <t xml:space="preserve">
confirm Trading week ที่ 2-3 อาจจะออก ต.ค. ให้แจ้ง Trading ออก ต.ค. 59 แต่อาจจะเลื่อนเป็น ปลาย กย ถ้าของทะลัก</t>
        </r>
      </text>
    </comment>
    <comment ref="U10" authorId="0" shapeId="0" xr:uid="{00000000-0006-0000-0300-00003F000000}">
      <text>
        <r>
          <rPr>
            <b/>
            <sz val="9"/>
            <color indexed="81"/>
            <rFont val="Tahoma"/>
            <family val="2"/>
          </rPr>
          <t>SAOWANI DETJAREANSRI:</t>
        </r>
        <r>
          <rPr>
            <sz val="9"/>
            <color indexed="81"/>
            <rFont val="Tahoma"/>
            <family val="2"/>
          </rPr>
          <t xml:space="preserve">
ออก MT 1 ลำ : 2,400 m3 (ของส่งมาเก็บที่ MT ตั้งแต่ Jun'17)</t>
        </r>
      </text>
    </comment>
    <comment ref="Z10" authorId="0" shapeId="0" xr:uid="{00000000-0006-0000-0300-000040000000}">
      <text>
        <r>
          <rPr>
            <b/>
            <sz val="9"/>
            <color indexed="81"/>
            <rFont val="Tahoma"/>
            <family val="2"/>
          </rPr>
          <t>SAOWANI DETJAREANSRI:</t>
        </r>
        <r>
          <rPr>
            <sz val="9"/>
            <color indexed="81"/>
            <rFont val="Tahoma"/>
            <family val="2"/>
          </rPr>
          <t xml:space="preserve">
Laycan 27-29 Nov'17 Dekay จาก Voyage ก่อนหน้า</t>
        </r>
      </text>
    </comment>
    <comment ref="AE10" authorId="0" shapeId="0" xr:uid="{00000000-0006-0000-0300-000041000000}">
      <text>
        <r>
          <rPr>
            <b/>
            <sz val="9"/>
            <color indexed="81"/>
            <rFont val="Tahoma"/>
            <family val="2"/>
          </rPr>
          <t>SAOWANI DETJAREANSRI:</t>
        </r>
        <r>
          <rPr>
            <sz val="9"/>
            <color indexed="81"/>
            <rFont val="Tahoma"/>
            <family val="2"/>
          </rPr>
          <t xml:space="preserve">
***เลื่อน 
1,800 m3
Laycan 28-30 May 2018
@MT
ของมีอยู่แล้วที่ MT 2,300 m3 หัก dead stock 700 m3 เหลือ 1,550 m3 ดังนั้น GSP จึงส่ง NGL ไปเพิ่ม 780 m3 เพื่อให้พอออก 1,800 m3</t>
        </r>
      </text>
    </comment>
    <comment ref="AG10" authorId="0" shapeId="0" xr:uid="{00000000-0006-0000-0300-000042000000}">
      <text>
        <r>
          <rPr>
            <b/>
            <sz val="9"/>
            <color indexed="81"/>
            <rFont val="Tahoma"/>
            <family val="2"/>
          </rPr>
          <t>SAOWANI DETJAREANSRI:</t>
        </r>
        <r>
          <rPr>
            <sz val="9"/>
            <color indexed="81"/>
            <rFont val="Tahoma"/>
            <family val="2"/>
          </rPr>
          <t xml:space="preserve">
20-22 July 18
PTT TANK</t>
        </r>
      </text>
    </comment>
    <comment ref="AI10" authorId="0" shapeId="0" xr:uid="{00000000-0006-0000-0300-000043000000}">
      <text>
        <r>
          <rPr>
            <b/>
            <sz val="9"/>
            <color indexed="81"/>
            <rFont val="Tahoma"/>
            <family val="2"/>
          </rPr>
          <t>SAOWANI DETJAREANSRI:</t>
        </r>
        <r>
          <rPr>
            <sz val="9"/>
            <color indexed="81"/>
            <rFont val="Tahoma"/>
            <family val="2"/>
          </rPr>
          <t xml:space="preserve">
PTT TANK</t>
        </r>
      </text>
    </comment>
    <comment ref="AJ10" authorId="0" shapeId="0" xr:uid="{00000000-0006-0000-0300-000044000000}">
      <text>
        <r>
          <rPr>
            <b/>
            <sz val="9"/>
            <color indexed="81"/>
            <rFont val="Tahoma"/>
            <family val="2"/>
          </rPr>
          <t>SAOWANI DETJAREANSRI:</t>
        </r>
        <r>
          <rPr>
            <sz val="9"/>
            <color indexed="81"/>
            <rFont val="Tahoma"/>
            <family val="2"/>
          </rPr>
          <t xml:space="preserve">
PTT TANK</t>
        </r>
      </text>
    </comment>
    <comment ref="AZ10" authorId="1" shapeId="0" xr:uid="{00000000-0006-0000-0300-000045000000}">
      <text>
        <r>
          <rPr>
            <b/>
            <sz val="9"/>
            <color indexed="81"/>
            <rFont val="Tahoma"/>
            <family val="2"/>
          </rPr>
          <t xml:space="preserve">Quantumuser:
rev 0 = 1.9 Km3
rev1 = 0.5 Km3 cancel
</t>
        </r>
      </text>
    </comment>
    <comment ref="BJ10" authorId="2" shapeId="0" xr:uid="{00000000-0006-0000-0300-000046000000}">
      <text>
        <r>
          <rPr>
            <b/>
            <sz val="9"/>
            <color indexed="81"/>
            <rFont val="Tahoma"/>
            <family val="2"/>
          </rPr>
          <t>Windows User:</t>
        </r>
        <r>
          <rPr>
            <sz val="9"/>
            <color indexed="81"/>
            <rFont val="Tahoma"/>
            <family val="2"/>
          </rPr>
          <t xml:space="preserve">
NGL Export @MT = 1.8 Km3 clear ของ MT</t>
        </r>
      </text>
    </comment>
    <comment ref="BK10" authorId="2" shapeId="0" xr:uid="{00000000-0006-0000-0300-000047000000}">
      <text>
        <r>
          <rPr>
            <b/>
            <sz val="9"/>
            <color rgb="FF000000"/>
            <rFont val="Tahoma"/>
            <family val="2"/>
          </rPr>
          <t>Windows User:</t>
        </r>
        <r>
          <rPr>
            <sz val="9"/>
            <color rgb="FF000000"/>
            <rFont val="Tahoma"/>
            <family val="2"/>
          </rPr>
          <t xml:space="preserve">
</t>
        </r>
        <r>
          <rPr>
            <sz val="9"/>
            <color rgb="FF000000"/>
            <rFont val="Tahoma"/>
            <family val="2"/>
          </rPr>
          <t>ส่งออก</t>
        </r>
        <r>
          <rPr>
            <sz val="9"/>
            <color rgb="FF000000"/>
            <rFont val="Tahoma"/>
            <family val="2"/>
          </rPr>
          <t xml:space="preserve"> NGL to TBU 3-5 Feb
</t>
        </r>
      </text>
    </comment>
    <comment ref="CB12" authorId="3" shapeId="0" xr:uid="{74ABA495-3955-E049-8EE2-E2D22B69918F}">
      <text>
        <t xml:space="preserve">[Threaded comment]
Your version of Excel allows you to read this threaded comment; however, any edits to it will get removed if the file is opened in a newer version of Excel. Learn more: https://go.microsoft.com/fwlink/?linkid=870924
Comment:
    ได้มาจาก 24377 (oct-21) +ability เดือน nov21 ของ C3 และ LGP -ยอดขายลูกค้า C3 และ LPG </t>
      </text>
    </comment>
    <comment ref="AX13" authorId="2" shapeId="0" xr:uid="{00000000-0006-0000-0300-000048000000}">
      <text>
        <r>
          <rPr>
            <b/>
            <sz val="9"/>
            <color indexed="81"/>
            <rFont val="Tahoma"/>
            <family val="2"/>
          </rPr>
          <t>Windows User:</t>
        </r>
        <r>
          <rPr>
            <sz val="9"/>
            <color indexed="81"/>
            <rFont val="Tahoma"/>
            <family val="2"/>
          </rPr>
          <t xml:space="preserve">
ห้ามเกิน 47%</t>
        </r>
      </text>
    </comment>
    <comment ref="AY13" authorId="1" shapeId="0" xr:uid="{00000000-0006-0000-0300-000049000000}">
      <text>
        <r>
          <rPr>
            <b/>
            <sz val="9"/>
            <color indexed="81"/>
            <rFont val="Tahoma"/>
            <family val="2"/>
          </rPr>
          <t>Quantumuser:</t>
        </r>
        <r>
          <rPr>
            <sz val="9"/>
            <color indexed="81"/>
            <rFont val="Tahoma"/>
            <family val="2"/>
          </rPr>
          <t xml:space="preserve">
ไม่ควรปิดสูงกว่า 35%</t>
        </r>
      </text>
    </comment>
  </commentList>
</comments>
</file>

<file path=xl/sharedStrings.xml><?xml version="1.0" encoding="utf-8"?>
<sst xmlns="http://schemas.openxmlformats.org/spreadsheetml/2006/main" count="2449" uniqueCount="524">
  <si>
    <t>Total C2 (Ability 5rev2_16Apr'21)</t>
  </si>
  <si>
    <t>KT</t>
  </si>
  <si>
    <t>ข้อมูล v.เก่า โดยจะอยู่จะเคยข้อมูลที่ A7 มาก่อน</t>
  </si>
  <si>
    <t>แสดงข้อมูลที่หน้า Web</t>
  </si>
  <si>
    <t xml:space="preserve">Diff New - Old </t>
  </si>
  <si>
    <t>ระบบคำนวณให้</t>
  </si>
  <si>
    <t>Diff New - Old  =Total C2 (Ability 6rev0_7May'21) (ฉบับแก้ไข) KT - Total C2 (Ability 5rev2_16Apr'21)</t>
  </si>
  <si>
    <r>
      <t xml:space="preserve">คำถาม กรณีที่มี rev. ใหม่กว่าจากตัวอย่าง Total C2 (Ability 6rev0_7May'21) (ฉบับแก้ไข) </t>
    </r>
    <r>
      <rPr>
        <b/>
        <sz val="11"/>
        <color rgb="FFFF0000"/>
        <rFont val="Calibri (Body)"/>
      </rPr>
      <t>เป็น Total C2 (Ability 7rev0_7May'21) (ฉบับแก้ไข) ระบบจะต้องลบด้วย v.ล่าสุดใช่หรือไม่</t>
    </r>
  </si>
  <si>
    <t>Low CO2 (ETU 65 Ton/hr.)</t>
  </si>
  <si>
    <t>ข้อมูล v.เก่า โดยจะอยู่จะเคยข้อมูลที่  A9 มาก่อน</t>
  </si>
  <si>
    <t>Diff New - Old  =Low CO2 (ETU 65 Ton/hr.) Ton/hr. - Low CO2 (ETU 65 Ton/hr.)</t>
  </si>
  <si>
    <t>จำนวนวันของแต่ละเดือน</t>
  </si>
  <si>
    <t>แสดงข้อมูลในหน้า web ก็ได้ แต่เป็น ตัวอักษรเป็นสีส้ม</t>
  </si>
  <si>
    <t>GSP C2 Production</t>
  </si>
  <si>
    <t>Unit</t>
  </si>
  <si>
    <t>Total C2 (Ability 6rev0_7May'21) (ฉบับแก้ไข)</t>
  </si>
  <si>
    <t>ข้อมูล ability v.ล่าสุด</t>
  </si>
  <si>
    <t>มาจาก 2021_06_Ability Plan_rev0 แก้ไขเอกสารแนบ.xlsx  (Sheet ::Ability, B43)</t>
  </si>
  <si>
    <t>Ton/hr.</t>
  </si>
  <si>
    <t>Total C2 (Ability 6rev0_7May'21) (ฉบับแก้ไข) Ton/hr. = Total C2 (Ability 6rev0_7May'21) (ฉบับแก้ไข) KT/ 24 ชม /จำนวนวันของแต่ละเดือน *1000</t>
  </si>
  <si>
    <t>ข้อมูล ability v.ล่าสุด (Low CO2)</t>
  </si>
  <si>
    <t>มาจาก 2021_06_Ability Plan_rev0 แก้ไขเอกสารแนบ.xlsx  (Sheet ::Ability, B44)</t>
  </si>
  <si>
    <t>Low CO2 (ETU 65 Ton/hr.) Ton/hr. = Low CO2 (ETU 65 Ton/hr.) KT/ 24 ชม /จำนวนวันของแต่ละเดือน *1000</t>
  </si>
  <si>
    <t>แค่เว้นบรรทัดเฉยๆใช่หรือไม่ สามารถลบออกได้ไหม?</t>
  </si>
  <si>
    <t>สามารถลบข้อมูลออกได้</t>
  </si>
  <si>
    <t>Standard Rate</t>
  </si>
  <si>
    <t>ข้อมูลต้นทางมาจากไหน?</t>
  </si>
  <si>
    <t>Total C2 to GC</t>
  </si>
  <si>
    <t>กรอกข้อมูลเอง (แต่อาจจะมีการเปลี่ยนแปลงข้อมูลเอง)</t>
  </si>
  <si>
    <t>C2 Low CO2 to SCG</t>
  </si>
  <si>
    <t>GSP C2 Low CO2 Production &lt; 65 Ton/hr.</t>
  </si>
  <si>
    <t>GSP C2 Low CO2 Production &lt; 65 Ton/hr. = Total C2 (Ability 6rev0_7May'21) (ฉบับแก้ไข)	 Ton/hr. (A8) - (Total C2 to GC	Ton/hr. (A13) +C2 Low CO2 to SCG	Ton/hr. (A14))</t>
  </si>
  <si>
    <t>Allocate ลดลงตามสัดส่วน</t>
  </si>
  <si>
    <t>GC</t>
  </si>
  <si>
    <t>ไม่ต้องแสดงข้อมูลในหน้า web ก็ได้</t>
  </si>
  <si>
    <t>GC	 Ton/hr. (A18) = Total C2 to GC	 Ton/hr. (A13) / (Total C2 to GC	Ton/hr. (A13) +C2 Low CO2 to SCG	Ton/hr. (A14)) * GSP C2 Low CO2 Production &lt; 65 Ton/hr.	Ton/hr. (A16)</t>
  </si>
  <si>
    <t>SCG</t>
  </si>
  <si>
    <t>SCG	Ton/hr. (A19) =C2 Low CO2 to SCG	 Ton/hr. (A14) / (Total C2 to GC	Ton/hr. (A13) +C2 Low CO2 to SCG	Ton/hr. (A14)) * GSP C2 Low CO2 Production &lt; 65 Ton/hr.	Ton/hr. (A16)</t>
  </si>
  <si>
    <t>C2 SCG</t>
  </si>
  <si>
    <t>Get req by คุณตูน</t>
  </si>
  <si>
    <t>SCG Demand (Updated on 31/3/64)</t>
  </si>
  <si>
    <t>TON</t>
  </si>
  <si>
    <t>กรอกข้อมูลเอง 29.10.2021 คุณตูนแจ้งว่าไม่ต้องปรับได้</t>
  </si>
  <si>
    <t xml:space="preserve"> แสดงข้อมูลที่หน้า Web </t>
  </si>
  <si>
    <t>ระบบคำนวณให้ (มาจาก rate 15 ton/hr *24 ชม * จำนวนวันของเดือน / 1000)</t>
  </si>
  <si>
    <t>SCG Demand (Updated on 31/3/64) KT =SCG Demand (Updated on 31/3/64)	TON /1000</t>
  </si>
  <si>
    <t>SCG Demand (Updated on 31/3/64)	Ton/hr. =SCG Demand (Updated on 31/3/64)	KT/ 24 ชม /จำนวนวันของแต่ละเดือน *1000</t>
  </si>
  <si>
    <t>Ton/day</t>
  </si>
  <si>
    <t>SCG Demand (Updated on 31/3/64)	Ton/day =SCG Demand (Updated on 31/3/64)	 Ton/hr. * 24 ชม.</t>
  </si>
  <si>
    <t>Allo C2 Low CO2 to SCG</t>
  </si>
  <si>
    <t>ระบบคำนวณให้ User ต้องการแก้ไขข้อมูลด้วย</t>
  </si>
  <si>
    <t>Allo C2 Low CO2 to SCG	TON =Allo C2 Low CO2 to SCG 	Ton/hr. * 24 ชม.* จำนวนวันของแต่ละเดือน</t>
  </si>
  <si>
    <t>Allo C2 Low CO2 to SCG	KT = Allo C2 Low CO2 to SCG	 TON /10 ^3</t>
  </si>
  <si>
    <t>คำถาม  /10 ^3 ข้อมูลมาจากไหน</t>
  </si>
  <si>
    <t>Allo C2 Low CO2 to SCG	Ton/hr. =SCG Demand (Updated on 31/3/64)	Ton/hr. + SCG	 Ton/hr.</t>
  </si>
  <si>
    <t>Allo C2 Low CO2 to SCG	Ton/day = Allo C2 Low CO2 to SCG	Ton/hr. * 24 ชม</t>
  </si>
  <si>
    <t>C2 GC</t>
  </si>
  <si>
    <t>Allo C2 Low CO2 to GC</t>
  </si>
  <si>
    <t>Allo C2 Low CO2 to GC 	TON= Allo C2 Low CO2 to GC	Ton/hr.* 24 ชม * จำนวนวันของแต่ละเดือน</t>
  </si>
  <si>
    <t>Allo C2 High CO2 to GC</t>
  </si>
  <si>
    <t>Allo C2 High CO2 to GC	 TON =Allo C2 High CO2 to GC	Ton/hr. * 24 ชม. *จำนวนวันของแต่ละเดือน</t>
  </si>
  <si>
    <t>Total Allo to GC</t>
  </si>
  <si>
    <t>Total Allo to GC	TON =  Allo C2 Low CO2 to GC	TON +Allo C2 High CO2 to GC	TON</t>
  </si>
  <si>
    <t>Allo C2 Low CO2 to GC	KT = Allo C2 Low CO2 to GC	TON/1000</t>
  </si>
  <si>
    <t>Allo C2 High CO2 to GC	KT = Allo C2 High CO2 to GC	TON /1000</t>
  </si>
  <si>
    <t>Allo C2 Low CO2 to GC	Ton/hr. = Low CO2 (ETU 65 Ton/hr.)	Ton/hr. -Allo C2 Low CO2 to SCG	Ton/hr.</t>
  </si>
  <si>
    <t>Allo C2 High CO2 to GC	Ton/hr. = Total C2 (Ability 6rev0_7May'21) (ฉบับแก้ไข)	Ton/hr. - Low CO2 (ETU 65 Ton/hr.)	Ton/hr.</t>
  </si>
  <si>
    <t>Total C2 to GC	Ton/hr. =Allo C2 Low CO2 to GC	Ton/hr. - Allo C2 High CO2 to GC	Ton/hr.</t>
  </si>
  <si>
    <t xml:space="preserve">Balance Total C2 </t>
  </si>
  <si>
    <t>Balance Total C2  	KT =Total C2 (Ability 6rev0_7May'21) (ฉบับแก้ไข) 	KT - Allo C2 Low CO2 to GC	 KT-Allo C2 High CO2 to GC	 KT-Allo C2 Low CO2 to SCG	 KT</t>
  </si>
  <si>
    <t>Balance C2 Low CO2</t>
  </si>
  <si>
    <t>Balance C2 Low CO2	 KT =Low CO2 (ETU 65 Ton/hr.)	KT -Allo C2 Low CO2 to SCG	 KT-Allo C2 Low CO2 to GC	 KT</t>
  </si>
  <si>
    <t>kt</t>
  </si>
  <si>
    <t>ton</t>
  </si>
  <si>
    <t>กระจาย volume (KT)แบบรายเดือน</t>
  </si>
  <si>
    <t>O1</t>
  </si>
  <si>
    <t>ต้องสามารถแก้ไขข้อมูลเสร็จแล้วสามารถส่งข้อมูล รันโมเดลได้เลย</t>
  </si>
  <si>
    <t>O2</t>
  </si>
  <si>
    <t>อยากเห็นข้อมูล Last update ล่าสุดเมื่อไหร่</t>
  </si>
  <si>
    <t>O3</t>
  </si>
  <si>
    <t>กระจาย volume (KT) แบบรายวัน</t>
  </si>
  <si>
    <t>29.10.2021</t>
  </si>
  <si>
    <t>user เน้น หน่วย KT ให้การแก้ไขเป็นหลัก</t>
  </si>
  <si>
    <t>กรอกข้อมูลเอง</t>
  </si>
  <si>
    <t>ไม่คำนวณที่ไหนเลย</t>
  </si>
  <si>
    <t>ระบบคำนวณให้ / สามารถกำหนดข้อมูลเองได้ (29/10/21)</t>
  </si>
  <si>
    <t xml:space="preserve">ระบบคำนวณให้ </t>
  </si>
  <si>
    <t>user k.ตูน เน้น หน่วย KT ในการดู ข้อมูล</t>
  </si>
  <si>
    <t xml:space="preserve">**ทีมอยากให้เป็นในแนวทาร user กรอกข้อมูล ทาง SCG  (ROW 26) </t>
  </si>
  <si>
    <t>01.11.2021</t>
  </si>
  <si>
    <t>คุณเตย คุณตูน คอมเฟิม ให้ระบบสามารถกรอกข้อมูลได้ดังนี้
row 22 ถ้ากรอกข้อมูลที่ row 22 ระบบจะต้องคำนวณ row 26-29
row 26 ถ้าแก้ไขข้อมูล ระบบจะไม่คำนวณที่ row 22-25</t>
  </si>
  <si>
    <t>เดือน - ปี</t>
  </si>
  <si>
    <t>GSP RY</t>
  </si>
  <si>
    <t xml:space="preserve">Supply </t>
  </si>
  <si>
    <t>Supply GSP RY =GSP RY Production + GC Production +Import</t>
  </si>
  <si>
    <t>GSP RY Production</t>
  </si>
  <si>
    <t>อ้างอิงจาก Sheet :: C3LPG ,A59 (C3/LPG GSP RY)</t>
  </si>
  <si>
    <t>GC Production</t>
  </si>
  <si>
    <t>อ้างอิงจาก Sheet :: C3LPG ,A61 (GC)</t>
  </si>
  <si>
    <t>Import</t>
  </si>
  <si>
    <t>อ้างอิงจาก Sheet :: C3LPG ,A8 (Import จ่ายแทน GSP)</t>
  </si>
  <si>
    <t>Demand</t>
  </si>
  <si>
    <t>Demand GSP RY = แผนขาย Petro + จ่าย Domestic + รอขายเพิ่ม</t>
  </si>
  <si>
    <t>แผนขาย Petro</t>
  </si>
  <si>
    <t>อ้างอิงจาก Sheet :: C3LPG ,A160 (Demand Petro)</t>
  </si>
  <si>
    <t>จ่าย Domestic</t>
  </si>
  <si>
    <t>จ่าย Domestic = PTT Tank + MT&amp;BRP (Vary) +GSP RY</t>
  </si>
  <si>
    <t>- PTT Tank</t>
  </si>
  <si>
    <t>อ้างอิงจาก Sheet :: C3LPG ,A164 (All Source, M.7 LPG Total Demand, PTT TANK)</t>
  </si>
  <si>
    <t>- MT&amp;BRP (Vary)</t>
  </si>
  <si>
    <t>อ้างอิงจาก Sheet :: C3LPG ,A165 (All Source, M.7 LPG Total Demand, MT+BRP)</t>
  </si>
  <si>
    <t>- GSP RY</t>
  </si>
  <si>
    <t>อ้างอิงจาก Sheet :: C3LPG ,A166 (GSP RY, M.7 C3+LPG Total Demand, หน้า GSP RY)</t>
  </si>
  <si>
    <t>รอขายเพิ่ม</t>
  </si>
  <si>
    <t>อ้างอิงจาก Sheet :: C3LPG ,A9 (รอจำหน่าย)</t>
  </si>
  <si>
    <t>GSP RY Ending Inventory</t>
  </si>
  <si>
    <t>อ้างอิงจาก Sheet :: C3LPG ,AO2 (C3/LPG End Inventory / 1000)</t>
  </si>
  <si>
    <t>MT&amp;BRP</t>
  </si>
  <si>
    <t>Supply  MT&amp;BRP = GSP + Import</t>
  </si>
  <si>
    <t>GSP</t>
  </si>
  <si>
    <t>GSP = MT&amp;BRP (Vary).  (A11)</t>
  </si>
  <si>
    <t>Import =  GSP ดึงจ่าย import  + Re-Export</t>
  </si>
  <si>
    <t xml:space="preserve">- GSP ดึงจ่าย import </t>
  </si>
  <si>
    <t>GSP ดึงจ่าย import = Import (A6)</t>
  </si>
  <si>
    <t>- Re-Export</t>
  </si>
  <si>
    <t>Re-Export = TBU ดึง Import ขาย Re-Export + GSP ดึง Import ขาย Re-Export (Vessel) + GSP ดึง Import ขาย Re-Export (Truck)</t>
  </si>
  <si>
    <t>Demand MT&amp;BRP = Domestic + \Re-Export</t>
  </si>
  <si>
    <t xml:space="preserve">Domestic </t>
  </si>
  <si>
    <t>Domestic =MT&amp;BRP (Vary) (A11)</t>
  </si>
  <si>
    <t>Re-Export</t>
  </si>
  <si>
    <t>- TBU ดึง Import ขาย Re-Export</t>
  </si>
  <si>
    <t>- GSP ดึง Import ขาย Re-Export (Vessel)</t>
  </si>
  <si>
    <t>- GSP ดึง Import ขาย Re-Export (Truck)</t>
  </si>
  <si>
    <t>BRP Ending Inventory</t>
  </si>
  <si>
    <t>ข้อมูลตั้งแต่มาจากไหน ? จากการตรวจสอบพบว่าเป็นข้อมูลของเดือนก่อนหน้า หรือ เป็นข้อมูลที่คีย์เข้ามาเอง</t>
  </si>
  <si>
    <t>MT-Sphere Ending Inventory</t>
  </si>
  <si>
    <t>MT-C3 Refig Ending Inventory</t>
  </si>
  <si>
    <t>MT-C4 Refig Ending Inventory</t>
  </si>
  <si>
    <t>MT-C3 Refig Ending Inventory (LIFE)</t>
  </si>
  <si>
    <t xml:space="preserve">ข้อมูลตั้งแต่มาจากไหน ? </t>
  </si>
  <si>
    <t>MT-C4 Refig Ending Inventory (LIFE)</t>
  </si>
  <si>
    <t>MT-C4 Refig Ending Inventory (LIFE) =MT-C3 Refig Ending Inventory (LIFE) ของเดือนก่อนหน้า + MT-C4 Refig Ending Inventory (LIFE)ของเดือนก่อนหน้า + Import Cargo ของเดือนปัจจุบัน - Re-Export  ของเดือนปัจจุบัน -GSP ดึงจ่าย import ของเดือนปัจจุบัน</t>
  </si>
  <si>
    <t>Import Cargo</t>
  </si>
  <si>
    <r>
      <t xml:space="preserve">Closing stock @GSP+MT+BRP (LR) </t>
    </r>
    <r>
      <rPr>
        <b/>
        <sz val="10"/>
        <rFont val="Tahoma"/>
        <family val="2"/>
        <scheme val="minor"/>
      </rPr>
      <t>(min กม. 19 KT/ internal LR 36 KT)</t>
    </r>
  </si>
  <si>
    <t>Closing stock @GSP+MT+BRP (LR) (min กม. 19 KT/ internal LR 36 KT) = (BRP Ending Inventory +MT-Sphere Ending Inventory + MT-C3 Refig Ending Inventory + MT-C4 Refig Ending Inventory + MT-C3 Refig Ending Inventory (LIFE) +MT-C4 Refig Ending Inventory (LIFE)) + GSP RY Ending Inventory</t>
  </si>
  <si>
    <t>Term import</t>
  </si>
  <si>
    <t>-</t>
  </si>
  <si>
    <t>GSP need</t>
  </si>
  <si>
    <t>GSP need =  Import Cargo -  TBU ดึง Import ขาย Re-Export</t>
  </si>
  <si>
    <t>Total LR (GSP RY+MT+BRP)</t>
  </si>
  <si>
    <t>Total LR (GSP RY+MT+BRP) =  Closing stock @GSP+MT+BRP (LR) (min กม. 19 KT/ internal LR 36 KT)</t>
  </si>
  <si>
    <t>Stock (GSP RY+MT+BRP)</t>
  </si>
  <si>
    <t>Stock (GSP RY+MT+BRP) = Total LR (GSP RY+MT+BRP) - Import Cargo</t>
  </si>
  <si>
    <t>Import Cargo =  Import Cargo (A33)</t>
  </si>
  <si>
    <t xml:space="preserve">LR by Legal </t>
  </si>
  <si>
    <t>LR by Legal =5+14 มาจากไหน ?</t>
  </si>
  <si>
    <t>LR by Internal Control</t>
  </si>
  <si>
    <t>LR by Internal Control =19+17 มาจากไหน ?</t>
  </si>
  <si>
    <t xml:space="preserve">ไม่ต้องแสดงข้อมูลในหน้า web </t>
  </si>
  <si>
    <t>ระบบดึงข้อมูลมา</t>
  </si>
  <si>
    <r>
      <t xml:space="preserve">ระบบดึงข้อมูลมา </t>
    </r>
    <r>
      <rPr>
        <strike/>
        <sz val="11"/>
        <rFont val="Calibri (Body)"/>
      </rPr>
      <t>C3LPG แต่ user ไม่ใช้งานข้อมูลนี้แล้ว</t>
    </r>
  </si>
  <si>
    <t>กรอกข้อมูลเอง ตั้งต้นข้อมูลที่ 1.5</t>
  </si>
  <si>
    <t>ข้อมูลจาก เมย์ ending month</t>
  </si>
  <si>
    <t>วางให้ถูกเดือน / ปี</t>
  </si>
  <si>
    <t>กรอกข้อมูลเอง ตั้งต้นข้อมูลที่ 1.80</t>
  </si>
  <si>
    <t>กรอกข้อมูลเอง (user จะกรอกข้อมูลเดือนที่จบไปให้แล้วและให้ระบบดึงข้อมูลจากเดือนที่จบไปแล้วมาแสดงให้)</t>
  </si>
  <si>
    <t>กรอกข้อมูลเอง จะได้ข้อมูลจากเดือนที่จบไปแล้ว เท่านั้น</t>
  </si>
  <si>
    <t>Import Cargo to MT Port</t>
  </si>
  <si>
    <r>
      <t xml:space="preserve">ไม่รวม GC รายย้อน </t>
    </r>
    <r>
      <rPr>
        <b/>
        <sz val="11"/>
        <color rgb="FF92D050"/>
        <rFont val="Calibri (Body)"/>
      </rPr>
      <t>ระบบคำนวณให้</t>
    </r>
  </si>
  <si>
    <r>
      <t xml:space="preserve">Closing stock @GSP+MT+BRP (LR) </t>
    </r>
    <r>
      <rPr>
        <b/>
        <sz val="10"/>
        <rFont val="Tahoma"/>
        <family val="2"/>
        <scheme val="minor"/>
      </rPr>
      <t>(min กม. 22.03 KT/ internal LR 39.03 KT) 37.6 /54.6</t>
    </r>
  </si>
  <si>
    <t xml:space="preserve">ระบบดึงข้อมูลมา </t>
  </si>
  <si>
    <t>Import Cargo of PTT</t>
  </si>
  <si>
    <r>
      <t xml:space="preserve">ข้อมูลตั้งแต่มาจากไหน ? </t>
    </r>
    <r>
      <rPr>
        <sz val="11"/>
        <color rgb="FF92D050"/>
        <rFont val="Calibri (Body)"/>
      </rPr>
      <t xml:space="preserve">  จากการรัน optimize</t>
    </r>
  </si>
  <si>
    <t>22/22</t>
  </si>
  <si>
    <t>11/-11</t>
  </si>
  <si>
    <t>user อยากได้เป็น ช่องสำหรับ remark ข้อมูล แต่ยังไม่ได้มีการนำไปแสดงที่ฟังก์ชันอื่นๆ</t>
  </si>
  <si>
    <t>C3 to SCG</t>
  </si>
  <si>
    <t>C3 to GC</t>
  </si>
  <si>
    <t>จำนวนวัน</t>
  </si>
  <si>
    <t>Balance C3/LPG</t>
  </si>
  <si>
    <t>Supply Source</t>
  </si>
  <si>
    <t>C3/LPG Tank capacity (47,475.6 TON)</t>
  </si>
  <si>
    <t>9-11</t>
  </si>
  <si>
    <t>C3/LPG End Inventory</t>
  </si>
  <si>
    <t>กรอกข้อมูลเองเดือนปัจจุบัน และในเดือนถัดไประบบจะคำนวณให้</t>
  </si>
  <si>
    <t>12-15</t>
  </si>
  <si>
    <t>% C3/LPG Inventory</t>
  </si>
  <si>
    <t>%</t>
  </si>
  <si>
    <t>SUM Y2021</t>
  </si>
  <si>
    <t>Import จ่ายแทน GSP</t>
  </si>
  <si>
    <t>รอจำหน่าย</t>
  </si>
  <si>
    <t>ดึง Unknow untax</t>
  </si>
  <si>
    <t>ดึง Import จ่ายเพิ่ม</t>
  </si>
  <si>
    <t>chalida ไม่แสดงแปลว่าจะไม่ได้ใช้ค่านี้กับการคำนวณใดๆใช่หรือไม่</t>
  </si>
  <si>
    <t>Balance C3</t>
  </si>
  <si>
    <t>C3 Tank capacity (10,820.4 TON)</t>
  </si>
  <si>
    <t>C3 End Inventory</t>
  </si>
  <si>
    <t>Cross to LPG (normal cross C3 to aerosol 1,000 Ton/เดือน)</t>
  </si>
  <si>
    <t>กรอกข้อมูลเองเดือนปัจจุบัน (ให้ระบบตั้งไว้ที่ 3,000)</t>
  </si>
  <si>
    <t>chalida คำนวณเดือนถัดไปจากสูตรการคำนวณ อะไร บวกลบอะไร?</t>
  </si>
  <si>
    <t>% Inventory</t>
  </si>
  <si>
    <t>ไม่ต่ำกว่า 50% ไม่เกิน 85%</t>
  </si>
  <si>
    <t xml:space="preserve">Balance C3 (Directly) --&gt; (-) ผลิตน้อยกว่าขาย </t>
  </si>
  <si>
    <t>SUM Y2022</t>
  </si>
  <si>
    <t>Balance LPG</t>
  </si>
  <si>
    <t>LPG Tank capacity (36,655.2 TON)</t>
  </si>
  <si>
    <t>LPG End Inventory</t>
  </si>
  <si>
    <t>% Inventory (&lt;30% จจ. พิจารณาดึง import แทน C3 Cross to LPG)</t>
  </si>
  <si>
    <t>Balance LPG Petro (ประมาณ 54 KT check เดือนต่อเดือน)</t>
  </si>
  <si>
    <t>LPG Petro Tank capacity (11,502 TON)</t>
  </si>
  <si>
    <t>LPG Petro End Inventory</t>
  </si>
  <si>
    <t>LPG Petro Cross to LPG Dom</t>
  </si>
  <si>
    <t>กรอกข้อมูลเอง (ให้ระบบตั้งไว้ที่ 3,000)</t>
  </si>
  <si>
    <t>% LPG Petro Inventory (&gt;30%)</t>
  </si>
  <si>
    <t>Balance LPG Dom</t>
  </si>
  <si>
    <t>LPG Dom Tank capacity (25,153.2 TON)</t>
  </si>
  <si>
    <t>LPG Dom End Inventory</t>
  </si>
  <si>
    <t>% LPG Dom Inventory (&gt;30%)</t>
  </si>
  <si>
    <t>Supply</t>
  </si>
  <si>
    <t>Old</t>
  </si>
  <si>
    <t>Updated</t>
  </si>
  <si>
    <t>User ต้องการดูข้อมูล v. ไหนก็ได้ เพื่อเปรียบเทียบข้อมูล กับ row ที่55-63 โดย user ต้องการเลือกได้ เช่น Ability RY v. อะไรก็ได้ ,Ability โรงกลั่น v อะไรก็ได้, Ability ขนอม v อะไรก็ได้</t>
  </si>
  <si>
    <t>C3 GSP RY</t>
  </si>
  <si>
    <t>Ability 11rev2_14Oct'21</t>
  </si>
  <si>
    <t>LPG GSP RY</t>
  </si>
  <si>
    <t>LPG GSP RY - Petro</t>
  </si>
  <si>
    <t>LPG GSP RY - Dom</t>
  </si>
  <si>
    <t>C3/LPG GSP RY</t>
  </si>
  <si>
    <t>IRPC</t>
  </si>
  <si>
    <t>SPRC</t>
  </si>
  <si>
    <t xml:space="preserve">PTTEP/LKB </t>
  </si>
  <si>
    <t>GSP KHM</t>
  </si>
  <si>
    <t>Total Supply</t>
  </si>
  <si>
    <t>Lastest</t>
  </si>
  <si>
    <t>Ability 11rev3_20Oct'21</t>
  </si>
  <si>
    <t>Actual + Est</t>
  </si>
  <si>
    <t>C3 to Petro</t>
  </si>
  <si>
    <t>Import C3</t>
  </si>
  <si>
    <t>Import C4</t>
  </si>
  <si>
    <t>LPG</t>
  </si>
  <si>
    <t>Est</t>
  </si>
  <si>
    <t>Actual</t>
  </si>
  <si>
    <t>Diff</t>
  </si>
  <si>
    <t>Petro</t>
  </si>
  <si>
    <t>Dom</t>
  </si>
  <si>
    <t>เพื่อใส่ใน New balance</t>
  </si>
  <si>
    <t>PTTOR</t>
  </si>
  <si>
    <t>chalida ไม่แสดงแต่ดูแล้วข้อมูลมาจากการคำนวณมีผลกับ Stock หรือไม่?</t>
  </si>
  <si>
    <t>SGP</t>
  </si>
  <si>
    <t>UGP</t>
  </si>
  <si>
    <t>MT</t>
  </si>
  <si>
    <t>MT (หัก import แล้ว)</t>
  </si>
  <si>
    <t>เพื่อดูไฟล์ Daily LPG GSP to MT/BRP/PTT TANK</t>
  </si>
  <si>
    <t>(LPG GSP to MT,BRP)-GC-import</t>
  </si>
  <si>
    <t>ระบบดึงมาจาก Depot MT + BRP =120</t>
  </si>
  <si>
    <t>ระบบดึงมาจาก Depot PTT TANK =53</t>
  </si>
  <si>
    <t>เพื่อดู Limit max cap ท่อ</t>
  </si>
  <si>
    <t>LPG limit @MT/BRP 184 KT</t>
  </si>
  <si>
    <t>ระบบดึงมาจาก Depot C3 Reverse =75 ผลรวม row 95+96</t>
  </si>
  <si>
    <t>เพื่อดู การเสนอราคา import to PTTOR</t>
  </si>
  <si>
    <t>LPG GSP RY + KHM (156 + 5%) 161 KT</t>
  </si>
  <si>
    <t>C3 import</t>
  </si>
  <si>
    <t>C3 รายย้อน</t>
  </si>
  <si>
    <t>SCG (Sum C3)</t>
  </si>
  <si>
    <t>Ac unit rate</t>
  </si>
  <si>
    <t>ตัด AC ให้ได้ตาม Unit Run</t>
  </si>
  <si>
    <t>GC group ที่ต้องลดขาย</t>
  </si>
  <si>
    <t>GC (C3/LPG)</t>
  </si>
  <si>
    <t>Customer</t>
  </si>
  <si>
    <t>Source</t>
  </si>
  <si>
    <t>Delivery Point</t>
  </si>
  <si>
    <t>GC (C3)</t>
  </si>
  <si>
    <t xml:space="preserve">ระบบดึงข้อมูลให้ rev.0 และ สามารถแก้ไขได้ </t>
  </si>
  <si>
    <t>GC (LPG)</t>
  </si>
  <si>
    <t>SCG (C3)</t>
  </si>
  <si>
    <t>MOC (Sub C3)</t>
  </si>
  <si>
    <t>SCG/ROC (LPG)</t>
  </si>
  <si>
    <t>HMC (C3)</t>
  </si>
  <si>
    <t>PTTAC (C3)</t>
  </si>
  <si>
    <t>PTTAC (C3 Spot)</t>
  </si>
  <si>
    <t>M.7</t>
  </si>
  <si>
    <t>PTTOR (C3)</t>
  </si>
  <si>
    <t>PTTOR (LPG ไม่มีกลิ่น)</t>
  </si>
  <si>
    <t>MT ก่อนหัก import</t>
  </si>
  <si>
    <t>Nom Aug</t>
  </si>
  <si>
    <t>P Pom commit</t>
  </si>
  <si>
    <t xml:space="preserve">BRP </t>
  </si>
  <si>
    <t>PTT TANK</t>
  </si>
  <si>
    <t>PTT TANK (Truck)</t>
  </si>
  <si>
    <t>BCP</t>
  </si>
  <si>
    <t>Adjust</t>
  </si>
  <si>
    <t>Big gas</t>
  </si>
  <si>
    <t>PAP</t>
  </si>
  <si>
    <t>เทียบราคา</t>
  </si>
  <si>
    <t>เป็นราคาใหม่</t>
  </si>
  <si>
    <t>WP</t>
  </si>
  <si>
    <t>Chevron</t>
  </si>
  <si>
    <t>Atlas</t>
  </si>
  <si>
    <t>ESSO</t>
  </si>
  <si>
    <t>UNO</t>
  </si>
  <si>
    <t>Orchid</t>
  </si>
  <si>
    <t xml:space="preserve">SPRC </t>
  </si>
  <si>
    <t>PTTEP (LKB)</t>
  </si>
  <si>
    <t>PTTEP/LKB (Truck)</t>
  </si>
  <si>
    <t>SUM</t>
  </si>
  <si>
    <t>Demand Petro</t>
  </si>
  <si>
    <t>Petro M.7</t>
  </si>
  <si>
    <t>GC+ROC</t>
  </si>
  <si>
    <t>Petro Non M.7</t>
  </si>
  <si>
    <t>HMC+PTTAC</t>
  </si>
  <si>
    <t>Demand M.7</t>
  </si>
  <si>
    <t>All Source</t>
  </si>
  <si>
    <t>M.7 C3+LPG Total Demand</t>
  </si>
  <si>
    <t>All Delivery Point</t>
  </si>
  <si>
    <t>M.7 LPG Total Demand</t>
  </si>
  <si>
    <t>MT+BRP</t>
  </si>
  <si>
    <t>หน้า GSP RY</t>
  </si>
  <si>
    <t>C3 Reverse Pipeline</t>
  </si>
  <si>
    <t>ระบบดึงมาจาก Depot C3 Reverse Pipeline =75 ผลรวม row 97+98</t>
  </si>
  <si>
    <t>MT+BRP+PTT TANK-GC IMPORT</t>
  </si>
  <si>
    <t>เท่ากับ row 90</t>
  </si>
  <si>
    <t>SPRC+EP+KHM</t>
  </si>
  <si>
    <t>All Refinery</t>
  </si>
  <si>
    <r>
      <t xml:space="preserve">M.7 </t>
    </r>
    <r>
      <rPr>
        <b/>
        <sz val="11"/>
        <color theme="1"/>
        <rFont val="Tahoma"/>
        <family val="2"/>
        <scheme val="minor"/>
      </rPr>
      <t xml:space="preserve">LPG Total Demand </t>
    </r>
  </si>
  <si>
    <r>
      <rPr>
        <b/>
        <sz val="11"/>
        <color theme="1"/>
        <rFont val="Tahoma"/>
        <family val="2"/>
        <scheme val="minor"/>
      </rPr>
      <t>PTTOR</t>
    </r>
    <r>
      <rPr>
        <sz val="11"/>
        <color theme="1"/>
        <rFont val="Tahoma"/>
        <family val="2"/>
        <scheme val="minor"/>
      </rPr>
      <t xml:space="preserve"> C3+LPG Total Demand</t>
    </r>
  </si>
  <si>
    <r>
      <rPr>
        <b/>
        <sz val="8"/>
        <color theme="0" tint="-0.499984740745262"/>
        <rFont val="Tahoma"/>
        <family val="2"/>
        <scheme val="minor"/>
      </rPr>
      <t>PTTOR</t>
    </r>
    <r>
      <rPr>
        <sz val="8"/>
        <color theme="0" tint="-0.499984740745262"/>
        <rFont val="Tahoma"/>
        <family val="2"/>
        <scheme val="minor"/>
      </rPr>
      <t xml:space="preserve"> C3+LPG หัก C3 Truck/Ordourant</t>
    </r>
  </si>
  <si>
    <r>
      <rPr>
        <b/>
        <sz val="11"/>
        <color theme="1"/>
        <rFont val="Tahoma"/>
        <family val="2"/>
        <scheme val="minor"/>
      </rPr>
      <t xml:space="preserve">SGP+UGP </t>
    </r>
    <r>
      <rPr>
        <sz val="11"/>
        <color theme="1"/>
        <rFont val="Tahoma"/>
        <family val="2"/>
        <scheme val="minor"/>
      </rPr>
      <t>LPG Total Demand</t>
    </r>
  </si>
  <si>
    <r>
      <rPr>
        <b/>
        <sz val="11"/>
        <color theme="1"/>
        <rFont val="Tahoma"/>
        <family val="2"/>
        <scheme val="minor"/>
      </rPr>
      <t xml:space="preserve">PAP </t>
    </r>
    <r>
      <rPr>
        <sz val="11"/>
        <color theme="1"/>
        <rFont val="Tahoma"/>
        <family val="2"/>
        <scheme val="minor"/>
      </rPr>
      <t>LPG Total Demand</t>
    </r>
  </si>
  <si>
    <r>
      <rPr>
        <b/>
        <sz val="11"/>
        <color theme="1"/>
        <rFont val="Tahoma"/>
        <family val="2"/>
        <scheme val="minor"/>
      </rPr>
      <t xml:space="preserve">WP </t>
    </r>
    <r>
      <rPr>
        <sz val="11"/>
        <color theme="1"/>
        <rFont val="Tahoma"/>
        <family val="2"/>
        <scheme val="minor"/>
      </rPr>
      <t>LPG Total Demand</t>
    </r>
  </si>
  <si>
    <r>
      <rPr>
        <b/>
        <sz val="11"/>
        <color theme="1"/>
        <rFont val="Tahoma"/>
        <family val="2"/>
        <scheme val="minor"/>
      </rPr>
      <t xml:space="preserve">Chevron </t>
    </r>
    <r>
      <rPr>
        <sz val="11"/>
        <color theme="1"/>
        <rFont val="Tahoma"/>
        <family val="2"/>
        <scheme val="minor"/>
      </rPr>
      <t>LPG Total Demand</t>
    </r>
  </si>
  <si>
    <r>
      <rPr>
        <b/>
        <sz val="11"/>
        <color theme="1"/>
        <rFont val="Tahoma"/>
        <family val="2"/>
        <scheme val="minor"/>
      </rPr>
      <t xml:space="preserve">BCP </t>
    </r>
    <r>
      <rPr>
        <sz val="11"/>
        <color theme="1"/>
        <rFont val="Tahoma"/>
        <family val="2"/>
        <scheme val="minor"/>
      </rPr>
      <t>LPG Total Demand</t>
    </r>
  </si>
  <si>
    <r>
      <rPr>
        <b/>
        <sz val="11"/>
        <color theme="1"/>
        <rFont val="Tahoma"/>
        <family val="2"/>
        <scheme val="minor"/>
      </rPr>
      <t xml:space="preserve">Big Gas </t>
    </r>
    <r>
      <rPr>
        <sz val="11"/>
        <color theme="1"/>
        <rFont val="Tahoma"/>
        <family val="2"/>
        <scheme val="minor"/>
      </rPr>
      <t>LPG Total Demand</t>
    </r>
  </si>
  <si>
    <r>
      <rPr>
        <b/>
        <sz val="11"/>
        <color theme="1"/>
        <rFont val="Tahoma"/>
        <family val="2"/>
        <scheme val="minor"/>
      </rPr>
      <t xml:space="preserve">Atlas </t>
    </r>
    <r>
      <rPr>
        <sz val="11"/>
        <color theme="1"/>
        <rFont val="Tahoma"/>
        <family val="2"/>
        <scheme val="minor"/>
      </rPr>
      <t>LPG Total Demand</t>
    </r>
  </si>
  <si>
    <t>Demand Petro + M.7</t>
  </si>
  <si>
    <t>All</t>
  </si>
  <si>
    <t xml:space="preserve">Total Demand Petro + M.7 </t>
  </si>
  <si>
    <t>Check</t>
  </si>
  <si>
    <t>จะเท่ากับ row 173</t>
  </si>
  <si>
    <t>volume  ที่ optimize มาต้องได้ เป็นค่า 0</t>
  </si>
  <si>
    <t>volume  ที่ optimize มาต้องได้ เป็นค่า 1</t>
  </si>
  <si>
    <t>volume  ที่ optimize มาต้องได้ เป็นค่า 2</t>
  </si>
  <si>
    <t>volume  ที่ optimize มาต้องได้ เป็นค่า 3</t>
  </si>
  <si>
    <t>เสนอ import OR (+)</t>
  </si>
  <si>
    <t>SUM PTTAC</t>
  </si>
  <si>
    <t>-ลืมถาม user ในส่วนของ การกรอกข้อมูล</t>
  </si>
  <si>
    <t>-End Inventory ทางคุณเตยจะกรอกแค่ข้อมูลเดือนend-1 หรือว่า ต้องการสามารถ copy past 12 เดือนได้เลย</t>
  </si>
  <si>
    <t>C3/LPG End Inventory / 1000</t>
  </si>
  <si>
    <t>คำถาม อันนี้คือค่าอะไร</t>
  </si>
  <si>
    <t>เอาข้อมูลมาจากไฟล์ GSP Tank Capacity row 2 (C3/LPG Tank capacity (47,475.6 TON))</t>
  </si>
  <si>
    <t>เป็นการปิดถังเฉพาะ GSP ไม่เกิน 40%</t>
  </si>
  <si>
    <t>% C3/LPG Inventory = C3/LPG End Inventory / C3/LPG Tank capacity (47,475.6 TON)</t>
  </si>
  <si>
    <t xml:space="preserve">กรอกข้อมูลเอง ระบบจะตั้งต้นให้ที่ค่า 38 </t>
  </si>
  <si>
    <t>ข้อมูลตั้งต้นมาจากไฟล์ calc_margin sheet volume ของ Product C3, LPG (ที่Source = import ทุกรายการใช่หรือไม่)</t>
  </si>
  <si>
    <t>ข้อมูลตั้งต้นมาจากไหน / 08.11.2021 คุณเตย ทำไว้เพื่อดูข้อมูลBalance ถังว่าต้องขายอีกเท่าไหร่ถึงจะ Balance</t>
  </si>
  <si>
    <t>ใน rev.0 จะไม่แสดงข้อมูล แต่ user จะเป็นคนกรอกข้อมูลเองใน rev. 1 เป็นต้นไป</t>
  </si>
  <si>
    <t>ข้อมูลตั้งต้นมาจากไหน</t>
  </si>
  <si>
    <t>เอาข้อมูลมาจากไฟล์ GSP Tank Capacity row 3 (C3 Tank capacity (10,820.4 TON))</t>
  </si>
  <si>
    <t>C3 End Inventory = C3 End Inventory ของเดือนก่อนหน้า - Cross to LPG (normal cross C3 to aerosol 1,000 Ton/เดือน) ของเดือนปัจจุบัน + ((C3 GSP RY (A55) - GSP RY GC (C3) GSP RY (A97) - GSP RY	MOC (Sub C3)	GSP RY (A100)-GSP RY	SCG (C3)	GSP RY (A99)-GSP RY	MOC (Sub C3)	GSP RY(A100) - GSP RY	HMC (C3)	GSP RY (A102) -  GSP RY	PTTAC (C3)	GSP RY (A103)-GSP RY	PTTAC (C3 Spot)	GSP RY (A104) - GSP RY	PTTOR (C3)	GSP RY (A105))*1000)</t>
  </si>
  <si>
    <t>% Inventory = C3 End Inventory / C3 Tank capacity (10,820.4 TON)</t>
  </si>
  <si>
    <t>Balance C3 (Directly) --&gt; (-) ผลิตน้อยกว่าขาย  = C3 GSP RY (A55) - GSP RY GC (C3) GSP RY (A97) - GSP RY	SCG (C3)	GSP RY (A99) - GSP RY	HMC (C3)	GSP RY (A102) -  GSP RY	PTTAC (C3)	GSP RY (A103) - GSP RY	PTTOR (C3)	GSP RY (A105)</t>
  </si>
  <si>
    <t>เอาข้อมูลมาจากไฟล์ GSP Tank Capacity row 4 (LPG Tank capacity (36,655.2 TON))</t>
  </si>
  <si>
    <t>LPG End Inventory = LPG End Inventory ของเดือนก่อนหน้า + Cross to LPG (normal cross C3 to aerosol 1,000 Ton/เดือน) ของเดือนปัจจุบัน +((AO56+AO61+AO8-AO9+AO10-AO98-AO101-AO106-AO107-AO108-AO109-AO110-AO111-AO112-AO113-AO114-AO115-AO116-AO117-AO118-AO119-AO120-AO121-AO122-AO123-AO124-AO125-AO126-AO127-AO128-AO129-AO130-AO131-AO135-AO136-AO137-AO138-AO139-AO140-AO141-AO142-AO143-AO144-AO145-AO146-AO147-AO148-AO149-AO150-AO151)*1000)</t>
  </si>
  <si>
    <t>% Inventory (&lt;30% จจ. พิจารณาดึง import แทน C3 Cross to LPG) =LPG End Inventory /LPG Tank capacity (36,655.2 TON)</t>
  </si>
  <si>
    <t>เอาข้อมูลมาจากไฟล์ GSP Tank Capacity row 5 (LPG Petro Tank capacity (11,502 TON))</t>
  </si>
  <si>
    <t>LPG Petro End Inventory = LPG Petro End Inventory ของเดือนก่อนหน้า - LPG Petro Cross to LPG Dom ของเดือนปัจจุบัน +(LPG GSP RY - Petro (A57) - GSP RY	GC (LPG)	GSP RY (A98) -  GSP RY	SCG/ROC (LPG)	GSP RY (A101))*1000</t>
  </si>
  <si>
    <t>08.11.2021 คุณเตย note ไว้ ขอให้คำตอบครั้งหน้า</t>
  </si>
  <si>
    <t>% LPG Petro Inventory (&gt;30%) =LPG Petro End Inventory / LPG Petro Tank capacity (11,502 TON)</t>
  </si>
  <si>
    <t>เอาข้อมูลมาจากไฟล์ GSP Tank Capacity row 6 (LPG Dom Tank capacity (25,153.2 TON))</t>
  </si>
  <si>
    <t>LPG Dom End Inventory =  LPG Dom End Inventory ของเดือนก่อนหน้า +  Cross to LPG (normal cross C3 to aerosol 1,000 Ton/เดือน) + LPG Petro Cross to LPG Dom + ((AO58+AO61+AO8-AO9+AO10-AO106-AO107-AO108-AO109-AO110-AO111-AO112-AO113-AO114-AO115-AO116-AO117-AO118-AO119-AO120-AO121-AO122-AO123-AO124-AO125-AO126-AO127-AO128-AO129-AO130-AO131-AO135-AO136-AO137-AO138-AO139-AO140-AO141-AO142-AO143-AO144-AO145-AO146-AO147-AO148-AO149-AO150-AO151)*1000)</t>
  </si>
  <si>
    <t>% LPG Dom Inventory (&gt;30%) = LPG Dom End Inventory / LPG Dom Tank capacity (25,153.2 TON)</t>
  </si>
  <si>
    <t>Ability 5rev2_16Apr'21</t>
  </si>
  <si>
    <t>Total Supply = C3/LPG GSP RY (A46) + IRPC (A47)+ GC (A48) +SPRC (A49) + PTTEP/LKB (A50)  + GSP KHM (A51)</t>
  </si>
  <si>
    <r>
      <t>Lastest =</t>
    </r>
    <r>
      <rPr>
        <b/>
        <sz val="11"/>
        <color rgb="FF0000FF"/>
        <rFont val="Tahoma"/>
        <family val="2"/>
        <scheme val="minor"/>
      </rPr>
      <t>AO59-AO95-AO99-AO101-AO102-AO103-AO111-AO112-AO113-AO114-AO115-AO116-AO117-AO118-AO120-AO121-AO123-AO124-AO125-AO126-AO127-AO128-AO129-AO130-AO131</t>
    </r>
  </si>
  <si>
    <t>Ability 6rev0_7May'21 (ฉบับแก้ไข)</t>
  </si>
  <si>
    <t>LPG GSP RY =C3/LPG GSP RY - C3 GSP RY</t>
  </si>
  <si>
    <t>Total Supply = C3/LPG GSP RY (A59) + IRPC (A60) + GC  (A61) +SPRC (A62) + PTTEP/LKB (A63) + GSP KHM (A64)</t>
  </si>
  <si>
    <t>C3 GSP RY= LPG GSP RY (A56) - C3 GSP RY (A42)</t>
  </si>
  <si>
    <t>LPG GSP RY = LPG GSP RY (A56) - LPG GSP RY (A43)</t>
  </si>
  <si>
    <t>C3/LPG GSP RY = C3/LPG GSP RY (A59) - C3/LPG GSP RY (A46)</t>
  </si>
  <si>
    <t>GC = GC (A61) -  GC (A48)</t>
  </si>
  <si>
    <t>SPRC = SPRC (A62) - SPRC (A49)</t>
  </si>
  <si>
    <t>PTTEP/LKB  = PTTEP/LKB  (A63)- PTTEP/LKB  (A50)</t>
  </si>
  <si>
    <t>GSP KHM = GSP KHM (A63) - GSP KHM (A51)</t>
  </si>
  <si>
    <t>Total Supply = C3/LPG GSP RY (A72) + GC (A73) + SPRC (A74)  + PTTEP/LKB (A75) + GSP KHM (A76)</t>
  </si>
  <si>
    <t xml:space="preserve">IF = GSP RY	PTTOR	MT ก่อนหัก import (A107) &gt; Import จ่ายแทน GSP (A8) ให้แสดงค่า Import จ่ายแทน GSP (A8) แต่ถ้าไม่ใช่ GSP RY	PTTOR	MT ก่อนหัก import (A107) </t>
  </si>
  <si>
    <t>IF= Import จ่ายแทน GSP (A8) = (A78) ให้แสดงค่า 0 แต่ถ้าไม่ใช่ให้ Import จ่ายแทน GSP (A8) - (A78)</t>
  </si>
  <si>
    <t>IF = Import	 PTTOR	 MT (A81) +  Import	 SGP	 MT (A82) &gt; Import จ่ายแทน GSP (A8) ให้แสดงค่า 0 แต่ถ้าไม่ใช้ Import จ่ายแทน GSP (A8) - ( Import	 PTTOR	 MT (A81) +  Import	 SGP	 MT (A82) )</t>
  </si>
  <si>
    <t>=A78 / user ใช้งานใน report</t>
  </si>
  <si>
    <t>IF= (A79) &lt; GSP RY	 SGP	 MT (A111) ให้แสดงค่า (A79) แต่ถ้าไม่ใช้ให้แสดง GSP RY	 SGP	 MT (A111)  /user ใช้งานใน report</t>
  </si>
  <si>
    <t>=A80 / user ใช้งานใน report</t>
  </si>
  <si>
    <t>= GSP RY	 PTTOR	 MT ก่อนหัก import (A107) - Import จ่ายแทน GSP (A8) -  ดึง Unknow untax (A10)</t>
  </si>
  <si>
    <t xml:space="preserve">IF =  (A84) &gt; 0 ให้แสดงค่า GSP RY	 SGP	 MT (A111) แต่ถ้าไม่ใช่ให้แสดงค่าGSP RY	 SGP	 MT (A111) + (A84) </t>
  </si>
  <si>
    <t>IF = (A85) &gt; 0  ให้แสดงข้อมูล GSP RY	 UGP	 MT (A112) แต่ถ้าไม่ใช่ให้แสดงค่า GSP RY	 UGP	 MT (A112)  + (A85)</t>
  </si>
  <si>
    <t>IF = (A84) &lt; 0 ให้แดงค่า 0 แต่ถ้าไม่ใช่ให้แสดงค่า (A84)</t>
  </si>
  <si>
    <t>IF = (A85) &lt; 0 ให้แดงค่า 0 แต่ถ้าไม่ใช่ให้แสดงค่า (A85)</t>
  </si>
  <si>
    <t>IF = (A86) &lt; 0 ให้แดงค่า 0 แต่ถ้าไม่ใช่ให้แสดงค่า (A86)</t>
  </si>
  <si>
    <t>เพื่อดูไฟล์ Daily LPG GSP to MT/BRP</t>
  </si>
  <si>
    <t>MT + BRP =120</t>
  </si>
  <si>
    <t>(LPG GSP to MT,BRP)-GC-import = ผลรวมของ (AO107:AO151) - Import จ่ายแทน GSP (A8) - GC (A61) - ดึง Unknow untax (A10)</t>
  </si>
  <si>
    <t>PTT TANK =53</t>
  </si>
  <si>
    <t>C3 Keyword P</t>
  </si>
  <si>
    <t>LPG limit @MT/BRP 184 KT = AO107+AO108+AO111+AO112+AO113+AO115+AO117+AO120+AO123+AO125+AO127+AO128+AO135+AO138+AO140+AO143+AO145+AO147+AO149-AO8-AO10</t>
  </si>
  <si>
    <t>LPG GSP RY + KHM (156 + 5%) 161 KT = AO107+AO108+AO109+AO158+AO136+AO135</t>
  </si>
  <si>
    <t>?</t>
  </si>
  <si>
    <t>GSP RY	 SCG (Sum C3)	 GSP RY =  GSP RY	 SCG (C3)	 GSP RY (A99) + GSP RY	 MOC (Sub C3)	 GSP RY (A100) + C3 import	 SCG	 SCG (A93)</t>
  </si>
  <si>
    <t>GSP RY	 GC (C3/LPG)	 GSP RY =  GSP RY	 GC (C3)	 GSP RY (A97) + GSP RY	 GC (LPG)	 GSP RY (A98)</t>
  </si>
  <si>
    <r>
      <t xml:space="preserve">GSP RY	 GC (C3)	 GSP RY = </t>
    </r>
    <r>
      <rPr>
        <sz val="11"/>
        <color rgb="FFFF0000"/>
        <rFont val="Tahoma"/>
        <family val="2"/>
        <charset val="222"/>
        <scheme val="minor"/>
      </rPr>
      <t xml:space="preserve"> </t>
    </r>
    <r>
      <rPr>
        <sz val="11"/>
        <color rgb="FFFF0000"/>
        <rFont val="Calibri (Body)"/>
      </rPr>
      <t xml:space="preserve">720 </t>
    </r>
    <r>
      <rPr>
        <sz val="11"/>
        <color rgb="FF0000FF"/>
        <rFont val="Tahoma"/>
        <family val="2"/>
        <charset val="222"/>
        <scheme val="minor"/>
      </rPr>
      <t>* จำนวนวันของแต่ละเดือน /1000</t>
    </r>
  </si>
  <si>
    <t>คำถาม ค่า 720 มาจากไหน</t>
  </si>
  <si>
    <r>
      <t xml:space="preserve">GSP RY	GC (LPG)	GSP RY =  </t>
    </r>
    <r>
      <rPr>
        <sz val="11"/>
        <color rgb="FFFF0000"/>
        <rFont val="Calibri (Body)"/>
      </rPr>
      <t xml:space="preserve">1100 </t>
    </r>
    <r>
      <rPr>
        <sz val="11"/>
        <color rgb="FF0000FF"/>
        <rFont val="Tahoma"/>
        <family val="2"/>
        <charset val="222"/>
        <scheme val="minor"/>
      </rPr>
      <t xml:space="preserve"> * จำนวนวันของแต่ละเดือน /1000</t>
    </r>
  </si>
  <si>
    <r>
      <t xml:space="preserve">GSP RY	 HMC (C3)	 GSP RY =  </t>
    </r>
    <r>
      <rPr>
        <sz val="11"/>
        <color rgb="FFFF0000"/>
        <rFont val="Calibri (Body)"/>
      </rPr>
      <t>1040</t>
    </r>
    <r>
      <rPr>
        <sz val="11"/>
        <color rgb="FF0000FF"/>
        <rFont val="Tahoma"/>
        <family val="2"/>
        <charset val="222"/>
        <scheme val="minor"/>
      </rPr>
      <t xml:space="preserve"> * จำนวนวันของแต่ละเดือน /1000</t>
    </r>
  </si>
  <si>
    <t>GC	 PTTOR	 MT = AO61-AO136-AO137-AO138-AO139-AO140-AO141-AO143-AO144-AO145-AO146-AO147-AO148-AO149-AO150-AO142</t>
  </si>
  <si>
    <t>SPRC 	PTTOR	 SPRC =  SPRC (A62) - SPRC	 PAP	 SPRC  (A154) - SPRC	 WP	 SPRC  (A155) - SPRC	 Atlas	 SPRC (A156)</t>
  </si>
  <si>
    <t>=PTTEP/LKB  (A63)</t>
  </si>
  <si>
    <t>=GSP KHM (A64)</t>
  </si>
  <si>
    <t>Demand Petro = Petro M.7 (A161) + Petro Non M.7 (A162)</t>
  </si>
  <si>
    <t>Petro M.7 = AO97+AO98+AO99+AO100+AO101</t>
  </si>
  <si>
    <t>Petro Non M.7 = AO102+AO103+AO104</t>
  </si>
  <si>
    <t>ผลรวมของ (AO105:AO158)</t>
  </si>
  <si>
    <t>ผลรวมของ AO109+AO110+AO114+AO116+AO118+AO119+AO121+AO122+AO124+AO126+AO129+AO130+AO131+AO136+AO137+AO139+AO141+AO144+AO146+AO148+AO150+AO151+AO142</t>
  </si>
  <si>
    <t>ผลรวมของ AO107+AO108+AO111+AO112+AO113+AO115+AO117+AO120+AO123+AO125+AO127+AO128+AO135+AO138+AO140+AO143+AO145+AO147+AO149</t>
  </si>
  <si>
    <t>ผลรวมของ AO105+AO106</t>
  </si>
  <si>
    <t>ผลรวมของ (AO153:AO158)</t>
  </si>
  <si>
    <t>ผลรวมของ (AO106:AO131)</t>
  </si>
  <si>
    <t>ผลรวมของ (AO107:AO110,AO135:AO137,AO153,AO157,AO158,AO105,AO106,AO132)</t>
  </si>
  <si>
    <t>ผลรวมของ AO169-AO105-AO106</t>
  </si>
  <si>
    <t>ผลรวมของ AO111+AO112</t>
  </si>
  <si>
    <t>ผลรวมของ AO117+AO118+AO140+AO141+AO142+AO154+AO119</t>
  </si>
  <si>
    <t>ผลรวมของ AO120+AO121+AO133+AO143+AO144+AO155</t>
  </si>
  <si>
    <t>ผลรวมของ AO122+AO156</t>
  </si>
  <si>
    <t>ผลรวมของ AO113+AO114+AO138+AO139</t>
  </si>
  <si>
    <t>ผลรวมของ AO115+AO116</t>
  </si>
  <si>
    <t>ผลรวมของ AO125+AO126+AO147+AO148</t>
  </si>
  <si>
    <t>ผลรวมของ (AO97:AO158)</t>
  </si>
  <si>
    <t>ผลรวมของ AO178-AO160-AO105-AO106</t>
  </si>
  <si>
    <t>ผลรวมของ AO61-AO135-AO136-AO137-AO138-AO139-AO140-AO141-AO143-AO144-AO145-AO146-AO147-AO148-AO149-AO150-AO151</t>
  </si>
  <si>
    <t>ผลรวมของ AO62-AO153-AO155-AO154-AO156</t>
  </si>
  <si>
    <t>ผลรวมของ AO63-AO157</t>
  </si>
  <si>
    <t>ผลรวมของ AO64-AO158</t>
  </si>
  <si>
    <t xml:space="preserve">ข้อมูล v.เก่า โดยจะอยู่จะเคยข้อมูลที่ A6มาก่อน </t>
  </si>
  <si>
    <t>=Supply (IN) (A6) - Ability 5rev2_16Apr'21 (B2)</t>
  </si>
  <si>
    <t>NGL (km3)</t>
  </si>
  <si>
    <t>Km3</t>
  </si>
  <si>
    <t>สามารถลบออกได้</t>
  </si>
  <si>
    <t>Supply (IN)</t>
  </si>
  <si>
    <t>Ability6rev0_7May'21 (ฉบับแก้ไข)</t>
  </si>
  <si>
    <t>ข้อมูลปัจจุบัน v.ล่าสุด</t>
  </si>
  <si>
    <t>Demand (OUT)</t>
  </si>
  <si>
    <t xml:space="preserve">PTTGC (km3) </t>
  </si>
  <si>
    <t>ระบบคำนวณให้ และมีการแก้ไขเองได้ด้วยใน rev. ถัดไป</t>
  </si>
  <si>
    <t>ให้ระบบตั้งต้นค่า * 0.648 ไว้ก่อน แต่ให้ระบบรองรับการเปลี่ยนแปงข้อมูลได้</t>
  </si>
  <si>
    <r>
      <t>ROC</t>
    </r>
    <r>
      <rPr>
        <sz val="8"/>
        <color theme="1"/>
        <rFont val="Tahoma"/>
        <family val="2"/>
        <scheme val="minor"/>
      </rPr>
      <t xml:space="preserve"> (max meter 48 T/hr.)72 m3/hr)--&gt; 38 T/hr.</t>
    </r>
  </si>
  <si>
    <t xml:space="preserve">User ขอกลับไปตรวจสอบข้อมูลก่อนเนื่องจากมีการกรอกข้อมูลด้วย </t>
  </si>
  <si>
    <r>
      <t>ROC (max meter 48 T/hr.)72 m3/hr)--&gt; 38 T/hr.=</t>
    </r>
    <r>
      <rPr>
        <sz val="11"/>
        <color rgb="FFFF0000"/>
        <rFont val="Tahoma"/>
        <family val="2"/>
      </rPr>
      <t>38</t>
    </r>
    <r>
      <rPr>
        <sz val="11"/>
        <color rgb="FF0000FF"/>
        <rFont val="Tahoma"/>
        <family val="2"/>
      </rPr>
      <t>/0.648*จำนวนวันของแต่ละเดือน*24ชม/1000</t>
    </r>
  </si>
  <si>
    <t>คำถาม ค่า 38 มาจากไหน?</t>
  </si>
  <si>
    <t>Export to IRPC@MT</t>
  </si>
  <si>
    <t>Export RY</t>
  </si>
  <si>
    <t>Inventory</t>
  </si>
  <si>
    <t xml:space="preserve">Tank capacity </t>
  </si>
  <si>
    <t>End Inventory (m3)</t>
  </si>
  <si>
    <t>End Inventory (m3) = End Inventory (m3) ข้อมูลของเดือนก่อนหน้า  + (Supply (IN) (A6) - Total Demand (B13))*1000</t>
  </si>
  <si>
    <t>End Inventory (%)</t>
  </si>
  <si>
    <t>End Inventory (%) = End Inventory (m3) (B11)/22600</t>
  </si>
  <si>
    <t>Total Demand</t>
  </si>
  <si>
    <t>Total Demand = PTTGC (km3) + ROC (max meter 48 T/hr.)72 m3/hr)--&gt; 38 T/hr. + Export to IRPC@MT + Export RY</t>
  </si>
  <si>
    <t>ROC 2019 ต้องมากกว่า 600 Km3 เพื่อความพึงพอใจของลูกค้า</t>
  </si>
  <si>
    <t>Surplus/Deficit</t>
  </si>
  <si>
    <t>Surplus/Deficit = (Supply (IN) (A6) - Total Demand (B13)</t>
  </si>
  <si>
    <t>Total Petro</t>
  </si>
  <si>
    <t>Total Petro = M.7 (B16) + Non M.7 (B17)</t>
  </si>
  <si>
    <t>M.7 =PTTGC (km3)  (B7) +  ROC (max meter 48 T/hr.)72 m3/hr)--&gt; 38 T/hr. (B8)</t>
  </si>
  <si>
    <t>Non M.7</t>
  </si>
  <si>
    <t>Non M.7 = Export to IRPC@MT (B9)</t>
  </si>
  <si>
    <t>PTTGC (kTON)</t>
  </si>
  <si>
    <t>กรณีที่ แก้ไขข้อมูลใน  PTTGC (km3)  (B7) ระบบจะต้องคำนวณให้</t>
  </si>
  <si>
    <t>PTTGC (kTON) = PTTGC (km3)  (B7) * 0.648</t>
  </si>
  <si>
    <t>10-15 KT</t>
  </si>
  <si>
    <t>8-12 KT</t>
  </si>
  <si>
    <t>กรณีที่ แก้ไขข้อมูลใน  ROC (max meter 48 T/hr.)72 m3/hr)--&gt; 38 T/hr. (B8) ระบบจะต้องคำนวณให้</t>
  </si>
  <si>
    <t>=OC (max meter 48 T/hr.)72 m3/hr)--&gt; 38 T/hr. (B8) * 0.648</t>
  </si>
  <si>
    <t>GSP KHM Production</t>
  </si>
  <si>
    <t>ข้อมูล Supply</t>
  </si>
  <si>
    <t>ALT</t>
  </si>
  <si>
    <t>NGL (Km3/Month)</t>
  </si>
  <si>
    <t>GSP4</t>
  </si>
  <si>
    <t>Sheet :: Ability!, A56 = NGL</t>
  </si>
  <si>
    <t>Export @PTT TANK</t>
  </si>
  <si>
    <t>Export @MT</t>
  </si>
  <si>
    <t>ลูกค้าใหม่ ของปีหน้า</t>
  </si>
  <si>
    <t>อ้างอิง e-mail :: Ability GSP4 KHM June 2021- June 2022</t>
  </si>
  <si>
    <t>Export @KHM</t>
  </si>
  <si>
    <t>Export</t>
  </si>
  <si>
    <t>SAKC</t>
  </si>
  <si>
    <t>Total</t>
  </si>
  <si>
    <t>ผลรวม ของ Export และIRPC</t>
  </si>
  <si>
    <t>KHM - IRPC</t>
  </si>
  <si>
    <t>note</t>
  </si>
  <si>
    <t>concep 2022</t>
  </si>
  <si>
    <t>ปีหน้าจะเพิ่มลูกค้า SCG เพิ่มเข้ามา</t>
  </si>
  <si>
    <t>concep คือให้ลูกค้าราคาที่ดีที่สุดก่อน  โดย volume constrain รายเดือน ทาง user จะไม่กำหนด แต่ โมเดล จะต้องเลือกให้จากเดือนที่กำไรดีที่สุดที่จะขายให้export</t>
  </si>
  <si>
    <t>??? คำถาม ถาม user ว่าปีต่อๆไป วิธีการคำนวณจะเป็นอย่างไร</t>
  </si>
  <si>
    <t>concep 2021</t>
  </si>
  <si>
    <t>1 ลำ</t>
  </si>
  <si>
    <t>แบ่งให้ IRPC 1.90</t>
  </si>
  <si>
    <t>2 ลำ</t>
  </si>
  <si>
    <t xml:space="preserve">แบ่งให้ IRPC 1.90 และ Expot 1.90 </t>
  </si>
  <si>
    <t>3 ลำ</t>
  </si>
  <si>
    <t>แบ่งให้ IRCP 3.80 และ Export 1.90</t>
  </si>
  <si>
    <t>น้ำเงิน</t>
  </si>
  <si>
    <t>ลูกค้า OK</t>
  </si>
  <si>
    <t>ROC</t>
  </si>
  <si>
    <t>แดง</t>
  </si>
  <si>
    <t>Tentative</t>
  </si>
  <si>
    <t>NGL 2019</t>
  </si>
  <si>
    <t>NGL 2020</t>
  </si>
  <si>
    <t>MOP'J-15.5</t>
  </si>
  <si>
    <t>MOP'J-12.5</t>
  </si>
  <si>
    <t>MOP'J-12</t>
  </si>
  <si>
    <t>นับ GC 200 KT</t>
  </si>
  <si>
    <t>Ability 11 rev0</t>
  </si>
  <si>
    <t>Ability 11 rev0 (stab 600)</t>
  </si>
  <si>
    <t>Plan</t>
  </si>
  <si>
    <t>GSP Production</t>
  </si>
  <si>
    <t>Pentane (KT/Month)</t>
  </si>
  <si>
    <t>GSP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</si>
</sst>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0">
    <numFmt numFmtId="6" formatCode="&quot;$&quot;#,##0_);[Red]\(&quot;$&quot;#,##0\)"/>
    <numFmt numFmtId="8" formatCode="&quot;$&quot;#,##0.00_);[Red]\(&quot;$&quot;#,##0.00\)"/>
    <numFmt numFmtId="41" formatCode="_(* #,##0_);_(* \(#,##0\);_(* &quot;-&quot;_);_(@_)"/>
    <numFmt numFmtId="43" formatCode="_(* #,##0.00_);_(* \(#,##0.00\);_(* &quot;-&quot;??_);_(@_)"/>
    <numFmt numFmtId="164" formatCode="_-* #,##0.00_-;\-* #,##0.00_-;_-* &quot;-&quot;??_-;_-@_-"/>
    <numFmt numFmtId="165" formatCode="&quot;฿&quot;#,##0_);\(&quot;฿&quot;#,##0\)"/>
    <numFmt numFmtId="166" formatCode="&quot;฿&quot;#,##0_);[Red]\(&quot;฿&quot;#,##0\)"/>
    <numFmt numFmtId="167" formatCode="_(&quot;฿&quot;* #,##0_);_(&quot;฿&quot;* \(#,##0\);_(&quot;฿&quot;* &quot;-&quot;_);_(@_)"/>
    <numFmt numFmtId="168" formatCode="_(&quot;฿&quot;* #,##0.00_);_(&quot;฿&quot;* \(#,##0.00\);_(&quot;฿&quot;* &quot;-&quot;??_);_(@_)"/>
    <numFmt numFmtId="169" formatCode="B1mmm\-yy"/>
    <numFmt numFmtId="170" formatCode="_-* #,##0.0_-;\-* #,##0.0_-;_-* &quot;-&quot;??_-;_-@_-"/>
    <numFmt numFmtId="171" formatCode="B1d\-mmm"/>
    <numFmt numFmtId="172" formatCode="_-* #,##0_-;\-* #,##0_-;_-* &quot;-&quot;??_-;_-@_-"/>
    <numFmt numFmtId="173" formatCode="_(* #,##0_);_(* \(#,##0\);_(* &quot;-&quot;??_);_(@_)"/>
    <numFmt numFmtId="174" formatCode="_(* #,##0.0_);_(* \(#,##0.0\);_(* &quot;-&quot;??_);_(@_)"/>
    <numFmt numFmtId="175" formatCode="0.0"/>
    <numFmt numFmtId="176" formatCode="0.00_)"/>
    <numFmt numFmtId="177" formatCode="0.00000_)"/>
    <numFmt numFmtId="178" formatCode="0000"/>
    <numFmt numFmtId="179" formatCode="&quot;฿&quot;##,#00_);\(&quot;฿&quot;##,#00\)"/>
    <numFmt numFmtId="180" formatCode="#,##0.000000"/>
    <numFmt numFmtId="181" formatCode="\t#,##0.00_);\(\t#,##0.00\)"/>
    <numFmt numFmtId="182" formatCode="#,##0.0;[Red]\(#,##0.0\)"/>
    <numFmt numFmtId="183" formatCode="#,##0;\(#,##0\)"/>
    <numFmt numFmtId="184" formatCode="&quot;$&quot;#,##0.0_);\(&quot;$&quot;#,##0.0\)"/>
    <numFmt numFmtId="185" formatCode="&quot;$&quot;#,##0.0"/>
    <numFmt numFmtId="186" formatCode="General_)"/>
    <numFmt numFmtId="187" formatCode="&quot;?&quot;#,##0.0;\(&quot;?&quot;#,##0.0\)"/>
    <numFmt numFmtId="188" formatCode="#,##0\ \d\a\y\s"/>
    <numFmt numFmtId="189" formatCode="#,##0\ \m\o\n\t\h"/>
    <numFmt numFmtId="190" formatCode="[$-409]mmmm\ yyyy;@"/>
    <numFmt numFmtId="191" formatCode="[$-409]dd/mmm/yy;@"/>
    <numFmt numFmtId="192" formatCode="[$-409]mmm\-yy;@"/>
    <numFmt numFmtId="193" formatCode="yyyy"/>
    <numFmt numFmtId="194" formatCode="#,##0\ \y\r."/>
    <numFmt numFmtId="195" formatCode="0.0%"/>
    <numFmt numFmtId="196" formatCode="_(* #,##0.000_);_(* \(#,##0.000\);_(* &quot;-&quot;??_);_(@_)"/>
    <numFmt numFmtId="197" formatCode="_(* #,##0.0000_);_(* \(#,##0.0000\);_(* &quot;-&quot;??_);_(@_)"/>
    <numFmt numFmtId="198" formatCode="_-* #,##0.000_-;\-* #,##0.000_-;_-* &quot;-&quot;??_-;_-@_-"/>
    <numFmt numFmtId="199" formatCode="_(* #,##0.00000_);_(* \(#,##0.00000\);_(* &quot;-&quot;??_);_(@_)"/>
  </numFmts>
  <fonts count="219">
    <font>
      <sz val="11"/>
      <color theme="1"/>
      <name val="Tahoma"/>
      <family val="2"/>
      <charset val="222"/>
      <scheme val="minor"/>
    </font>
    <font>
      <sz val="11"/>
      <color theme="1"/>
      <name val="Tahoma"/>
      <family val="2"/>
      <scheme val="minor"/>
    </font>
    <font>
      <sz val="11"/>
      <color theme="1"/>
      <name val="Tahoma"/>
      <family val="2"/>
      <charset val="222"/>
      <scheme val="minor"/>
    </font>
    <font>
      <sz val="11"/>
      <color rgb="FFFF0000"/>
      <name val="Tahoma"/>
      <family val="2"/>
      <charset val="222"/>
      <scheme val="minor"/>
    </font>
    <font>
      <b/>
      <sz val="11"/>
      <color rgb="FFFF0000"/>
      <name val="Tahoma"/>
      <family val="2"/>
      <scheme val="minor"/>
    </font>
    <font>
      <b/>
      <sz val="11"/>
      <color theme="1"/>
      <name val="Tahoma"/>
      <family val="2"/>
      <scheme val="minor"/>
    </font>
    <font>
      <sz val="11"/>
      <color theme="1"/>
      <name val="Tahoma"/>
      <family val="2"/>
      <scheme val="minor"/>
    </font>
    <font>
      <sz val="11"/>
      <color rgb="FF0000FF"/>
      <name val="Tahoma"/>
      <family val="2"/>
      <scheme val="minor"/>
    </font>
    <font>
      <sz val="11"/>
      <name val="Tahoma"/>
      <family val="2"/>
      <scheme val="minor"/>
    </font>
    <font>
      <sz val="11"/>
      <color rgb="FFFF0000"/>
      <name val="Tahoma"/>
      <family val="2"/>
      <scheme val="minor"/>
    </font>
    <font>
      <sz val="11"/>
      <color theme="5" tint="-0.249977111117893"/>
      <name val="Tahoma"/>
      <family val="2"/>
      <scheme val="minor"/>
    </font>
    <font>
      <sz val="11"/>
      <color theme="8" tint="-0.249977111117893"/>
      <name val="Tahoma"/>
      <family val="2"/>
      <scheme val="minor"/>
    </font>
    <font>
      <sz val="11"/>
      <color rgb="FF7030A0"/>
      <name val="Tahoma"/>
      <family val="2"/>
      <scheme val="minor"/>
    </font>
    <font>
      <sz val="11"/>
      <color rgb="FF00B050"/>
      <name val="Tahoma"/>
      <family val="2"/>
      <scheme val="minor"/>
    </font>
    <font>
      <b/>
      <sz val="18"/>
      <color rgb="FF0000FF"/>
      <name val="Tahoma"/>
      <family val="2"/>
      <scheme val="minor"/>
    </font>
    <font>
      <b/>
      <sz val="11"/>
      <color rgb="FFC00000"/>
      <name val="Tahoma"/>
      <family val="2"/>
      <scheme val="minor"/>
    </font>
    <font>
      <sz val="11"/>
      <color rgb="FFC00000"/>
      <name val="Tahoma"/>
      <family val="2"/>
      <charset val="222"/>
      <scheme val="minor"/>
    </font>
    <font>
      <b/>
      <sz val="11"/>
      <color theme="8" tint="-0.249977111117893"/>
      <name val="Tahoma"/>
      <family val="2"/>
      <scheme val="minor"/>
    </font>
    <font>
      <b/>
      <sz val="11"/>
      <name val="Tahoma"/>
      <family val="2"/>
      <scheme val="minor"/>
    </font>
    <font>
      <b/>
      <sz val="11"/>
      <color theme="0"/>
      <name val="Tahoma"/>
      <family val="2"/>
      <scheme val="minor"/>
    </font>
    <font>
      <sz val="8"/>
      <color theme="1"/>
      <name val="Tahoma"/>
      <family val="2"/>
      <scheme val="minor"/>
    </font>
    <font>
      <sz val="9"/>
      <color indexed="81"/>
      <name val="Tahoma"/>
      <family val="2"/>
    </font>
    <font>
      <b/>
      <sz val="9"/>
      <color indexed="81"/>
      <name val="Tahoma"/>
      <family val="2"/>
    </font>
    <font>
      <sz val="11"/>
      <color rgb="FF0000FF"/>
      <name val="Tahoma"/>
      <family val="2"/>
      <charset val="222"/>
      <scheme val="minor"/>
    </font>
    <font>
      <sz val="11"/>
      <name val="Tahoma"/>
      <family val="2"/>
      <charset val="222"/>
      <scheme val="minor"/>
    </font>
    <font>
      <b/>
      <sz val="11"/>
      <color rgb="FF0000FF"/>
      <name val="Tahoma"/>
      <family val="2"/>
      <scheme val="minor"/>
    </font>
    <font>
      <b/>
      <sz val="11"/>
      <color rgb="FF0000FF"/>
      <name val="Tahoma"/>
      <family val="2"/>
    </font>
    <font>
      <b/>
      <sz val="11"/>
      <color rgb="FFFF0000"/>
      <name val="Tahoma"/>
      <family val="2"/>
    </font>
    <font>
      <b/>
      <sz val="11"/>
      <color theme="6" tint="0.59999389629810485"/>
      <name val="Tahoma"/>
      <family val="2"/>
    </font>
    <font>
      <b/>
      <sz val="11"/>
      <color rgb="FF92D050"/>
      <name val="Tahoma"/>
      <family val="2"/>
      <scheme val="minor"/>
    </font>
    <font>
      <b/>
      <sz val="11"/>
      <color rgb="FFFF00FF"/>
      <name val="Tahoma"/>
      <family val="2"/>
      <scheme val="minor"/>
    </font>
    <font>
      <sz val="11"/>
      <color rgb="FF00B050"/>
      <name val="Tahoma"/>
      <family val="2"/>
      <charset val="222"/>
      <scheme val="minor"/>
    </font>
    <font>
      <sz val="9"/>
      <color rgb="FF0000FF"/>
      <name val="Tahoma"/>
      <family val="2"/>
      <scheme val="minor"/>
    </font>
    <font>
      <b/>
      <sz val="9"/>
      <color theme="1"/>
      <name val="Tahoma"/>
      <family val="2"/>
      <scheme val="minor"/>
    </font>
    <font>
      <sz val="11"/>
      <color theme="1"/>
      <name val="Arial"/>
      <family val="2"/>
      <charset val="222"/>
    </font>
    <font>
      <b/>
      <u/>
      <sz val="11"/>
      <color rgb="FFC00000"/>
      <name val="Tahoma"/>
      <family val="2"/>
      <scheme val="minor"/>
    </font>
    <font>
      <b/>
      <u/>
      <sz val="11"/>
      <color rgb="FF0000FF"/>
      <name val="Tahoma"/>
      <family val="2"/>
      <scheme val="minor"/>
    </font>
    <font>
      <sz val="11"/>
      <color rgb="FF00B0F0"/>
      <name val="Tahoma"/>
      <family val="2"/>
      <scheme val="minor"/>
    </font>
    <font>
      <sz val="11"/>
      <color theme="5"/>
      <name val="Tahoma"/>
      <family val="2"/>
      <scheme val="minor"/>
    </font>
    <font>
      <sz val="14"/>
      <name val="AngsanaUPC"/>
      <family val="1"/>
      <charset val="222"/>
    </font>
    <font>
      <sz val="10"/>
      <name val="MS Dialog Light"/>
      <family val="2"/>
    </font>
    <font>
      <sz val="12"/>
      <name val="นูลมรผ"/>
      <charset val="129"/>
    </font>
    <font>
      <sz val="14"/>
      <name val="Cordia New"/>
      <family val="2"/>
    </font>
    <font>
      <b/>
      <sz val="12"/>
      <name val="Arial"/>
      <family val="2"/>
    </font>
    <font>
      <sz val="14"/>
      <name val="CordiaUPC"/>
      <family val="2"/>
      <charset val="222"/>
    </font>
    <font>
      <b/>
      <i/>
      <sz val="16"/>
      <name val="Helv"/>
    </font>
    <font>
      <sz val="10"/>
      <name val="Arial"/>
      <family val="2"/>
    </font>
    <font>
      <b/>
      <sz val="10"/>
      <name val="Arial"/>
      <family val="2"/>
    </font>
    <font>
      <sz val="10"/>
      <color indexed="10"/>
      <name val="Arial"/>
      <family val="2"/>
    </font>
    <font>
      <sz val="8"/>
      <name val="Arial"/>
      <family val="2"/>
    </font>
    <font>
      <sz val="11"/>
      <color indexed="8"/>
      <name val="Tahoma"/>
      <family val="2"/>
    </font>
    <font>
      <sz val="11"/>
      <color indexed="9"/>
      <name val="Tahoma"/>
      <family val="2"/>
    </font>
    <font>
      <sz val="11"/>
      <color indexed="20"/>
      <name val="Tahoma"/>
      <family val="2"/>
    </font>
    <font>
      <b/>
      <sz val="11"/>
      <color indexed="52"/>
      <name val="Tahoma"/>
      <family val="2"/>
    </font>
    <font>
      <b/>
      <sz val="11"/>
      <color indexed="9"/>
      <name val="Tahoma"/>
      <family val="2"/>
    </font>
    <font>
      <sz val="14"/>
      <name val="Angsana New"/>
      <family val="1"/>
    </font>
    <font>
      <i/>
      <sz val="11"/>
      <color indexed="23"/>
      <name val="Tahoma"/>
      <family val="2"/>
    </font>
    <font>
      <sz val="11"/>
      <color indexed="17"/>
      <name val="Tahoma"/>
      <family val="2"/>
    </font>
    <font>
      <b/>
      <sz val="15"/>
      <color indexed="56"/>
      <name val="Tahoma"/>
      <family val="2"/>
    </font>
    <font>
      <b/>
      <sz val="13"/>
      <color indexed="56"/>
      <name val="Tahoma"/>
      <family val="2"/>
    </font>
    <font>
      <b/>
      <sz val="11"/>
      <color indexed="56"/>
      <name val="Tahoma"/>
      <family val="2"/>
    </font>
    <font>
      <sz val="11"/>
      <color indexed="62"/>
      <name val="Tahoma"/>
      <family val="2"/>
    </font>
    <font>
      <sz val="11"/>
      <color indexed="52"/>
      <name val="Tahoma"/>
      <family val="2"/>
    </font>
    <font>
      <sz val="11"/>
      <color indexed="60"/>
      <name val="Tahoma"/>
      <family val="2"/>
    </font>
    <font>
      <b/>
      <sz val="11"/>
      <color indexed="63"/>
      <name val="Tahoma"/>
      <family val="2"/>
    </font>
    <font>
      <b/>
      <sz val="18"/>
      <color indexed="56"/>
      <name val="Tahoma"/>
      <family val="2"/>
    </font>
    <font>
      <b/>
      <sz val="11"/>
      <color indexed="8"/>
      <name val="Tahoma"/>
      <family val="2"/>
    </font>
    <font>
      <sz val="11"/>
      <color indexed="10"/>
      <name val="Tahoma"/>
      <family val="2"/>
    </font>
    <font>
      <sz val="12"/>
      <name val="Arial"/>
      <family val="2"/>
    </font>
    <font>
      <sz val="14"/>
      <name val="Arial"/>
      <family val="2"/>
    </font>
    <font>
      <b/>
      <sz val="10"/>
      <color indexed="8"/>
      <name val="Arial"/>
      <family val="2"/>
    </font>
    <font>
      <sz val="10"/>
      <color indexed="8"/>
      <name val="Arial"/>
      <family val="2"/>
    </font>
    <font>
      <sz val="10"/>
      <name val="Tahoma"/>
      <family val="2"/>
    </font>
    <font>
      <sz val="10"/>
      <name val="Times New Roman"/>
      <family val="1"/>
    </font>
    <font>
      <sz val="10"/>
      <color indexed="39"/>
      <name val="Arial"/>
      <family val="2"/>
    </font>
    <font>
      <b/>
      <sz val="12"/>
      <color indexed="8"/>
      <name val="Arial"/>
      <family val="2"/>
    </font>
    <font>
      <b/>
      <sz val="16"/>
      <color indexed="23"/>
      <name val="Arial"/>
      <family val="2"/>
    </font>
    <font>
      <sz val="11"/>
      <color indexed="8"/>
      <name val="Calibri"/>
      <family val="2"/>
    </font>
    <font>
      <sz val="10"/>
      <name val="Courier"/>
      <family val="3"/>
    </font>
    <font>
      <sz val="16"/>
      <name val="Angsana New"/>
      <family val="1"/>
    </font>
    <font>
      <sz val="11"/>
      <color theme="1"/>
      <name val="Calibri"/>
      <family val="2"/>
      <charset val="222"/>
    </font>
    <font>
      <b/>
      <sz val="10"/>
      <name val="Tms Rmn"/>
    </font>
    <font>
      <u/>
      <sz val="9"/>
      <color theme="10"/>
      <name val="Tahoma"/>
      <family val="2"/>
    </font>
    <font>
      <u/>
      <sz val="10"/>
      <color indexed="12"/>
      <name val="Arial"/>
      <family val="2"/>
    </font>
    <font>
      <sz val="10"/>
      <name val="MS Sans Serif"/>
      <family val="2"/>
      <charset val="222"/>
    </font>
    <font>
      <sz val="7"/>
      <name val="Small Fonts"/>
      <family val="2"/>
    </font>
    <font>
      <sz val="19"/>
      <color indexed="48"/>
      <name val="Arial"/>
      <family val="2"/>
    </font>
    <font>
      <sz val="11"/>
      <color indexed="8"/>
      <name val="Calibri"/>
      <family val="2"/>
      <charset val="222"/>
    </font>
    <font>
      <sz val="11"/>
      <color indexed="9"/>
      <name val="Calibri"/>
      <family val="2"/>
      <charset val="222"/>
    </font>
    <font>
      <sz val="11"/>
      <color indexed="9"/>
      <name val="Calibri"/>
      <family val="2"/>
    </font>
    <font>
      <sz val="11"/>
      <color indexed="20"/>
      <name val="Calibri"/>
      <family val="2"/>
      <charset val="222"/>
    </font>
    <font>
      <sz val="11"/>
      <color indexed="37"/>
      <name val="Calibri"/>
      <family val="2"/>
    </font>
    <font>
      <b/>
      <sz val="11"/>
      <color indexed="52"/>
      <name val="Calibri"/>
      <family val="2"/>
      <charset val="222"/>
    </font>
    <font>
      <b/>
      <sz val="11"/>
      <color indexed="17"/>
      <name val="Calibri"/>
      <family val="2"/>
    </font>
    <font>
      <b/>
      <sz val="11"/>
      <color indexed="9"/>
      <name val="Calibri"/>
      <family val="2"/>
      <charset val="222"/>
    </font>
    <font>
      <b/>
      <sz val="11"/>
      <color indexed="9"/>
      <name val="Calibri"/>
      <family val="2"/>
    </font>
    <font>
      <sz val="11"/>
      <color indexed="8"/>
      <name val="Tahoma"/>
      <family val="2"/>
      <charset val="222"/>
    </font>
    <font>
      <b/>
      <sz val="11"/>
      <color indexed="8"/>
      <name val="Calibri"/>
      <family val="2"/>
    </font>
    <font>
      <i/>
      <sz val="11"/>
      <color indexed="23"/>
      <name val="Calibri"/>
      <family val="2"/>
      <charset val="222"/>
    </font>
    <font>
      <b/>
      <sz val="15"/>
      <color indexed="56"/>
      <name val="Calibri"/>
      <family val="2"/>
      <charset val="222"/>
    </font>
    <font>
      <b/>
      <sz val="15"/>
      <color indexed="62"/>
      <name val="Calibri"/>
      <family val="2"/>
    </font>
    <font>
      <b/>
      <sz val="13"/>
      <color indexed="56"/>
      <name val="Calibri"/>
      <family val="2"/>
      <charset val="222"/>
    </font>
    <font>
      <b/>
      <sz val="13"/>
      <color indexed="62"/>
      <name val="Calibri"/>
      <family val="2"/>
    </font>
    <font>
      <b/>
      <sz val="11"/>
      <color indexed="56"/>
      <name val="Calibri"/>
      <family val="2"/>
      <charset val="222"/>
    </font>
    <font>
      <b/>
      <sz val="11"/>
      <color indexed="62"/>
      <name val="Calibri"/>
      <family val="2"/>
    </font>
    <font>
      <u/>
      <sz val="14"/>
      <color indexed="12"/>
      <name val="Cordia New"/>
      <family val="2"/>
    </font>
    <font>
      <sz val="11"/>
      <color indexed="48"/>
      <name val="Calibri"/>
      <family val="2"/>
    </font>
    <font>
      <sz val="11"/>
      <color indexed="62"/>
      <name val="Calibri"/>
      <family val="2"/>
      <charset val="222"/>
    </font>
    <font>
      <sz val="11"/>
      <color indexed="52"/>
      <name val="Calibri"/>
      <family val="2"/>
      <charset val="222"/>
    </font>
    <font>
      <sz val="11"/>
      <color indexed="17"/>
      <name val="Calibri"/>
      <family val="2"/>
    </font>
    <font>
      <sz val="11"/>
      <color indexed="60"/>
      <name val="Calibri"/>
      <family val="2"/>
      <charset val="222"/>
    </font>
    <font>
      <sz val="14"/>
      <name val="AngsanaUPC"/>
      <family val="1"/>
    </font>
    <font>
      <b/>
      <sz val="11"/>
      <color indexed="63"/>
      <name val="Calibri"/>
      <family val="2"/>
      <charset val="222"/>
    </font>
    <font>
      <b/>
      <sz val="11"/>
      <color indexed="63"/>
      <name val="Calibri"/>
      <family val="2"/>
    </font>
    <font>
      <b/>
      <sz val="10"/>
      <color indexed="39"/>
      <name val="Arial"/>
      <family val="2"/>
    </font>
    <font>
      <sz val="8"/>
      <color indexed="62"/>
      <name val="Arial"/>
      <family val="2"/>
    </font>
    <font>
      <b/>
      <sz val="8"/>
      <color indexed="8"/>
      <name val="Arial"/>
      <family val="2"/>
    </font>
    <font>
      <b/>
      <sz val="8"/>
      <name val="Arial"/>
      <family val="2"/>
    </font>
    <font>
      <sz val="8"/>
      <color indexed="8"/>
      <name val="Arial"/>
      <family val="2"/>
    </font>
    <font>
      <sz val="19"/>
      <name val="Arial"/>
      <family val="2"/>
    </font>
    <font>
      <sz val="8"/>
      <color indexed="14"/>
      <name val="Arial"/>
      <family val="2"/>
    </font>
    <font>
      <b/>
      <sz val="18"/>
      <color indexed="62"/>
      <name val="Cambria"/>
      <family val="2"/>
    </font>
    <font>
      <b/>
      <sz val="18"/>
      <color indexed="56"/>
      <name val="Cambria"/>
      <family val="2"/>
      <charset val="222"/>
    </font>
    <font>
      <b/>
      <sz val="11"/>
      <color indexed="8"/>
      <name val="Calibri"/>
      <family val="2"/>
      <charset val="222"/>
    </font>
    <font>
      <sz val="11"/>
      <color indexed="10"/>
      <name val="Calibri"/>
      <family val="2"/>
      <charset val="222"/>
    </font>
    <font>
      <sz val="11"/>
      <color indexed="14"/>
      <name val="Calibri"/>
      <family val="2"/>
    </font>
    <font>
      <sz val="11"/>
      <color rgb="FF006100"/>
      <name val="Calibri"/>
      <family val="2"/>
      <charset val="222"/>
    </font>
    <font>
      <u/>
      <sz val="10"/>
      <color theme="10"/>
      <name val="Arial"/>
      <family val="2"/>
    </font>
    <font>
      <sz val="11"/>
      <color indexed="9"/>
      <name val="Tahoma"/>
      <family val="2"/>
      <charset val="222"/>
    </font>
    <font>
      <sz val="11"/>
      <color indexed="20"/>
      <name val="Tahoma"/>
      <family val="2"/>
      <charset val="222"/>
    </font>
    <font>
      <b/>
      <sz val="11"/>
      <color indexed="52"/>
      <name val="Tahoma"/>
      <family val="2"/>
      <charset val="222"/>
    </font>
    <font>
      <b/>
      <sz val="11"/>
      <color indexed="9"/>
      <name val="Tahoma"/>
      <family val="2"/>
      <charset val="222"/>
    </font>
    <font>
      <sz val="10"/>
      <color indexed="8"/>
      <name val="Tahoma"/>
      <family val="2"/>
    </font>
    <font>
      <sz val="12"/>
      <name val="EucrosiaUPC"/>
      <family val="1"/>
      <charset val="222"/>
    </font>
    <font>
      <sz val="8"/>
      <color indexed="17"/>
      <name val="Arial"/>
      <family val="2"/>
    </font>
    <font>
      <i/>
      <sz val="11"/>
      <color indexed="23"/>
      <name val="Tahoma"/>
      <family val="2"/>
      <charset val="222"/>
    </font>
    <font>
      <sz val="11"/>
      <color indexed="17"/>
      <name val="Tahoma"/>
      <family val="2"/>
      <charset val="222"/>
    </font>
    <font>
      <b/>
      <i/>
      <sz val="9"/>
      <name val="Arial"/>
      <family val="2"/>
    </font>
    <font>
      <b/>
      <sz val="14"/>
      <name val="Arial Black"/>
      <family val="2"/>
    </font>
    <font>
      <b/>
      <sz val="15"/>
      <color indexed="56"/>
      <name val="Tahoma"/>
      <family val="2"/>
      <charset val="222"/>
    </font>
    <font>
      <b/>
      <sz val="13"/>
      <color indexed="56"/>
      <name val="Tahoma"/>
      <family val="2"/>
      <charset val="222"/>
    </font>
    <font>
      <b/>
      <sz val="11"/>
      <color indexed="56"/>
      <name val="Tahoma"/>
      <family val="2"/>
      <charset val="222"/>
    </font>
    <font>
      <u/>
      <sz val="10.5"/>
      <color indexed="12"/>
      <name val="CordiaUPC"/>
      <family val="2"/>
      <charset val="222"/>
    </font>
    <font>
      <sz val="11"/>
      <color indexed="62"/>
      <name val="Tahoma"/>
      <family val="2"/>
      <charset val="222"/>
    </font>
    <font>
      <sz val="11"/>
      <color indexed="52"/>
      <name val="Tahoma"/>
      <family val="2"/>
      <charset val="222"/>
    </font>
    <font>
      <sz val="9"/>
      <color indexed="17"/>
      <name val="Arial Narrow"/>
      <family val="2"/>
    </font>
    <font>
      <sz val="11"/>
      <color indexed="60"/>
      <name val="Tahoma"/>
      <family val="2"/>
      <charset val="222"/>
    </font>
    <font>
      <sz val="8"/>
      <name val="Tahoma"/>
      <family val="2"/>
    </font>
    <font>
      <sz val="16"/>
      <name val="DilleniaUPC"/>
      <family val="1"/>
      <charset val="222"/>
    </font>
    <font>
      <sz val="8"/>
      <color indexed="8"/>
      <name val="Tahoma"/>
      <family val="2"/>
    </font>
    <font>
      <b/>
      <sz val="11"/>
      <color indexed="63"/>
      <name val="Tahoma"/>
      <family val="2"/>
      <charset val="222"/>
    </font>
    <font>
      <sz val="11"/>
      <name val="Tahoma"/>
      <family val="2"/>
    </font>
    <font>
      <sz val="10"/>
      <name val="Tms Rmn"/>
      <charset val="222"/>
    </font>
    <font>
      <b/>
      <sz val="18"/>
      <color indexed="56"/>
      <name val="Tahoma"/>
      <family val="2"/>
      <charset val="222"/>
    </font>
    <font>
      <b/>
      <sz val="11"/>
      <color indexed="8"/>
      <name val="Tahoma"/>
      <family val="2"/>
      <charset val="222"/>
    </font>
    <font>
      <sz val="11"/>
      <color indexed="10"/>
      <name val="Tahoma"/>
      <family val="2"/>
      <charset val="222"/>
    </font>
    <font>
      <sz val="8"/>
      <color indexed="17"/>
      <name val="Arial Narrow"/>
      <family val="2"/>
    </font>
    <font>
      <sz val="8"/>
      <color theme="1"/>
      <name val="Tahoma"/>
      <family val="2"/>
    </font>
    <font>
      <b/>
      <sz val="10"/>
      <name val="Tahoma"/>
      <family val="2"/>
      <scheme val="minor"/>
    </font>
    <font>
      <sz val="11"/>
      <color theme="0" tint="-0.499984740745262"/>
      <name val="Tahoma"/>
      <family val="2"/>
      <scheme val="minor"/>
    </font>
    <font>
      <sz val="8"/>
      <color theme="0" tint="-0.499984740745262"/>
      <name val="Tahoma"/>
      <family val="2"/>
      <scheme val="minor"/>
    </font>
    <font>
      <b/>
      <sz val="8"/>
      <color theme="0" tint="-0.499984740745262"/>
      <name val="Tahoma"/>
      <family val="2"/>
      <scheme val="minor"/>
    </font>
    <font>
      <sz val="11"/>
      <color theme="0" tint="-0.499984740745262"/>
      <name val="Tahoma"/>
      <family val="2"/>
      <charset val="222"/>
      <scheme val="minor"/>
    </font>
    <font>
      <sz val="11"/>
      <color rgb="FFC00000"/>
      <name val="Tahoma"/>
      <family val="2"/>
      <scheme val="minor"/>
    </font>
    <font>
      <b/>
      <sz val="8"/>
      <color rgb="FF0000FF"/>
      <name val="Tahoma"/>
      <family val="2"/>
      <scheme val="minor"/>
    </font>
    <font>
      <b/>
      <sz val="11"/>
      <color theme="1"/>
      <name val="Tahoma"/>
      <family val="2"/>
      <charset val="222"/>
      <scheme val="minor"/>
    </font>
    <font>
      <sz val="10"/>
      <color theme="1"/>
      <name val="Tahoma"/>
      <family val="2"/>
    </font>
    <font>
      <b/>
      <sz val="10"/>
      <name val="Tahoma"/>
      <family val="2"/>
    </font>
    <font>
      <b/>
      <sz val="11"/>
      <color rgb="FF0033CC"/>
      <name val="Tahoma"/>
      <family val="2"/>
      <charset val="222"/>
      <scheme val="minor"/>
    </font>
    <font>
      <sz val="11"/>
      <color rgb="FF0033CC"/>
      <name val="Tahoma"/>
      <family val="2"/>
      <charset val="222"/>
      <scheme val="minor"/>
    </font>
    <font>
      <b/>
      <sz val="11"/>
      <color theme="0" tint="-0.499984740745262"/>
      <name val="Tahoma"/>
      <family val="2"/>
      <charset val="222"/>
      <scheme val="minor"/>
    </font>
    <font>
      <sz val="11"/>
      <color theme="0" tint="-0.499984740745262"/>
      <name val="Tahoma"/>
      <family val="2"/>
      <charset val="222"/>
    </font>
    <font>
      <sz val="11"/>
      <name val="Tahoma"/>
      <family val="2"/>
      <charset val="222"/>
    </font>
    <font>
      <b/>
      <sz val="10"/>
      <color theme="0" tint="-0.499984740745262"/>
      <name val="Tahoma"/>
      <family val="2"/>
    </font>
    <font>
      <b/>
      <sz val="10"/>
      <color rgb="FF0000FF"/>
      <name val="Tahoma"/>
      <family val="2"/>
    </font>
    <font>
      <sz val="9"/>
      <color theme="1"/>
      <name val="Tahoma"/>
      <family val="2"/>
      <charset val="222"/>
      <scheme val="minor"/>
    </font>
    <font>
      <b/>
      <sz val="11"/>
      <color rgb="FF0000FF"/>
      <name val="Tahoma"/>
      <family val="2"/>
      <charset val="222"/>
      <scheme val="minor"/>
    </font>
    <font>
      <sz val="10"/>
      <color rgb="FFFF0000"/>
      <name val="Tahoma"/>
      <family val="2"/>
    </font>
    <font>
      <b/>
      <sz val="10"/>
      <color rgb="FFFF0000"/>
      <name val="Tahoma"/>
      <family val="2"/>
      <scheme val="minor"/>
    </font>
    <font>
      <sz val="12"/>
      <color rgb="FF0000FF"/>
      <name val="Tahoma"/>
      <family val="2"/>
      <scheme val="minor"/>
    </font>
    <font>
      <sz val="11"/>
      <color theme="1"/>
      <name val="Tahoma"/>
      <family val="2"/>
      <charset val="222"/>
    </font>
    <font>
      <b/>
      <sz val="11"/>
      <name val="Tahoma"/>
      <family val="2"/>
      <charset val="222"/>
      <scheme val="minor"/>
    </font>
    <font>
      <sz val="11"/>
      <color rgb="FF0000FF"/>
      <name val="Tahoma"/>
      <family val="2"/>
      <charset val="222"/>
    </font>
    <font>
      <b/>
      <sz val="10"/>
      <color rgb="FF7030A0"/>
      <name val="Tahoma"/>
      <family val="2"/>
    </font>
    <font>
      <sz val="11"/>
      <color rgb="FF7030A0"/>
      <name val="Tahoma"/>
      <family val="2"/>
      <charset val="222"/>
      <scheme val="minor"/>
    </font>
    <font>
      <sz val="11"/>
      <color theme="5"/>
      <name val="Tahoma"/>
      <family val="2"/>
      <charset val="222"/>
      <scheme val="minor"/>
    </font>
    <font>
      <b/>
      <sz val="11"/>
      <color rgb="FFFF0000"/>
      <name val="Calibri (Body)"/>
    </font>
    <font>
      <sz val="10"/>
      <color rgb="FF0000FF"/>
      <name val="Tahoma"/>
      <family val="2"/>
    </font>
    <font>
      <b/>
      <sz val="11"/>
      <color rgb="FFFF0000"/>
      <name val="Tahoma"/>
      <family val="2"/>
      <charset val="222"/>
      <scheme val="minor"/>
    </font>
    <font>
      <sz val="11"/>
      <color rgb="FFFFA7FF"/>
      <name val="Tahoma"/>
      <family val="2"/>
      <charset val="222"/>
      <scheme val="minor"/>
    </font>
    <font>
      <b/>
      <sz val="9"/>
      <color rgb="FF000000"/>
      <name val="Tahoma"/>
      <family val="2"/>
    </font>
    <font>
      <sz val="9"/>
      <color rgb="FF000000"/>
      <name val="Tahoma"/>
      <family val="2"/>
    </font>
    <font>
      <sz val="8"/>
      <name val="Tahoma"/>
      <family val="2"/>
      <charset val="222"/>
      <scheme val="minor"/>
    </font>
    <font>
      <sz val="11"/>
      <color rgb="FFE265FF"/>
      <name val="Tahoma"/>
      <family val="2"/>
      <charset val="222"/>
      <scheme val="minor"/>
    </font>
    <font>
      <sz val="11"/>
      <color rgb="FFFF0000"/>
      <name val="Calibri (Body)"/>
    </font>
    <font>
      <sz val="11"/>
      <color rgb="FF0000FF"/>
      <name val="Tahoma"/>
      <family val="2"/>
    </font>
    <font>
      <sz val="11"/>
      <color rgb="FFFF0000"/>
      <name val="Tahoma"/>
      <family val="2"/>
    </font>
    <font>
      <sz val="11"/>
      <color theme="9"/>
      <name val="Tahoma"/>
      <family val="2"/>
      <charset val="222"/>
      <scheme val="minor"/>
    </font>
    <font>
      <b/>
      <sz val="11"/>
      <color theme="9"/>
      <name val="Tahoma"/>
      <family val="2"/>
      <charset val="222"/>
      <scheme val="minor"/>
    </font>
    <font>
      <sz val="11"/>
      <color rgb="FF000000"/>
      <name val="Tahoma"/>
      <family val="2"/>
      <charset val="222"/>
      <scheme val="minor"/>
    </font>
    <font>
      <sz val="9"/>
      <name val="Tahoma"/>
      <family val="2"/>
    </font>
    <font>
      <sz val="9"/>
      <color rgb="FFFF0000"/>
      <name val="Tahoma"/>
      <family val="2"/>
    </font>
    <font>
      <sz val="14"/>
      <color indexed="10"/>
      <name val="BrowalliaUPC"/>
      <family val="2"/>
      <charset val="222"/>
    </font>
    <font>
      <sz val="14"/>
      <name val="BrowalliaUPC"/>
      <family val="2"/>
      <charset val="222"/>
    </font>
    <font>
      <sz val="10"/>
      <color rgb="FF000000"/>
      <name val="Tahoma"/>
      <family val="2"/>
    </font>
    <font>
      <b/>
      <sz val="10"/>
      <color rgb="FF000000"/>
      <name val="Tahoma"/>
      <family val="2"/>
    </font>
    <font>
      <sz val="11"/>
      <color theme="7"/>
      <name val="Tahoma"/>
      <family val="2"/>
      <charset val="222"/>
      <scheme val="minor"/>
    </font>
    <font>
      <sz val="11"/>
      <color rgb="FF000000"/>
      <name val="Calibri"/>
      <family val="2"/>
    </font>
    <font>
      <b/>
      <sz val="11"/>
      <color theme="1"/>
      <name val="Calibri (Body)"/>
    </font>
    <font>
      <b/>
      <sz val="11"/>
      <color theme="0" tint="-0.34998626667073579"/>
      <name val="Tahoma"/>
      <family val="2"/>
      <scheme val="minor"/>
    </font>
    <font>
      <sz val="11"/>
      <color theme="0"/>
      <name val="Tahoma"/>
      <family val="2"/>
      <scheme val="minor"/>
    </font>
    <font>
      <sz val="11"/>
      <color theme="0" tint="-0.34998626667073579"/>
      <name val="Tahoma"/>
      <family val="2"/>
      <scheme val="minor"/>
    </font>
    <font>
      <sz val="11"/>
      <color theme="0" tint="-0.249977111117893"/>
      <name val="Tahoma"/>
      <family val="2"/>
      <charset val="222"/>
      <scheme val="minor"/>
    </font>
    <font>
      <sz val="11"/>
      <color theme="0"/>
      <name val="Tahoma"/>
      <family val="2"/>
      <charset val="222"/>
      <scheme val="minor"/>
    </font>
    <font>
      <sz val="11"/>
      <color rgb="FF0070C0"/>
      <name val="Tahoma"/>
      <family val="2"/>
      <charset val="222"/>
      <scheme val="minor"/>
    </font>
    <font>
      <strike/>
      <sz val="11"/>
      <name val="Calibri (Body)"/>
    </font>
    <font>
      <b/>
      <sz val="11"/>
      <color rgb="FF92D050"/>
      <name val="Calibri (Body)"/>
    </font>
    <font>
      <sz val="11"/>
      <color rgb="FF92D050"/>
      <name val="Calibri (Body)"/>
    </font>
    <font>
      <strike/>
      <sz val="11"/>
      <color rgb="FF000000"/>
      <name val="Tahoma"/>
      <family val="2"/>
      <charset val="222"/>
      <scheme val="minor"/>
    </font>
  </fonts>
  <fills count="128">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E5FF"/>
        <bgColor indexed="64"/>
      </patternFill>
    </fill>
    <fill>
      <patternFill patternType="solid">
        <fgColor theme="0" tint="-0.14999847407452621"/>
        <bgColor indexed="64"/>
      </patternFill>
    </fill>
    <fill>
      <patternFill patternType="solid">
        <fgColor theme="0"/>
        <bgColor indexed="64"/>
      </patternFill>
    </fill>
    <fill>
      <patternFill patternType="solid">
        <fgColor rgb="FFC00000"/>
        <bgColor indexed="64"/>
      </patternFill>
    </fill>
    <fill>
      <patternFill patternType="solid">
        <fgColor theme="9" tint="-0.249977111117893"/>
        <bgColor indexed="64"/>
      </patternFill>
    </fill>
    <fill>
      <patternFill patternType="solid">
        <fgColor theme="9"/>
        <bgColor indexed="64"/>
      </patternFill>
    </fill>
    <fill>
      <patternFill patternType="solid">
        <fgColor rgb="FFFFFF00"/>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CD5B4"/>
        <bgColor rgb="FF000000"/>
      </patternFill>
    </fill>
    <fill>
      <patternFill patternType="solid">
        <fgColor theme="6" tint="0.59999389629810485"/>
        <bgColor rgb="FF000000"/>
      </patternFill>
    </fill>
    <fill>
      <patternFill patternType="solid">
        <fgColor rgb="FFD8E4BC"/>
        <bgColor rgb="FF000000"/>
      </patternFill>
    </fill>
    <fill>
      <patternFill patternType="solid">
        <fgColor theme="6" tint="0.79998168889431442"/>
        <bgColor indexed="64"/>
      </patternFill>
    </fill>
    <fill>
      <patternFill patternType="solid">
        <fgColor rgb="FFEBF1DE"/>
        <bgColor rgb="FF000000"/>
      </patternFill>
    </fill>
    <fill>
      <patternFill patternType="solid">
        <fgColor rgb="FFFFFF00"/>
        <bgColor rgb="FF000000"/>
      </patternFill>
    </fill>
    <fill>
      <patternFill patternType="solid">
        <fgColor theme="5" tint="0.79998168889431442"/>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C6EFCE"/>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solid">
        <fgColor indexed="40"/>
      </patternFill>
    </fill>
    <fill>
      <patternFill patternType="solid">
        <fgColor indexed="41"/>
      </patternFill>
    </fill>
    <fill>
      <patternFill patternType="solid">
        <fgColor indexed="22"/>
        <bgColor indexed="64"/>
      </patternFill>
    </fill>
    <fill>
      <patternFill patternType="solid">
        <fgColor indexed="41"/>
        <bgColor indexed="64"/>
      </patternFill>
    </fill>
    <fill>
      <patternFill patternType="solid">
        <fgColor indexed="44"/>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indexed="15"/>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48"/>
        <bgColor indexed="48"/>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25"/>
        <bgColor indexed="25"/>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bgColor indexed="57"/>
      </patternFill>
    </fill>
    <fill>
      <patternFill patternType="solid">
        <fgColor indexed="55"/>
        <bgColor indexed="55"/>
      </patternFill>
    </fill>
    <fill>
      <patternFill patternType="solid">
        <fgColor indexed="18"/>
        <bgColor indexed="18"/>
      </patternFill>
    </fill>
    <fill>
      <patternFill patternType="solid">
        <fgColor indexed="41"/>
        <bgColor indexed="41"/>
      </patternFill>
    </fill>
    <fill>
      <patternFill patternType="solid">
        <fgColor indexed="54"/>
        <bgColor indexed="54"/>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53"/>
        <bgColor indexed="53"/>
      </patternFill>
    </fill>
    <fill>
      <patternFill patternType="solid">
        <fgColor indexed="35"/>
        <bgColor indexed="35"/>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solid">
        <fgColor indexed="60"/>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54"/>
      </patternFill>
    </fill>
    <fill>
      <patternFill patternType="solid">
        <fgColor indexed="23"/>
      </patternFill>
    </fill>
    <fill>
      <patternFill patternType="solid">
        <fgColor indexed="9"/>
      </patternFill>
    </fill>
    <fill>
      <patternFill patternType="solid">
        <fgColor indexed="9"/>
        <bgColor indexed="64"/>
      </patternFill>
    </fill>
    <fill>
      <patternFill patternType="solid">
        <fgColor indexed="20"/>
      </patternFill>
    </fill>
    <fill>
      <patternFill patternType="solid">
        <fgColor theme="2"/>
        <bgColor indexed="64"/>
      </patternFill>
    </fill>
    <fill>
      <patternFill patternType="solid">
        <fgColor rgb="FF8ADFF6"/>
        <bgColor indexed="64"/>
      </patternFill>
    </fill>
    <fill>
      <patternFill patternType="solid">
        <fgColor rgb="FF92D050"/>
        <bgColor indexed="64"/>
      </patternFill>
    </fill>
    <fill>
      <patternFill patternType="solid">
        <fgColor rgb="FFFFC000"/>
        <bgColor rgb="FF000000"/>
      </patternFill>
    </fill>
    <fill>
      <patternFill patternType="solid">
        <fgColor theme="7"/>
        <bgColor indexed="64"/>
      </patternFill>
    </fill>
    <fill>
      <patternFill patternType="solid">
        <fgColor theme="4" tint="0.39997558519241921"/>
        <bgColor indexed="64"/>
      </patternFill>
    </fill>
    <fill>
      <patternFill patternType="solid">
        <fgColor theme="5"/>
        <bgColor indexed="64"/>
      </patternFill>
    </fill>
    <fill>
      <patternFill patternType="solid">
        <fgColor rgb="FF00FF00"/>
        <bgColor indexed="64"/>
      </patternFill>
    </fill>
    <fill>
      <patternFill patternType="solid">
        <fgColor rgb="FFFF0000"/>
        <bgColor indexed="64"/>
      </patternFill>
    </fill>
    <fill>
      <patternFill patternType="solid">
        <fgColor rgb="FF00FF00"/>
        <bgColor rgb="FF000000"/>
      </patternFill>
    </fill>
    <fill>
      <patternFill patternType="solid">
        <fgColor rgb="FFED7D31"/>
        <bgColor indexed="64"/>
      </patternFill>
    </fill>
    <fill>
      <patternFill patternType="solid">
        <fgColor rgb="FF4472C4"/>
        <bgColor indexed="64"/>
      </patternFill>
    </fill>
    <fill>
      <patternFill patternType="solid">
        <fgColor rgb="FF00B0F0"/>
        <bgColor indexed="64"/>
      </patternFill>
    </fill>
    <fill>
      <patternFill patternType="solid">
        <fgColor rgb="FF93FFFF"/>
        <bgColor indexed="64"/>
      </patternFill>
    </fill>
    <fill>
      <patternFill patternType="solid">
        <fgColor rgb="FFCCFFFF"/>
        <bgColor indexed="64"/>
      </patternFill>
    </fill>
    <fill>
      <patternFill patternType="solid">
        <fgColor rgb="FFE265FF"/>
        <bgColor indexed="64"/>
      </patternFill>
    </fill>
    <fill>
      <patternFill patternType="solid">
        <fgColor theme="4" tint="0.59999389629810485"/>
        <bgColor indexed="64"/>
      </patternFill>
    </fill>
    <fill>
      <patternFill patternType="solid">
        <fgColor rgb="FFFFFFFF"/>
        <bgColor rgb="FF000000"/>
      </patternFill>
    </fill>
    <fill>
      <patternFill patternType="solid">
        <fgColor theme="5" tint="0.79998168889431442"/>
        <bgColor rgb="FF000000"/>
      </patternFill>
    </fill>
  </fills>
  <borders count="60">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indexed="63"/>
      </left>
      <right style="thin">
        <color indexed="63"/>
      </right>
      <top style="thin">
        <color indexed="64"/>
      </top>
      <bottom style="thin">
        <color indexed="63"/>
      </bottom>
      <diagonal/>
    </border>
    <border>
      <left style="thin">
        <color indexed="18"/>
      </left>
      <right style="thin">
        <color indexed="18"/>
      </right>
      <top style="thin">
        <color indexed="18"/>
      </top>
      <bottom style="thin">
        <color indexed="18"/>
      </bottom>
      <diagonal/>
    </border>
    <border>
      <left/>
      <right/>
      <top/>
      <bottom style="thick">
        <color indexed="48"/>
      </bottom>
      <diagonal/>
    </border>
    <border>
      <left/>
      <right/>
      <top/>
      <bottom style="thick">
        <color indexed="58"/>
      </bottom>
      <diagonal/>
    </border>
    <border>
      <left/>
      <right/>
      <top/>
      <bottom style="medium">
        <color indexed="58"/>
      </bottom>
      <diagonal/>
    </border>
    <border>
      <left/>
      <right/>
      <top/>
      <bottom style="double">
        <color indexed="17"/>
      </bottom>
      <diagonal/>
    </border>
    <border>
      <left style="thin">
        <color indexed="8"/>
      </left>
      <right style="thin">
        <color indexed="8"/>
      </right>
      <top style="thin">
        <color indexed="8"/>
      </top>
      <bottom style="thin">
        <color indexed="8"/>
      </bottom>
      <diagonal/>
    </border>
    <border>
      <left style="thin">
        <color indexed="41"/>
      </left>
      <right style="thin">
        <color indexed="48"/>
      </right>
      <top style="medium">
        <color indexed="41"/>
      </top>
      <bottom style="thin">
        <color indexed="4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right/>
      <top style="thin">
        <color indexed="48"/>
      </top>
      <bottom style="double">
        <color indexed="48"/>
      </bottom>
      <diagonal/>
    </border>
    <border>
      <left/>
      <right/>
      <top/>
      <bottom style="dashDotDot">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diagonal/>
    </border>
  </borders>
  <cellStyleXfs count="4112">
    <xf numFmtId="0" fontId="0"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43" fontId="6" fillId="0" borderId="0" applyFont="0" applyFill="0" applyBorder="0" applyAlignment="0" applyProtection="0"/>
    <xf numFmtId="0" fontId="34" fillId="0" borderId="0"/>
    <xf numFmtId="43" fontId="2" fillId="0" borderId="0" applyFont="0" applyFill="0" applyBorder="0" applyAlignment="0" applyProtection="0"/>
    <xf numFmtId="0" fontId="39" fillId="0" borderId="0"/>
    <xf numFmtId="0" fontId="50" fillId="30" borderId="0" applyNumberFormat="0" applyBorder="0" applyAlignment="0" applyProtection="0"/>
    <xf numFmtId="0" fontId="50" fillId="30" borderId="0" applyNumberFormat="0" applyBorder="0" applyAlignment="0" applyProtection="0"/>
    <xf numFmtId="0" fontId="50" fillId="30" borderId="0" applyNumberFormat="0" applyBorder="0" applyAlignment="0" applyProtection="0"/>
    <xf numFmtId="0" fontId="50" fillId="31" borderId="0" applyNumberFormat="0" applyBorder="0" applyAlignment="0" applyProtection="0"/>
    <xf numFmtId="0" fontId="50" fillId="31" borderId="0" applyNumberFormat="0" applyBorder="0" applyAlignment="0" applyProtection="0"/>
    <xf numFmtId="0" fontId="50" fillId="31"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50" fillId="33" borderId="0" applyNumberFormat="0" applyBorder="0" applyAlignment="0" applyProtection="0"/>
    <xf numFmtId="0" fontId="50" fillId="33" borderId="0" applyNumberFormat="0" applyBorder="0" applyAlignment="0" applyProtection="0"/>
    <xf numFmtId="0" fontId="50" fillId="33" borderId="0" applyNumberFormat="0" applyBorder="0" applyAlignment="0" applyProtection="0"/>
    <xf numFmtId="0" fontId="50" fillId="34" borderId="0" applyNumberFormat="0" applyBorder="0" applyAlignment="0" applyProtection="0"/>
    <xf numFmtId="0" fontId="50" fillId="34" borderId="0" applyNumberFormat="0" applyBorder="0" applyAlignment="0" applyProtection="0"/>
    <xf numFmtId="0" fontId="50" fillId="34"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6" borderId="0" applyNumberFormat="0" applyBorder="0" applyAlignment="0" applyProtection="0"/>
    <xf numFmtId="0" fontId="50" fillId="36" borderId="0" applyNumberFormat="0" applyBorder="0" applyAlignment="0" applyProtection="0"/>
    <xf numFmtId="0" fontId="50" fillId="36" borderId="0" applyNumberFormat="0" applyBorder="0" applyAlignment="0" applyProtection="0"/>
    <xf numFmtId="0" fontId="50" fillId="37" borderId="0" applyNumberFormat="0" applyBorder="0" applyAlignment="0" applyProtection="0"/>
    <xf numFmtId="0" fontId="50" fillId="37" borderId="0" applyNumberFormat="0" applyBorder="0" applyAlignment="0" applyProtection="0"/>
    <xf numFmtId="0" fontId="50" fillId="37" borderId="0" applyNumberFormat="0" applyBorder="0" applyAlignment="0" applyProtection="0"/>
    <xf numFmtId="0" fontId="50" fillId="38" borderId="0" applyNumberFormat="0" applyBorder="0" applyAlignment="0" applyProtection="0"/>
    <xf numFmtId="0" fontId="50" fillId="38" borderId="0" applyNumberFormat="0" applyBorder="0" applyAlignment="0" applyProtection="0"/>
    <xf numFmtId="0" fontId="50" fillId="38" borderId="0" applyNumberFormat="0" applyBorder="0" applyAlignment="0" applyProtection="0"/>
    <xf numFmtId="0" fontId="50" fillId="33" borderId="0" applyNumberFormat="0" applyBorder="0" applyAlignment="0" applyProtection="0"/>
    <xf numFmtId="0" fontId="50" fillId="33" borderId="0" applyNumberFormat="0" applyBorder="0" applyAlignment="0" applyProtection="0"/>
    <xf numFmtId="0" fontId="50" fillId="33" borderId="0" applyNumberFormat="0" applyBorder="0" applyAlignment="0" applyProtection="0"/>
    <xf numFmtId="0" fontId="50" fillId="36" borderId="0" applyNumberFormat="0" applyBorder="0" applyAlignment="0" applyProtection="0"/>
    <xf numFmtId="0" fontId="50" fillId="36" borderId="0" applyNumberFormat="0" applyBorder="0" applyAlignment="0" applyProtection="0"/>
    <xf numFmtId="0" fontId="50" fillId="36"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37" borderId="0" applyNumberFormat="0" applyBorder="0" applyAlignment="0" applyProtection="0"/>
    <xf numFmtId="0" fontId="51" fillId="37" borderId="0" applyNumberFormat="0" applyBorder="0" applyAlignment="0" applyProtection="0"/>
    <xf numFmtId="0" fontId="51" fillId="37" borderId="0" applyNumberFormat="0" applyBorder="0" applyAlignment="0" applyProtection="0"/>
    <xf numFmtId="0" fontId="51" fillId="38" borderId="0" applyNumberFormat="0" applyBorder="0" applyAlignment="0" applyProtection="0"/>
    <xf numFmtId="0" fontId="51" fillId="38" borderId="0" applyNumberFormat="0" applyBorder="0" applyAlignment="0" applyProtection="0"/>
    <xf numFmtId="0" fontId="51" fillId="38"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9" fontId="39" fillId="0" borderId="0"/>
    <xf numFmtId="9" fontId="39" fillId="0" borderId="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3" fillId="48" borderId="33" applyNumberFormat="0" applyAlignment="0" applyProtection="0"/>
    <xf numFmtId="0" fontId="53" fillId="48" borderId="33" applyNumberFormat="0" applyAlignment="0" applyProtection="0"/>
    <xf numFmtId="0" fontId="53" fillId="48" borderId="33" applyNumberFormat="0" applyAlignment="0" applyProtection="0"/>
    <xf numFmtId="0" fontId="54" fillId="49" borderId="34" applyNumberFormat="0" applyAlignment="0" applyProtection="0"/>
    <xf numFmtId="0" fontId="54" fillId="49" borderId="34" applyNumberFormat="0" applyAlignment="0" applyProtection="0"/>
    <xf numFmtId="0" fontId="54" fillId="49" borderId="34" applyNumberFormat="0" applyAlignment="0" applyProtection="0"/>
    <xf numFmtId="43" fontId="4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77" fontId="39" fillId="0" borderId="0"/>
    <xf numFmtId="180" fontId="39" fillId="0" borderId="0"/>
    <xf numFmtId="14" fontId="39" fillId="0" borderId="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7" fillId="32" borderId="0" applyNumberFormat="0" applyBorder="0" applyAlignment="0" applyProtection="0"/>
    <xf numFmtId="0" fontId="57" fillId="32" borderId="0" applyNumberFormat="0" applyBorder="0" applyAlignment="0" applyProtection="0"/>
    <xf numFmtId="0" fontId="57" fillId="32" borderId="0" applyNumberFormat="0" applyBorder="0" applyAlignment="0" applyProtection="0"/>
    <xf numFmtId="0" fontId="43" fillId="0" borderId="15" applyNumberFormat="0" applyAlignment="0" applyProtection="0">
      <alignment horizontal="left" vertical="center"/>
    </xf>
    <xf numFmtId="0" fontId="43" fillId="0" borderId="26">
      <alignment horizontal="left" vertical="center"/>
    </xf>
    <xf numFmtId="0" fontId="58" fillId="0" borderId="35" applyNumberFormat="0" applyFill="0" applyAlignment="0" applyProtection="0"/>
    <xf numFmtId="0" fontId="58" fillId="0" borderId="35" applyNumberFormat="0" applyFill="0" applyAlignment="0" applyProtection="0"/>
    <xf numFmtId="0" fontId="58" fillId="0" borderId="35" applyNumberFormat="0" applyFill="0" applyAlignment="0" applyProtection="0"/>
    <xf numFmtId="0" fontId="59" fillId="0" borderId="36" applyNumberFormat="0" applyFill="0" applyAlignment="0" applyProtection="0"/>
    <xf numFmtId="0" fontId="59" fillId="0" borderId="36" applyNumberFormat="0" applyFill="0" applyAlignment="0" applyProtection="0"/>
    <xf numFmtId="0" fontId="59" fillId="0" borderId="36" applyNumberFormat="0" applyFill="0" applyAlignment="0" applyProtection="0"/>
    <xf numFmtId="0" fontId="60" fillId="0" borderId="37" applyNumberFormat="0" applyFill="0" applyAlignment="0" applyProtection="0"/>
    <xf numFmtId="0" fontId="60" fillId="0" borderId="37" applyNumberFormat="0" applyFill="0" applyAlignment="0" applyProtection="0"/>
    <xf numFmtId="0" fontId="60" fillId="0" borderId="37" applyNumberFormat="0" applyFill="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1" fillId="35" borderId="33" applyNumberFormat="0" applyAlignment="0" applyProtection="0"/>
    <xf numFmtId="0" fontId="61" fillId="35" borderId="33" applyNumberFormat="0" applyAlignment="0" applyProtection="0"/>
    <xf numFmtId="0" fontId="61" fillId="35" borderId="33" applyNumberFormat="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3" fillId="50" borderId="0" applyNumberFormat="0" applyBorder="0" applyAlignment="0" applyProtection="0"/>
    <xf numFmtId="0" fontId="63" fillId="50" borderId="0" applyNumberFormat="0" applyBorder="0" applyAlignment="0" applyProtection="0"/>
    <xf numFmtId="0" fontId="63" fillId="50" borderId="0" applyNumberFormat="0" applyBorder="0" applyAlignment="0" applyProtection="0"/>
    <xf numFmtId="176" fontId="45" fillId="0" borderId="0"/>
    <xf numFmtId="0" fontId="46" fillId="0" borderId="0"/>
    <xf numFmtId="0" fontId="46" fillId="0" borderId="0"/>
    <xf numFmtId="0" fontId="46" fillId="0" borderId="0"/>
    <xf numFmtId="0" fontId="6" fillId="0" borderId="0"/>
    <xf numFmtId="0" fontId="39" fillId="0" borderId="0"/>
    <xf numFmtId="0" fontId="55" fillId="51" borderId="39" applyNumberFormat="0" applyFont="0" applyAlignment="0" applyProtection="0"/>
    <xf numFmtId="0" fontId="55" fillId="51" borderId="39" applyNumberFormat="0" applyFont="0" applyAlignment="0" applyProtection="0"/>
    <xf numFmtId="0" fontId="55" fillId="51" borderId="39" applyNumberFormat="0" applyFont="0" applyAlignment="0" applyProtection="0"/>
    <xf numFmtId="0" fontId="64" fillId="48" borderId="40" applyNumberFormat="0" applyAlignment="0" applyProtection="0"/>
    <xf numFmtId="0" fontId="64" fillId="48" borderId="40" applyNumberFormat="0" applyAlignment="0" applyProtection="0"/>
    <xf numFmtId="0" fontId="64" fillId="48" borderId="40" applyNumberFormat="0" applyAlignment="0" applyProtection="0"/>
    <xf numFmtId="4" fontId="70" fillId="50" borderId="41" applyNumberFormat="0" applyProtection="0">
      <alignment vertical="center"/>
    </xf>
    <xf numFmtId="4" fontId="70" fillId="52" borderId="41" applyNumberFormat="0" applyProtection="0">
      <alignment horizontal="left" vertical="center" indent="1"/>
    </xf>
    <xf numFmtId="4" fontId="70" fillId="53" borderId="0" applyNumberFormat="0" applyProtection="0">
      <alignment horizontal="left" vertical="center" indent="1"/>
    </xf>
    <xf numFmtId="4" fontId="71" fillId="54" borderId="41" applyNumberFormat="0" applyProtection="0">
      <alignment horizontal="right" vertical="center"/>
    </xf>
    <xf numFmtId="4" fontId="71" fillId="55" borderId="41" applyNumberFormat="0" applyProtection="0">
      <alignment horizontal="right" vertical="center"/>
    </xf>
    <xf numFmtId="4" fontId="71" fillId="54" borderId="41" applyNumberFormat="0" applyProtection="0">
      <alignment horizontal="left" vertical="center" indent="1"/>
    </xf>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9" fontId="41" fillId="0" borderId="0" applyFont="0" applyFill="0" applyBorder="0" applyAlignment="0" applyProtection="0"/>
    <xf numFmtId="179" fontId="39" fillId="0" borderId="0" applyFont="0" applyFill="0" applyBorder="0" applyAlignment="0" applyProtection="0"/>
    <xf numFmtId="181" fontId="39" fillId="0" borderId="0" applyFont="0" applyFill="0" applyBorder="0" applyAlignment="0" applyProtection="0"/>
    <xf numFmtId="178" fontId="39" fillId="0" borderId="0" applyFont="0" applyFill="0" applyBorder="0" applyAlignment="0" applyProtection="0"/>
    <xf numFmtId="182" fontId="40" fillId="0" borderId="0" applyFont="0" applyFill="0" applyBorder="0" applyAlignment="0" applyProtection="0"/>
    <xf numFmtId="0" fontId="41" fillId="0" borderId="0"/>
    <xf numFmtId="0" fontId="39" fillId="0" borderId="0"/>
    <xf numFmtId="0" fontId="6" fillId="0" borderId="0"/>
    <xf numFmtId="0" fontId="39" fillId="0" borderId="0"/>
    <xf numFmtId="0" fontId="42" fillId="0" borderId="0"/>
    <xf numFmtId="0" fontId="6" fillId="0" borderId="0"/>
    <xf numFmtId="43" fontId="40" fillId="0" borderId="0" applyFont="0" applyFill="0" applyBorder="0" applyAlignment="0" applyProtection="0"/>
    <xf numFmtId="183" fontId="73" fillId="0" borderId="0"/>
    <xf numFmtId="184" fontId="44" fillId="0" borderId="0"/>
    <xf numFmtId="185" fontId="44" fillId="0" borderId="0"/>
    <xf numFmtId="0" fontId="46" fillId="0" borderId="0"/>
    <xf numFmtId="0" fontId="6" fillId="0" borderId="0"/>
    <xf numFmtId="9" fontId="39" fillId="0" borderId="0" applyFont="0" applyFill="0" applyBorder="0" applyAlignment="0" applyProtection="0"/>
    <xf numFmtId="0" fontId="6" fillId="0" borderId="0"/>
    <xf numFmtId="0" fontId="6" fillId="0" borderId="0"/>
    <xf numFmtId="0" fontId="2" fillId="0" borderId="0"/>
    <xf numFmtId="4" fontId="71" fillId="52" borderId="40" applyNumberFormat="0" applyProtection="0">
      <alignment vertical="center"/>
    </xf>
    <xf numFmtId="4" fontId="74" fillId="52" borderId="40" applyNumberFormat="0" applyProtection="0">
      <alignment vertical="center"/>
    </xf>
    <xf numFmtId="4" fontId="71" fillId="52" borderId="40" applyNumberFormat="0" applyProtection="0">
      <alignment horizontal="left" vertical="center" indent="1"/>
    </xf>
    <xf numFmtId="4" fontId="71" fillId="52" borderId="40" applyNumberFormat="0" applyProtection="0">
      <alignment horizontal="left" vertical="center" indent="1"/>
    </xf>
    <xf numFmtId="0" fontId="46" fillId="59" borderId="40" applyNumberFormat="0" applyProtection="0">
      <alignment horizontal="left" vertical="center" indent="1"/>
    </xf>
    <xf numFmtId="4" fontId="71" fillId="60" borderId="40" applyNumberFormat="0" applyProtection="0">
      <alignment horizontal="right" vertical="center"/>
    </xf>
    <xf numFmtId="4" fontId="71" fillId="61" borderId="40" applyNumberFormat="0" applyProtection="0">
      <alignment horizontal="right" vertical="center"/>
    </xf>
    <xf numFmtId="4" fontId="71" fillId="62" borderId="40" applyNumberFormat="0" applyProtection="0">
      <alignment horizontal="right" vertical="center"/>
    </xf>
    <xf numFmtId="4" fontId="71" fillId="63" borderId="40" applyNumberFormat="0" applyProtection="0">
      <alignment horizontal="right" vertical="center"/>
    </xf>
    <xf numFmtId="4" fontId="71" fillId="64" borderId="40" applyNumberFormat="0" applyProtection="0">
      <alignment horizontal="right" vertical="center"/>
    </xf>
    <xf numFmtId="4" fontId="71" fillId="65" borderId="40" applyNumberFormat="0" applyProtection="0">
      <alignment horizontal="right" vertical="center"/>
    </xf>
    <xf numFmtId="4" fontId="71" fillId="66" borderId="40" applyNumberFormat="0" applyProtection="0">
      <alignment horizontal="right" vertical="center"/>
    </xf>
    <xf numFmtId="4" fontId="71" fillId="67" borderId="40" applyNumberFormat="0" applyProtection="0">
      <alignment horizontal="right" vertical="center"/>
    </xf>
    <xf numFmtId="4" fontId="71" fillId="68" borderId="40" applyNumberFormat="0" applyProtection="0">
      <alignment horizontal="right" vertical="center"/>
    </xf>
    <xf numFmtId="4" fontId="70" fillId="69" borderId="40" applyNumberFormat="0" applyProtection="0">
      <alignment horizontal="left" vertical="center" indent="1"/>
    </xf>
    <xf numFmtId="4" fontId="71" fillId="70" borderId="43" applyNumberFormat="0" applyProtection="0">
      <alignment horizontal="left" vertical="center" indent="1"/>
    </xf>
    <xf numFmtId="4" fontId="75" fillId="71" borderId="0" applyNumberFormat="0" applyProtection="0">
      <alignment horizontal="left" vertical="center" indent="1"/>
    </xf>
    <xf numFmtId="0" fontId="46" fillId="59" borderId="40" applyNumberFormat="0" applyProtection="0">
      <alignment horizontal="left" vertical="center" indent="1"/>
    </xf>
    <xf numFmtId="4" fontId="71" fillId="70" borderId="40" applyNumberFormat="0" applyProtection="0">
      <alignment horizontal="left" vertical="center" indent="1"/>
    </xf>
    <xf numFmtId="4" fontId="71"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4" fontId="71" fillId="74" borderId="40" applyNumberFormat="0" applyProtection="0">
      <alignment vertical="center"/>
    </xf>
    <xf numFmtId="4" fontId="74" fillId="74" borderId="40" applyNumberFormat="0" applyProtection="0">
      <alignment vertical="center"/>
    </xf>
    <xf numFmtId="4" fontId="71" fillId="74" borderId="40" applyNumberFormat="0" applyProtection="0">
      <alignment horizontal="left" vertical="center" indent="1"/>
    </xf>
    <xf numFmtId="4" fontId="71" fillId="74" borderId="40" applyNumberFormat="0" applyProtection="0">
      <alignment horizontal="left" vertical="center" indent="1"/>
    </xf>
    <xf numFmtId="4" fontId="71" fillId="70" borderId="40" applyNumberFormat="0" applyProtection="0">
      <alignment horizontal="right" vertical="center"/>
    </xf>
    <xf numFmtId="4" fontId="74" fillId="70" borderId="40" applyNumberFormat="0" applyProtection="0">
      <alignment horizontal="right" vertical="center"/>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76" fillId="0" borderId="0"/>
    <xf numFmtId="4" fontId="48" fillId="70" borderId="40" applyNumberFormat="0" applyProtection="0">
      <alignment horizontal="right" vertical="center"/>
    </xf>
    <xf numFmtId="43" fontId="2" fillId="0" borderId="0" applyFont="0" applyFill="0" applyBorder="0" applyAlignment="0" applyProtection="0"/>
    <xf numFmtId="0" fontId="2" fillId="0" borderId="0"/>
    <xf numFmtId="0" fontId="6" fillId="0" borderId="0"/>
    <xf numFmtId="0" fontId="6" fillId="0" borderId="0"/>
    <xf numFmtId="43" fontId="40" fillId="0" borderId="0" applyFont="0" applyFill="0" applyBorder="0" applyAlignment="0" applyProtection="0"/>
    <xf numFmtId="43" fontId="46" fillId="0" borderId="0" applyFont="0" applyFill="0" applyBorder="0" applyAlignment="0" applyProtection="0"/>
    <xf numFmtId="0" fontId="46" fillId="0" borderId="0"/>
    <xf numFmtId="0" fontId="6" fillId="0" borderId="0"/>
    <xf numFmtId="0" fontId="6" fillId="0" borderId="0"/>
    <xf numFmtId="0" fontId="6" fillId="0" borderId="0"/>
    <xf numFmtId="0" fontId="46" fillId="0" borderId="0"/>
    <xf numFmtId="43" fontId="42" fillId="0" borderId="0" applyFont="0" applyFill="0" applyBorder="0" applyAlignment="0" applyProtection="0"/>
    <xf numFmtId="43" fontId="77" fillId="0" borderId="0" applyFont="0" applyFill="0" applyBorder="0" applyAlignment="0" applyProtection="0"/>
    <xf numFmtId="43" fontId="46" fillId="0" borderId="0" applyFont="0" applyFill="0" applyBorder="0" applyAlignment="0" applyProtection="0"/>
    <xf numFmtId="43" fontId="6" fillId="0" borderId="0" applyFont="0" applyFill="0" applyBorder="0" applyAlignment="0" applyProtection="0"/>
    <xf numFmtId="43" fontId="68" fillId="0" borderId="0" applyFont="0" applyFill="0" applyBorder="0" applyAlignment="0" applyProtection="0"/>
    <xf numFmtId="0" fontId="46" fillId="0" borderId="0"/>
    <xf numFmtId="0" fontId="46" fillId="0" borderId="0"/>
    <xf numFmtId="43" fontId="39" fillId="0" borderId="0" applyFont="0" applyFill="0" applyBorder="0" applyAlignment="0" applyProtection="0"/>
    <xf numFmtId="41" fontId="68" fillId="0" borderId="0" applyFont="0" applyFill="0" applyBorder="0" applyAlignment="0" applyProtection="0"/>
    <xf numFmtId="0" fontId="6" fillId="0" borderId="0"/>
    <xf numFmtId="0" fontId="2" fillId="0" borderId="0"/>
    <xf numFmtId="43" fontId="77" fillId="0" borderId="0" applyFont="0" applyFill="0" applyBorder="0" applyAlignment="0" applyProtection="0"/>
    <xf numFmtId="0" fontId="2" fillId="0" borderId="0"/>
    <xf numFmtId="43" fontId="2" fillId="0" borderId="0" applyFont="0" applyFill="0" applyBorder="0" applyAlignment="0" applyProtection="0"/>
    <xf numFmtId="0" fontId="46" fillId="0" borderId="0"/>
    <xf numFmtId="0" fontId="46" fillId="0" borderId="0"/>
    <xf numFmtId="0" fontId="6" fillId="0" borderId="0"/>
    <xf numFmtId="0" fontId="46" fillId="0" borderId="0"/>
    <xf numFmtId="0" fontId="46" fillId="0" borderId="0"/>
    <xf numFmtId="0" fontId="79" fillId="0" borderId="0"/>
    <xf numFmtId="0" fontId="46" fillId="0" borderId="0"/>
    <xf numFmtId="0" fontId="46" fillId="0" borderId="0"/>
    <xf numFmtId="0" fontId="46" fillId="0" borderId="0"/>
    <xf numFmtId="0" fontId="79" fillId="0" borderId="0"/>
    <xf numFmtId="0" fontId="46" fillId="0" borderId="0"/>
    <xf numFmtId="0" fontId="80" fillId="0" borderId="0"/>
    <xf numFmtId="0" fontId="46" fillId="0" borderId="0"/>
    <xf numFmtId="0" fontId="46" fillId="0" borderId="0"/>
    <xf numFmtId="9" fontId="77" fillId="0" borderId="0" applyFont="0" applyFill="0" applyBorder="0" applyAlignment="0" applyProtection="0"/>
    <xf numFmtId="9" fontId="46" fillId="0" borderId="0" applyFont="0" applyFill="0" applyBorder="0" applyAlignment="0" applyProtection="0"/>
    <xf numFmtId="9" fontId="77" fillId="0" borderId="0" applyFont="0" applyFill="0" applyBorder="0" applyAlignment="0" applyProtection="0"/>
    <xf numFmtId="9" fontId="39" fillId="0" borderId="0" applyFont="0" applyFill="0" applyBorder="0" applyAlignment="0" applyProtection="0"/>
    <xf numFmtId="0" fontId="2" fillId="0" borderId="0"/>
    <xf numFmtId="186" fontId="78" fillId="0" borderId="0"/>
    <xf numFmtId="167" fontId="68" fillId="0" borderId="0" applyFont="0" applyFill="0" applyBorder="0" applyAlignment="0" applyProtection="0"/>
    <xf numFmtId="168" fontId="68" fillId="0" borderId="0" applyFont="0" applyFill="0" applyBorder="0" applyAlignment="0" applyProtection="0"/>
    <xf numFmtId="0" fontId="2" fillId="0" borderId="0"/>
    <xf numFmtId="43" fontId="39" fillId="0" borderId="0" applyFont="0" applyFill="0" applyBorder="0" applyAlignment="0" applyProtection="0"/>
    <xf numFmtId="0" fontId="81" fillId="0" borderId="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0"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39"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0" fontId="81" fillId="0" borderId="0"/>
    <xf numFmtId="0" fontId="81" fillId="0" borderId="0"/>
    <xf numFmtId="38" fontId="49" fillId="56" borderId="0" applyNumberFormat="0" applyBorder="0" applyAlignment="0" applyProtection="0"/>
    <xf numFmtId="0" fontId="82"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10" fontId="49" fillId="74" borderId="28" applyNumberFormat="0" applyBorder="0" applyAlignment="0" applyProtection="0"/>
    <xf numFmtId="38" fontId="84" fillId="0" borderId="0" applyFont="0" applyFill="0" applyBorder="0" applyAlignment="0" applyProtection="0"/>
    <xf numFmtId="40" fontId="84" fillId="0" borderId="0" applyFont="0" applyFill="0" applyBorder="0" applyAlignment="0" applyProtection="0"/>
    <xf numFmtId="6" fontId="84" fillId="0" borderId="0" applyFont="0" applyFill="0" applyBorder="0" applyAlignment="0" applyProtection="0"/>
    <xf numFmtId="8" fontId="84" fillId="0" borderId="0" applyFont="0" applyFill="0" applyBorder="0" applyAlignment="0" applyProtection="0"/>
    <xf numFmtId="37" fontId="85" fillId="0" borderId="0"/>
    <xf numFmtId="0" fontId="81" fillId="0" borderId="0"/>
    <xf numFmtId="0" fontId="72" fillId="0" borderId="0"/>
    <xf numFmtId="0" fontId="39" fillId="0" borderId="0"/>
    <xf numFmtId="0" fontId="42" fillId="0" borderId="0"/>
    <xf numFmtId="0" fontId="46" fillId="0" borderId="0"/>
    <xf numFmtId="0" fontId="72" fillId="0" borderId="0"/>
    <xf numFmtId="0" fontId="39" fillId="0" borderId="0"/>
    <xf numFmtId="0" fontId="46" fillId="0" borderId="0"/>
    <xf numFmtId="0" fontId="72" fillId="0" borderId="0"/>
    <xf numFmtId="0" fontId="46" fillId="0" borderId="0"/>
    <xf numFmtId="0" fontId="39" fillId="0" borderId="0"/>
    <xf numFmtId="0" fontId="46" fillId="0" borderId="0"/>
    <xf numFmtId="0" fontId="46" fillId="0" borderId="0"/>
    <xf numFmtId="0" fontId="72" fillId="0" borderId="0"/>
    <xf numFmtId="0" fontId="42" fillId="0" borderId="0"/>
    <xf numFmtId="0" fontId="42" fillId="0" borderId="0"/>
    <xf numFmtId="0" fontId="46" fillId="0" borderId="0"/>
    <xf numFmtId="0" fontId="46" fillId="0" borderId="0"/>
    <xf numFmtId="0" fontId="72" fillId="0" borderId="0"/>
    <xf numFmtId="0" fontId="6" fillId="0" borderId="0"/>
    <xf numFmtId="0" fontId="39" fillId="0" borderId="0"/>
    <xf numFmtId="0" fontId="39" fillId="0" borderId="0"/>
    <xf numFmtId="0" fontId="39" fillId="0" borderId="0"/>
    <xf numFmtId="0" fontId="72" fillId="0" borderId="0"/>
    <xf numFmtId="0" fontId="46" fillId="0" borderId="0"/>
    <xf numFmtId="0" fontId="46" fillId="0" borderId="0"/>
    <xf numFmtId="0" fontId="39" fillId="0" borderId="0"/>
    <xf numFmtId="0" fontId="72" fillId="0" borderId="0"/>
    <xf numFmtId="0" fontId="46" fillId="0" borderId="0"/>
    <xf numFmtId="0" fontId="72" fillId="0" borderId="0"/>
    <xf numFmtId="0" fontId="39" fillId="0" borderId="0"/>
    <xf numFmtId="0" fontId="42" fillId="0" borderId="0"/>
    <xf numFmtId="0" fontId="72" fillId="0" borderId="0"/>
    <xf numFmtId="0" fontId="46" fillId="0" borderId="0"/>
    <xf numFmtId="0" fontId="46" fillId="0" borderId="0"/>
    <xf numFmtId="0" fontId="46" fillId="0" borderId="0"/>
    <xf numFmtId="0" fontId="39" fillId="0" borderId="0"/>
    <xf numFmtId="0" fontId="72" fillId="0" borderId="0"/>
    <xf numFmtId="0" fontId="46" fillId="0" borderId="0"/>
    <xf numFmtId="0" fontId="46" fillId="0" borderId="0"/>
    <xf numFmtId="0" fontId="46" fillId="0" borderId="0"/>
    <xf numFmtId="0" fontId="46" fillId="0" borderId="0"/>
    <xf numFmtId="0" fontId="42" fillId="0" borderId="0"/>
    <xf numFmtId="0" fontId="42" fillId="0" borderId="0"/>
    <xf numFmtId="0" fontId="72" fillId="0" borderId="0"/>
    <xf numFmtId="0" fontId="39" fillId="0" borderId="0"/>
    <xf numFmtId="0" fontId="46" fillId="0" borderId="0"/>
    <xf numFmtId="0" fontId="72" fillId="0" borderId="0"/>
    <xf numFmtId="0" fontId="39" fillId="0" borderId="0"/>
    <xf numFmtId="0" fontId="72" fillId="0" borderId="0"/>
    <xf numFmtId="0" fontId="72" fillId="0" borderId="0"/>
    <xf numFmtId="0" fontId="72" fillId="0" borderId="0"/>
    <xf numFmtId="0" fontId="72" fillId="0" borderId="0"/>
    <xf numFmtId="0" fontId="39" fillId="0" borderId="0"/>
    <xf numFmtId="0" fontId="39" fillId="0" borderId="0"/>
    <xf numFmtId="0" fontId="72" fillId="0" borderId="0"/>
    <xf numFmtId="0" fontId="46" fillId="0" borderId="0"/>
    <xf numFmtId="0" fontId="72" fillId="0" borderId="0"/>
    <xf numFmtId="0" fontId="39" fillId="0" borderId="0"/>
    <xf numFmtId="0" fontId="72" fillId="0" borderId="0"/>
    <xf numFmtId="0" fontId="46" fillId="0" borderId="0"/>
    <xf numFmtId="0" fontId="72" fillId="0" borderId="0"/>
    <xf numFmtId="0" fontId="72" fillId="0" borderId="0"/>
    <xf numFmtId="0" fontId="72" fillId="0" borderId="0"/>
    <xf numFmtId="0" fontId="46" fillId="0" borderId="0"/>
    <xf numFmtId="0" fontId="39" fillId="0" borderId="0"/>
    <xf numFmtId="0" fontId="46" fillId="0" borderId="0"/>
    <xf numFmtId="0" fontId="72" fillId="0" borderId="0"/>
    <xf numFmtId="0" fontId="39" fillId="0" borderId="0"/>
    <xf numFmtId="0" fontId="46" fillId="0" borderId="0"/>
    <xf numFmtId="0" fontId="46" fillId="0" borderId="0"/>
    <xf numFmtId="0" fontId="72" fillId="0" borderId="0"/>
    <xf numFmtId="0" fontId="72" fillId="0" borderId="0"/>
    <xf numFmtId="0" fontId="39" fillId="0" borderId="0"/>
    <xf numFmtId="0" fontId="46" fillId="0" borderId="0"/>
    <xf numFmtId="0" fontId="46" fillId="0" borderId="0"/>
    <xf numFmtId="0" fontId="42" fillId="0" borderId="0"/>
    <xf numFmtId="0" fontId="2" fillId="0" borderId="0"/>
    <xf numFmtId="0" fontId="72" fillId="0" borderId="0"/>
    <xf numFmtId="0" fontId="39" fillId="0" borderId="0"/>
    <xf numFmtId="0" fontId="46" fillId="0" borderId="0"/>
    <xf numFmtId="0" fontId="72" fillId="0" borderId="0"/>
    <xf numFmtId="0" fontId="39" fillId="0" borderId="0"/>
    <xf numFmtId="0" fontId="46" fillId="0" borderId="0"/>
    <xf numFmtId="0" fontId="46" fillId="0" borderId="0"/>
    <xf numFmtId="0" fontId="72" fillId="0" borderId="0"/>
    <xf numFmtId="0" fontId="39" fillId="0" borderId="0"/>
    <xf numFmtId="0" fontId="39" fillId="0" borderId="0"/>
    <xf numFmtId="10" fontId="46"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39" fillId="0" borderId="0" applyFont="0" applyFill="0" applyBorder="0" applyAlignment="0" applyProtection="0"/>
    <xf numFmtId="9" fontId="84" fillId="0" borderId="7" applyNumberFormat="0" applyBorder="0"/>
    <xf numFmtId="1" fontId="46" fillId="0" borderId="30" applyNumberFormat="0" applyFill="0" applyAlignment="0" applyProtection="0">
      <alignment horizontal="center" vertical="center"/>
    </xf>
    <xf numFmtId="4" fontId="71" fillId="55" borderId="41" applyNumberFormat="0" applyProtection="0">
      <alignment horizontal="right" vertical="center"/>
    </xf>
    <xf numFmtId="4" fontId="71" fillId="54" borderId="41" applyNumberFormat="0" applyProtection="0">
      <alignment horizontal="left" vertical="center" indent="1"/>
    </xf>
    <xf numFmtId="0" fontId="71" fillId="53" borderId="41" applyNumberFormat="0" applyProtection="0">
      <alignment horizontal="left" vertical="top" indent="1"/>
    </xf>
    <xf numFmtId="4" fontId="86" fillId="75" borderId="0" applyNumberFormat="0" applyProtection="0">
      <alignment horizontal="left" vertical="center" indent="1"/>
    </xf>
    <xf numFmtId="0" fontId="2" fillId="0" borderId="0"/>
    <xf numFmtId="0" fontId="2" fillId="0" borderId="0"/>
    <xf numFmtId="0" fontId="2" fillId="0" borderId="0"/>
    <xf numFmtId="0" fontId="2" fillId="0" borderId="0"/>
    <xf numFmtId="0" fontId="2" fillId="0" borderId="0"/>
    <xf numFmtId="0" fontId="87" fillId="30" borderId="0" applyNumberFormat="0" applyBorder="0" applyAlignment="0" applyProtection="0"/>
    <xf numFmtId="0" fontId="128" fillId="41" borderId="0" applyNumberFormat="0" applyBorder="0" applyAlignment="0" applyProtection="0"/>
    <xf numFmtId="0" fontId="87" fillId="31" borderId="0" applyNumberFormat="0" applyBorder="0" applyAlignment="0" applyProtection="0"/>
    <xf numFmtId="0" fontId="128" fillId="41" borderId="0" applyNumberFormat="0" applyBorder="0" applyAlignment="0" applyProtection="0"/>
    <xf numFmtId="0" fontId="87" fillId="32" borderId="0" applyNumberFormat="0" applyBorder="0" applyAlignment="0" applyProtection="0"/>
    <xf numFmtId="0" fontId="128" fillId="41" borderId="0" applyNumberFormat="0" applyBorder="0" applyAlignment="0" applyProtection="0"/>
    <xf numFmtId="0" fontId="87" fillId="33" borderId="0" applyNumberFormat="0" applyBorder="0" applyAlignment="0" applyProtection="0"/>
    <xf numFmtId="0" fontId="128" fillId="41" borderId="0" applyNumberFormat="0" applyBorder="0" applyAlignment="0" applyProtection="0"/>
    <xf numFmtId="0" fontId="87" fillId="34" borderId="0" applyNumberFormat="0" applyBorder="0" applyAlignment="0" applyProtection="0"/>
    <xf numFmtId="0" fontId="128" fillId="41" borderId="0" applyNumberFormat="0" applyBorder="0" applyAlignment="0" applyProtection="0"/>
    <xf numFmtId="0" fontId="87" fillId="35" borderId="0" applyNumberFormat="0" applyBorder="0" applyAlignment="0" applyProtection="0"/>
    <xf numFmtId="0" fontId="128" fillId="41" borderId="0" applyNumberFormat="0" applyBorder="0" applyAlignment="0" applyProtection="0"/>
    <xf numFmtId="0" fontId="87" fillId="36" borderId="0" applyNumberFormat="0" applyBorder="0" applyAlignment="0" applyProtection="0"/>
    <xf numFmtId="0" fontId="128" fillId="41" borderId="0" applyNumberFormat="0" applyBorder="0" applyAlignment="0" applyProtection="0"/>
    <xf numFmtId="0" fontId="87" fillId="37" borderId="0" applyNumberFormat="0" applyBorder="0" applyAlignment="0" applyProtection="0"/>
    <xf numFmtId="0" fontId="128" fillId="41" borderId="0" applyNumberFormat="0" applyBorder="0" applyAlignment="0" applyProtection="0"/>
    <xf numFmtId="0" fontId="87" fillId="38" borderId="0" applyNumberFormat="0" applyBorder="0" applyAlignment="0" applyProtection="0"/>
    <xf numFmtId="0" fontId="128" fillId="41" borderId="0" applyNumberFormat="0" applyBorder="0" applyAlignment="0" applyProtection="0"/>
    <xf numFmtId="0" fontId="87" fillId="33" borderId="0" applyNumberFormat="0" applyBorder="0" applyAlignment="0" applyProtection="0"/>
    <xf numFmtId="0" fontId="128" fillId="41" borderId="0" applyNumberFormat="0" applyBorder="0" applyAlignment="0" applyProtection="0"/>
    <xf numFmtId="0" fontId="87" fillId="36" borderId="0" applyNumberFormat="0" applyBorder="0" applyAlignment="0" applyProtection="0"/>
    <xf numFmtId="0" fontId="128" fillId="41" borderId="0" applyNumberFormat="0" applyBorder="0" applyAlignment="0" applyProtection="0"/>
    <xf numFmtId="0" fontId="87" fillId="39" borderId="0" applyNumberFormat="0" applyBorder="0" applyAlignment="0" applyProtection="0"/>
    <xf numFmtId="0" fontId="128" fillId="41" borderId="0" applyNumberFormat="0" applyBorder="0" applyAlignment="0" applyProtection="0"/>
    <xf numFmtId="0" fontId="88" fillId="40" borderId="0" applyNumberFormat="0" applyBorder="0" applyAlignment="0" applyProtection="0"/>
    <xf numFmtId="0" fontId="128" fillId="41" borderId="0" applyNumberFormat="0" applyBorder="0" applyAlignment="0" applyProtection="0"/>
    <xf numFmtId="0" fontId="88" fillId="37" borderId="0" applyNumberFormat="0" applyBorder="0" applyAlignment="0" applyProtection="0"/>
    <xf numFmtId="0" fontId="128" fillId="41" borderId="0" applyNumberFormat="0" applyBorder="0" applyAlignment="0" applyProtection="0"/>
    <xf numFmtId="0" fontId="88" fillId="38" borderId="0" applyNumberFormat="0" applyBorder="0" applyAlignment="0" applyProtection="0"/>
    <xf numFmtId="0" fontId="128" fillId="41" borderId="0" applyNumberFormat="0" applyBorder="0" applyAlignment="0" applyProtection="0"/>
    <xf numFmtId="0" fontId="88" fillId="41" borderId="0" applyNumberFormat="0" applyBorder="0" applyAlignment="0" applyProtection="0"/>
    <xf numFmtId="0" fontId="128" fillId="41" borderId="0" applyNumberFormat="0" applyBorder="0" applyAlignment="0" applyProtection="0"/>
    <xf numFmtId="0" fontId="88" fillId="42" borderId="0" applyNumberFormat="0" applyBorder="0" applyAlignment="0" applyProtection="0"/>
    <xf numFmtId="0" fontId="128" fillId="41" borderId="0" applyNumberFormat="0" applyBorder="0" applyAlignment="0" applyProtection="0"/>
    <xf numFmtId="0" fontId="88" fillId="43"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77" fillId="76" borderId="0" applyNumberFormat="0" applyBorder="0" applyAlignment="0" applyProtection="0"/>
    <xf numFmtId="0" fontId="77" fillId="77" borderId="0" applyNumberFormat="0" applyBorder="0" applyAlignment="0" applyProtection="0"/>
    <xf numFmtId="0" fontId="89" fillId="78"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8" fillId="44"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128" fillId="41"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77" fillId="80" borderId="0" applyNumberFormat="0" applyBorder="0" applyAlignment="0" applyProtection="0"/>
    <xf numFmtId="0" fontId="77" fillId="81" borderId="0" applyNumberFormat="0" applyBorder="0" applyAlignment="0" applyProtection="0"/>
    <xf numFmtId="0" fontId="89" fillId="82"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8" fillId="45"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128" fillId="41"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77" fillId="84" borderId="0" applyNumberFormat="0" applyBorder="0" applyAlignment="0" applyProtection="0"/>
    <xf numFmtId="0" fontId="77" fillId="85" borderId="0" applyNumberFormat="0" applyBorder="0" applyAlignment="0" applyProtection="0"/>
    <xf numFmtId="0" fontId="89" fillId="86"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8" fillId="46"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128" fillId="41"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77" fillId="80" borderId="0" applyNumberFormat="0" applyBorder="0" applyAlignment="0" applyProtection="0"/>
    <xf numFmtId="0" fontId="77" fillId="88" borderId="0" applyNumberFormat="0" applyBorder="0" applyAlignment="0" applyProtection="0"/>
    <xf numFmtId="0" fontId="89" fillId="81"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8" fillId="41"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128" fillId="41"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77" fillId="90" borderId="0" applyNumberFormat="0" applyBorder="0" applyAlignment="0" applyProtection="0"/>
    <xf numFmtId="0" fontId="77" fillId="91"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8" fillId="42"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128" fillId="41"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77" fillId="92" borderId="0" applyNumberFormat="0" applyBorder="0" applyAlignment="0" applyProtection="0"/>
    <xf numFmtId="0" fontId="77" fillId="93" borderId="0" applyNumberFormat="0" applyBorder="0" applyAlignment="0" applyProtection="0"/>
    <xf numFmtId="0" fontId="89" fillId="94"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8" fillId="47"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128" fillId="41"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90" fillId="31" borderId="0" applyNumberFormat="0" applyBorder="0" applyAlignment="0" applyProtection="0"/>
    <xf numFmtId="0" fontId="128" fillId="41" borderId="0" applyNumberFormat="0" applyBorder="0" applyAlignment="0" applyProtection="0"/>
    <xf numFmtId="0" fontId="91" fillId="92" borderId="0" applyNumberFormat="0" applyBorder="0" applyAlignment="0" applyProtection="0"/>
    <xf numFmtId="0" fontId="92" fillId="48" borderId="33" applyNumberFormat="0" applyAlignment="0" applyProtection="0"/>
    <xf numFmtId="0" fontId="128" fillId="41" borderId="0" applyNumberFormat="0" applyBorder="0" applyAlignment="0" applyProtection="0"/>
    <xf numFmtId="0" fontId="93" fillId="96" borderId="44" applyNumberFormat="0" applyAlignment="0" applyProtection="0"/>
    <xf numFmtId="0" fontId="94" fillId="49" borderId="34" applyNumberFormat="0" applyAlignment="0" applyProtection="0"/>
    <xf numFmtId="0" fontId="128" fillId="41" borderId="0" applyNumberFormat="0" applyBorder="0" applyAlignment="0" applyProtection="0"/>
    <xf numFmtId="0" fontId="95" fillId="89" borderId="34" applyNumberFormat="0" applyAlignment="0" applyProtection="0"/>
    <xf numFmtId="0" fontId="128" fillId="41" borderId="0" applyNumberFormat="0" applyBorder="0" applyAlignment="0" applyProtection="0"/>
    <xf numFmtId="0" fontId="128" fillId="41" borderId="0" applyNumberFormat="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39"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0" fontId="128" fillId="41" borderId="0" applyNumberFormat="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87"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0" fontId="128" fillId="41" borderId="0" applyNumberFormat="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96" fillId="0" borderId="0" applyFont="0" applyFill="0" applyBorder="0" applyAlignment="0" applyProtection="0"/>
    <xf numFmtId="43" fontId="87" fillId="0" borderId="0" applyFont="0" applyFill="0" applyBorder="0" applyAlignment="0" applyProtection="0"/>
    <xf numFmtId="43" fontId="77" fillId="0" borderId="0" applyFont="0" applyFill="0" applyBorder="0" applyAlignment="0" applyProtection="0"/>
    <xf numFmtId="43" fontId="6" fillId="0" borderId="0" applyFont="0" applyFill="0" applyBorder="0" applyAlignment="0" applyProtection="0"/>
    <xf numFmtId="43" fontId="39"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168" fontId="42" fillId="0" borderId="0" applyFont="0" applyFill="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97" fillId="97" borderId="0" applyNumberFormat="0" applyBorder="0" applyAlignment="0" applyProtection="0"/>
    <xf numFmtId="0" fontId="97" fillId="98" borderId="0" applyNumberFormat="0" applyBorder="0" applyAlignment="0" applyProtection="0"/>
    <xf numFmtId="0" fontId="97" fillId="99" borderId="0" applyNumberFormat="0" applyBorder="0" applyAlignment="0" applyProtection="0"/>
    <xf numFmtId="0" fontId="98" fillId="0" borderId="0" applyNumberFormat="0" applyFill="0" applyBorder="0" applyAlignment="0" applyProtection="0"/>
    <xf numFmtId="0" fontId="128" fillId="41" borderId="0" applyNumberFormat="0" applyBorder="0" applyAlignment="0" applyProtection="0"/>
    <xf numFmtId="0" fontId="126" fillId="28" borderId="0" applyNumberFormat="0" applyBorder="0" applyAlignment="0" applyProtection="0"/>
    <xf numFmtId="0" fontId="128" fillId="41" borderId="0" applyNumberFormat="0" applyBorder="0" applyAlignment="0" applyProtection="0"/>
    <xf numFmtId="0" fontId="77" fillId="85"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99" fillId="0" borderId="35" applyNumberFormat="0" applyFill="0" applyAlignment="0" applyProtection="0"/>
    <xf numFmtId="0" fontId="128" fillId="41" borderId="0" applyNumberFormat="0" applyBorder="0" applyAlignment="0" applyProtection="0"/>
    <xf numFmtId="0" fontId="100" fillId="0" borderId="45" applyNumberFormat="0" applyFill="0" applyAlignment="0" applyProtection="0"/>
    <xf numFmtId="0" fontId="101" fillId="0" borderId="36" applyNumberFormat="0" applyFill="0" applyAlignment="0" applyProtection="0"/>
    <xf numFmtId="0" fontId="128" fillId="41" borderId="0" applyNumberFormat="0" applyBorder="0" applyAlignment="0" applyProtection="0"/>
    <xf numFmtId="0" fontId="102" fillId="0" borderId="46" applyNumberFormat="0" applyFill="0" applyAlignment="0" applyProtection="0"/>
    <xf numFmtId="0" fontId="103" fillId="0" borderId="37" applyNumberFormat="0" applyFill="0" applyAlignment="0" applyProtection="0"/>
    <xf numFmtId="0" fontId="128" fillId="41" borderId="0" applyNumberFormat="0" applyBorder="0" applyAlignment="0" applyProtection="0"/>
    <xf numFmtId="0" fontId="104" fillId="0" borderId="47" applyNumberFormat="0" applyFill="0" applyAlignment="0" applyProtection="0"/>
    <xf numFmtId="0" fontId="103" fillId="0" borderId="0" applyNumberFormat="0" applyFill="0" applyBorder="0" applyAlignment="0" applyProtection="0"/>
    <xf numFmtId="0" fontId="128" fillId="41" borderId="0" applyNumberFormat="0" applyBorder="0" applyAlignment="0" applyProtection="0"/>
    <xf numFmtId="0" fontId="104" fillId="0" borderId="0" applyNumberFormat="0" applyFill="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05"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27" fillId="0" borderId="0" applyNumberFormat="0" applyFill="0" applyBorder="0" applyAlignment="0" applyProtection="0">
      <alignment vertical="top"/>
      <protection locked="0"/>
    </xf>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7" fillId="35" borderId="33"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7" fillId="35" borderId="33"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8" fillId="0" borderId="38" applyNumberFormat="0" applyFill="0" applyAlignment="0" applyProtection="0"/>
    <xf numFmtId="0" fontId="128" fillId="42" borderId="0" applyNumberFormat="0" applyBorder="0" applyAlignment="0" applyProtection="0"/>
    <xf numFmtId="0" fontId="109" fillId="0" borderId="48" applyNumberFormat="0" applyFill="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10" fillId="50" borderId="0" applyNumberFormat="0" applyBorder="0" applyAlignment="0" applyProtection="0"/>
    <xf numFmtId="0" fontId="128" fillId="42" borderId="0" applyNumberFormat="0" applyBorder="0" applyAlignment="0" applyProtection="0"/>
    <xf numFmtId="0" fontId="109" fillId="93"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72" fillId="0" borderId="0"/>
    <xf numFmtId="0" fontId="111" fillId="0" borderId="0"/>
    <xf numFmtId="0" fontId="72" fillId="0" borderId="0"/>
    <xf numFmtId="0" fontId="111" fillId="0" borderId="0"/>
    <xf numFmtId="0" fontId="72" fillId="0" borderId="0"/>
    <xf numFmtId="0" fontId="46" fillId="0" borderId="0"/>
    <xf numFmtId="0" fontId="46" fillId="0" borderId="0"/>
    <xf numFmtId="0" fontId="72" fillId="0" borderId="0"/>
    <xf numFmtId="0" fontId="111" fillId="0" borderId="0"/>
    <xf numFmtId="0" fontId="46" fillId="0" borderId="0"/>
    <xf numFmtId="0" fontId="128" fillId="42" borderId="0" applyNumberFormat="0" applyBorder="0" applyAlignment="0" applyProtection="0"/>
    <xf numFmtId="0" fontId="46" fillId="0" borderId="0"/>
    <xf numFmtId="0" fontId="46" fillId="0" borderId="0"/>
    <xf numFmtId="0" fontId="46" fillId="0" borderId="0"/>
    <xf numFmtId="0" fontId="72" fillId="0" borderId="0"/>
    <xf numFmtId="0" fontId="111" fillId="0" borderId="0"/>
    <xf numFmtId="0" fontId="2" fillId="0" borderId="0"/>
    <xf numFmtId="0" fontId="46" fillId="0" borderId="0"/>
    <xf numFmtId="0" fontId="2" fillId="0" borderId="0"/>
    <xf numFmtId="0" fontId="2" fillId="0" borderId="0"/>
    <xf numFmtId="0" fontId="72" fillId="0" borderId="0"/>
    <xf numFmtId="0" fontId="128" fillId="42" borderId="0" applyNumberFormat="0" applyBorder="0" applyAlignment="0" applyProtection="0"/>
    <xf numFmtId="0" fontId="42" fillId="0" borderId="0"/>
    <xf numFmtId="0" fontId="6" fillId="0" borderId="0"/>
    <xf numFmtId="0" fontId="111" fillId="0" borderId="0"/>
    <xf numFmtId="0" fontId="72" fillId="0" borderId="0"/>
    <xf numFmtId="0" fontId="2" fillId="0" borderId="0"/>
    <xf numFmtId="0" fontId="2" fillId="0" borderId="0"/>
    <xf numFmtId="0" fontId="79" fillId="0" borderId="0"/>
    <xf numFmtId="0" fontId="79" fillId="0" borderId="0"/>
    <xf numFmtId="0" fontId="79" fillId="0" borderId="0"/>
    <xf numFmtId="0" fontId="79" fillId="0" borderId="0"/>
    <xf numFmtId="0" fontId="79" fillId="0" borderId="0"/>
    <xf numFmtId="0" fontId="128" fillId="42" borderId="0" applyNumberFormat="0" applyBorder="0" applyAlignment="0" applyProtection="0"/>
    <xf numFmtId="0" fontId="79" fillId="0" borderId="0"/>
    <xf numFmtId="0" fontId="79" fillId="0" borderId="0"/>
    <xf numFmtId="0" fontId="79" fillId="0" borderId="0"/>
    <xf numFmtId="0" fontId="79" fillId="0" borderId="0"/>
    <xf numFmtId="0" fontId="2" fillId="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128" fillId="42" borderId="0" applyNumberFormat="0" applyBorder="0" applyAlignment="0" applyProtection="0"/>
    <xf numFmtId="0" fontId="42" fillId="0" borderId="0"/>
    <xf numFmtId="0" fontId="72" fillId="0" borderId="0"/>
    <xf numFmtId="0" fontId="72" fillId="0" borderId="0"/>
    <xf numFmtId="0" fontId="72" fillId="0" borderId="0"/>
    <xf numFmtId="0" fontId="2" fillId="0" borderId="0"/>
    <xf numFmtId="0" fontId="39" fillId="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39" fillId="0" borderId="0"/>
    <xf numFmtId="0" fontId="72" fillId="0" borderId="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69" fillId="0" borderId="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72" fillId="0" borderId="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2" fillId="0" borderId="0"/>
    <xf numFmtId="0" fontId="2" fillId="0" borderId="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42" fillId="0" borderId="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2" fillId="0" borderId="0"/>
    <xf numFmtId="0" fontId="2" fillId="0" borderId="0"/>
    <xf numFmtId="0" fontId="4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39" fillId="0" borderId="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39" fillId="0" borderId="0"/>
    <xf numFmtId="0" fontId="128" fillId="47" borderId="0" applyNumberFormat="0" applyBorder="0" applyAlignment="0" applyProtection="0"/>
    <xf numFmtId="0" fontId="72" fillId="0" borderId="0"/>
    <xf numFmtId="0" fontId="46" fillId="0" borderId="0"/>
    <xf numFmtId="0" fontId="42" fillId="0" borderId="0"/>
    <xf numFmtId="0" fontId="39" fillId="0" borderId="0"/>
    <xf numFmtId="0" fontId="72" fillId="0" borderId="0"/>
    <xf numFmtId="0" fontId="46" fillId="0" borderId="0"/>
    <xf numFmtId="0" fontId="72" fillId="0" borderId="0"/>
    <xf numFmtId="0" fontId="72" fillId="0" borderId="0"/>
    <xf numFmtId="0" fontId="46" fillId="0" borderId="0"/>
    <xf numFmtId="0" fontId="46" fillId="0" borderId="0"/>
    <xf numFmtId="0" fontId="111" fillId="0" borderId="0"/>
    <xf numFmtId="0" fontId="129" fillId="31" borderId="0" applyNumberFormat="0" applyBorder="0" applyAlignment="0" applyProtection="0"/>
    <xf numFmtId="0" fontId="129" fillId="31" borderId="0" applyNumberFormat="0" applyBorder="0" applyAlignment="0" applyProtection="0"/>
    <xf numFmtId="0" fontId="87" fillId="29" borderId="32" applyNumberFormat="0" applyFont="0" applyAlignment="0" applyProtection="0"/>
    <xf numFmtId="0" fontId="129" fillId="31" borderId="0" applyNumberFormat="0" applyBorder="0" applyAlignment="0" applyProtection="0"/>
    <xf numFmtId="0" fontId="49" fillId="92" borderId="44" applyNumberFormat="0" applyFont="0" applyAlignment="0" applyProtection="0"/>
    <xf numFmtId="0" fontId="112" fillId="48" borderId="40" applyNumberFormat="0" applyAlignment="0" applyProtection="0"/>
    <xf numFmtId="0" fontId="129" fillId="31" borderId="0" applyNumberFormat="0" applyBorder="0" applyAlignment="0" applyProtection="0"/>
    <xf numFmtId="0" fontId="113" fillId="96" borderId="40" applyNumberFormat="0" applyAlignment="0" applyProtection="0"/>
    <xf numFmtId="9" fontId="2" fillId="0" borderId="0" applyFont="0" applyFill="0" applyBorder="0" applyAlignment="0" applyProtection="0"/>
    <xf numFmtId="0" fontId="129" fillId="31" borderId="0" applyNumberFormat="0" applyBorder="0" applyAlignment="0" applyProtection="0"/>
    <xf numFmtId="0" fontId="129" fillId="31" borderId="0" applyNumberFormat="0" applyBorder="0" applyAlignment="0" applyProtection="0"/>
    <xf numFmtId="9" fontId="46" fillId="0" borderId="0" applyFont="0" applyFill="0" applyBorder="0" applyAlignment="0" applyProtection="0"/>
    <xf numFmtId="0" fontId="129" fillId="31" borderId="0" applyNumberFormat="0" applyBorder="0" applyAlignment="0" applyProtection="0"/>
    <xf numFmtId="0" fontId="129" fillId="31" borderId="0" applyNumberFormat="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77" fillId="0" borderId="0" applyFont="0" applyFill="0" applyBorder="0" applyAlignment="0" applyProtection="0"/>
    <xf numFmtId="9" fontId="87" fillId="0" borderId="0" applyFont="0" applyFill="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4" fontId="49" fillId="50" borderId="44" applyNumberFormat="0" applyProtection="0">
      <alignment vertical="center"/>
    </xf>
    <xf numFmtId="4" fontId="114" fillId="52" borderId="41" applyNumberFormat="0" applyProtection="0">
      <alignment vertical="center"/>
    </xf>
    <xf numFmtId="4" fontId="115" fillId="52" borderId="44" applyNumberFormat="0" applyProtection="0">
      <alignment vertical="center"/>
    </xf>
    <xf numFmtId="0" fontId="129" fillId="31" borderId="0" applyNumberFormat="0" applyBorder="0" applyAlignment="0" applyProtection="0"/>
    <xf numFmtId="0" fontId="129" fillId="31" borderId="0" applyNumberFormat="0" applyBorder="0" applyAlignment="0" applyProtection="0"/>
    <xf numFmtId="4" fontId="49" fillId="52" borderId="44" applyNumberFormat="0" applyProtection="0">
      <alignment horizontal="left" vertical="center" indent="1"/>
    </xf>
    <xf numFmtId="0" fontId="70" fillId="52" borderId="41" applyNumberFormat="0" applyProtection="0">
      <alignment horizontal="left" vertical="top" indent="1"/>
    </xf>
    <xf numFmtId="0" fontId="116" fillId="50" borderId="41" applyNumberFormat="0" applyProtection="0">
      <alignment horizontal="left" vertical="top" indent="1"/>
    </xf>
    <xf numFmtId="0" fontId="129" fillId="31" borderId="0" applyNumberFormat="0" applyBorder="0" applyAlignment="0" applyProtection="0"/>
    <xf numFmtId="0" fontId="129" fillId="31" borderId="0" applyNumberFormat="0" applyBorder="0" applyAlignment="0" applyProtection="0"/>
    <xf numFmtId="4" fontId="49" fillId="42" borderId="44" applyNumberFormat="0" applyProtection="0">
      <alignment horizontal="left" vertical="center" indent="1"/>
    </xf>
    <xf numFmtId="4" fontId="71" fillId="31" borderId="41" applyNumberFormat="0" applyProtection="0">
      <alignment horizontal="right" vertical="center"/>
    </xf>
    <xf numFmtId="4" fontId="49" fillId="31" borderId="44" applyNumberFormat="0" applyProtection="0">
      <alignment horizontal="right" vertical="center"/>
    </xf>
    <xf numFmtId="4" fontId="71" fillId="37" borderId="41" applyNumberFormat="0" applyProtection="0">
      <alignment horizontal="right" vertical="center"/>
    </xf>
    <xf numFmtId="4" fontId="49" fillId="101" borderId="44" applyNumberFormat="0" applyProtection="0">
      <alignment horizontal="right" vertical="center"/>
    </xf>
    <xf numFmtId="4" fontId="71" fillId="45" borderId="41" applyNumberFormat="0" applyProtection="0">
      <alignment horizontal="right" vertical="center"/>
    </xf>
    <xf numFmtId="4" fontId="49" fillId="45" borderId="49" applyNumberFormat="0" applyProtection="0">
      <alignment horizontal="right" vertical="center"/>
    </xf>
    <xf numFmtId="4" fontId="71" fillId="39" borderId="41" applyNumberFormat="0" applyProtection="0">
      <alignment horizontal="right" vertical="center"/>
    </xf>
    <xf numFmtId="4" fontId="49" fillId="39" borderId="44" applyNumberFormat="0" applyProtection="0">
      <alignment horizontal="right" vertical="center"/>
    </xf>
    <xf numFmtId="4" fontId="71" fillId="43" borderId="41" applyNumberFormat="0" applyProtection="0">
      <alignment horizontal="right" vertical="center"/>
    </xf>
    <xf numFmtId="4" fontId="49" fillId="43" borderId="44" applyNumberFormat="0" applyProtection="0">
      <alignment horizontal="right" vertical="center"/>
    </xf>
    <xf numFmtId="4" fontId="71" fillId="47" borderId="41" applyNumberFormat="0" applyProtection="0">
      <alignment horizontal="right" vertical="center"/>
    </xf>
    <xf numFmtId="4" fontId="49" fillId="47" borderId="44" applyNumberFormat="0" applyProtection="0">
      <alignment horizontal="right" vertical="center"/>
    </xf>
    <xf numFmtId="4" fontId="71" fillId="46" borderId="41" applyNumberFormat="0" applyProtection="0">
      <alignment horizontal="right" vertical="center"/>
    </xf>
    <xf numFmtId="4" fontId="49" fillId="46" borderId="44" applyNumberFormat="0" applyProtection="0">
      <alignment horizontal="right" vertical="center"/>
    </xf>
    <xf numFmtId="4" fontId="71" fillId="102" borderId="41" applyNumberFormat="0" applyProtection="0">
      <alignment horizontal="right" vertical="center"/>
    </xf>
    <xf numFmtId="4" fontId="49" fillId="102" borderId="44" applyNumberFormat="0" applyProtection="0">
      <alignment horizontal="right" vertical="center"/>
    </xf>
    <xf numFmtId="4" fontId="71" fillId="38" borderId="41" applyNumberFormat="0" applyProtection="0">
      <alignment horizontal="right" vertical="center"/>
    </xf>
    <xf numFmtId="4" fontId="49" fillId="38" borderId="44" applyNumberFormat="0" applyProtection="0">
      <alignment horizontal="right" vertical="center"/>
    </xf>
    <xf numFmtId="4" fontId="70" fillId="103" borderId="50" applyNumberFormat="0" applyProtection="0">
      <alignment horizontal="left" vertical="center" indent="1"/>
    </xf>
    <xf numFmtId="4" fontId="49" fillId="103" borderId="49" applyNumberFormat="0" applyProtection="0">
      <alignment horizontal="left" vertical="center" indent="1"/>
    </xf>
    <xf numFmtId="4" fontId="71" fillId="55" borderId="0" applyNumberFormat="0" applyProtection="0">
      <alignment horizontal="left" vertical="center" indent="1"/>
    </xf>
    <xf numFmtId="4" fontId="46" fillId="104" borderId="49" applyNumberFormat="0" applyProtection="0">
      <alignment horizontal="left" vertical="center" indent="1"/>
    </xf>
    <xf numFmtId="0" fontId="129" fillId="31" borderId="0" applyNumberFormat="0" applyBorder="0" applyAlignment="0" applyProtection="0"/>
    <xf numFmtId="4" fontId="46" fillId="104" borderId="49" applyNumberFormat="0" applyProtection="0">
      <alignment horizontal="left" vertical="center" indent="1"/>
    </xf>
    <xf numFmtId="0" fontId="129" fillId="31" borderId="0" applyNumberFormat="0" applyBorder="0" applyAlignment="0" applyProtection="0"/>
    <xf numFmtId="4" fontId="49" fillId="54" borderId="44" applyNumberFormat="0" applyProtection="0">
      <alignment horizontal="right" vertical="center"/>
    </xf>
    <xf numFmtId="4" fontId="71" fillId="55" borderId="0" applyNumberFormat="0" applyProtection="0">
      <alignment horizontal="left" vertical="center" indent="1"/>
    </xf>
    <xf numFmtId="4" fontId="49" fillId="55" borderId="49" applyNumberFormat="0" applyProtection="0">
      <alignment horizontal="left" vertical="center" indent="1"/>
    </xf>
    <xf numFmtId="4" fontId="71" fillId="53" borderId="0" applyNumberFormat="0" applyProtection="0">
      <alignment horizontal="left" vertical="center" indent="1"/>
    </xf>
    <xf numFmtId="4" fontId="49" fillId="54" borderId="49" applyNumberFormat="0" applyProtection="0">
      <alignment horizontal="left" vertical="center" indent="1"/>
    </xf>
    <xf numFmtId="0" fontId="46" fillId="71" borderId="41" applyNumberFormat="0" applyProtection="0">
      <alignment horizontal="left" vertical="center" indent="1"/>
    </xf>
    <xf numFmtId="0" fontId="49" fillId="48" borderId="44" applyNumberFormat="0" applyProtection="0">
      <alignment horizontal="left" vertical="center" indent="1"/>
    </xf>
    <xf numFmtId="0" fontId="46" fillId="71" borderId="41" applyNumberFormat="0" applyProtection="0">
      <alignment horizontal="left" vertical="top" indent="1"/>
    </xf>
    <xf numFmtId="0" fontId="49" fillId="104" borderId="41" applyNumberFormat="0" applyProtection="0">
      <alignment horizontal="left" vertical="top" indent="1"/>
    </xf>
    <xf numFmtId="0" fontId="46" fillId="53" borderId="41" applyNumberFormat="0" applyProtection="0">
      <alignment horizontal="left" vertical="center" indent="1"/>
    </xf>
    <xf numFmtId="0" fontId="49" fillId="105" borderId="44" applyNumberFormat="0" applyProtection="0">
      <alignment horizontal="left" vertical="center" indent="1"/>
    </xf>
    <xf numFmtId="0" fontId="46" fillId="53" borderId="41" applyNumberFormat="0" applyProtection="0">
      <alignment horizontal="left" vertical="top" indent="1"/>
    </xf>
    <xf numFmtId="0" fontId="49" fillId="54" borderId="41" applyNumberFormat="0" applyProtection="0">
      <alignment horizontal="left" vertical="top" indent="1"/>
    </xf>
    <xf numFmtId="0" fontId="46" fillId="58" borderId="41" applyNumberFormat="0" applyProtection="0">
      <alignment horizontal="left" vertical="center" indent="1"/>
    </xf>
    <xf numFmtId="0" fontId="49" fillId="36" borderId="44" applyNumberFormat="0" applyProtection="0">
      <alignment horizontal="left" vertical="center" indent="1"/>
    </xf>
    <xf numFmtId="0" fontId="46" fillId="58" borderId="41" applyNumberFormat="0" applyProtection="0">
      <alignment horizontal="left" vertical="top" indent="1"/>
    </xf>
    <xf numFmtId="0" fontId="49" fillId="36" borderId="41" applyNumberFormat="0" applyProtection="0">
      <alignment horizontal="left" vertical="top" indent="1"/>
    </xf>
    <xf numFmtId="0" fontId="46" fillId="57" borderId="41" applyNumberFormat="0" applyProtection="0">
      <alignment horizontal="left" vertical="center" indent="1"/>
    </xf>
    <xf numFmtId="0" fontId="49" fillId="55" borderId="44" applyNumberFormat="0" applyProtection="0">
      <alignment horizontal="left" vertical="center" indent="1"/>
    </xf>
    <xf numFmtId="0" fontId="46" fillId="57" borderId="41" applyNumberFormat="0" applyProtection="0">
      <alignment horizontal="left" vertical="top" indent="1"/>
    </xf>
    <xf numFmtId="0" fontId="49" fillId="55" borderId="41" applyNumberFormat="0" applyProtection="0">
      <alignment horizontal="left" vertical="top" indent="1"/>
    </xf>
    <xf numFmtId="0" fontId="49" fillId="106" borderId="51" applyNumberFormat="0">
      <protection locked="0"/>
    </xf>
    <xf numFmtId="0" fontId="117" fillId="104" borderId="52" applyBorder="0"/>
    <xf numFmtId="4" fontId="71" fillId="74" borderId="41" applyNumberFormat="0" applyProtection="0">
      <alignment vertical="center"/>
    </xf>
    <xf numFmtId="4" fontId="118" fillId="51" borderId="41" applyNumberFormat="0" applyProtection="0">
      <alignment vertical="center"/>
    </xf>
    <xf numFmtId="4" fontId="74" fillId="74" borderId="41" applyNumberFormat="0" applyProtection="0">
      <alignment vertical="center"/>
    </xf>
    <xf numFmtId="4" fontId="115" fillId="74" borderId="28" applyNumberFormat="0" applyProtection="0">
      <alignment vertical="center"/>
    </xf>
    <xf numFmtId="4" fontId="71" fillId="74" borderId="41" applyNumberFormat="0" applyProtection="0">
      <alignment horizontal="left" vertical="center" indent="1"/>
    </xf>
    <xf numFmtId="4" fontId="118" fillId="48" borderId="41" applyNumberFormat="0" applyProtection="0">
      <alignment horizontal="left" vertical="center" indent="1"/>
    </xf>
    <xf numFmtId="0" fontId="71" fillId="74" borderId="41" applyNumberFormat="0" applyProtection="0">
      <alignment horizontal="left" vertical="top" indent="1"/>
    </xf>
    <xf numFmtId="0" fontId="118" fillId="51" borderId="41" applyNumberFormat="0" applyProtection="0">
      <alignment horizontal="left" vertical="top" indent="1"/>
    </xf>
    <xf numFmtId="0" fontId="129" fillId="31" borderId="0" applyNumberFormat="0" applyBorder="0" applyAlignment="0" applyProtection="0"/>
    <xf numFmtId="0" fontId="129" fillId="31" borderId="0" applyNumberFormat="0" applyBorder="0" applyAlignment="0" applyProtection="0"/>
    <xf numFmtId="4" fontId="49" fillId="0" borderId="44" applyNumberFormat="0" applyProtection="0">
      <alignment horizontal="right" vertical="center"/>
    </xf>
    <xf numFmtId="4" fontId="74" fillId="55" borderId="41" applyNumberFormat="0" applyProtection="0">
      <alignment horizontal="right" vertical="center"/>
    </xf>
    <xf numFmtId="4" fontId="115" fillId="107" borderId="44" applyNumberFormat="0" applyProtection="0">
      <alignment horizontal="right" vertical="center"/>
    </xf>
    <xf numFmtId="0" fontId="129" fillId="31" borderId="0" applyNumberFormat="0" applyBorder="0" applyAlignment="0" applyProtection="0"/>
    <xf numFmtId="0" fontId="129" fillId="31" borderId="0" applyNumberFormat="0" applyBorder="0" applyAlignment="0" applyProtection="0"/>
    <xf numFmtId="4" fontId="49" fillId="42" borderId="44" applyNumberFormat="0" applyProtection="0">
      <alignment horizontal="left" vertical="center" indent="1"/>
    </xf>
    <xf numFmtId="0" fontId="129" fillId="31" borderId="0" applyNumberFormat="0" applyBorder="0" applyAlignment="0" applyProtection="0"/>
    <xf numFmtId="0" fontId="46" fillId="59" borderId="40" applyNumberFormat="0" applyProtection="0">
      <alignment horizontal="left" vertical="center" indent="1"/>
    </xf>
    <xf numFmtId="0" fontId="118" fillId="54" borderId="41" applyNumberFormat="0" applyProtection="0">
      <alignment horizontal="left" vertical="top" indent="1"/>
    </xf>
    <xf numFmtId="0" fontId="129" fillId="31" borderId="0" applyNumberFormat="0" applyBorder="0" applyAlignment="0" applyProtection="0"/>
    <xf numFmtId="0" fontId="76" fillId="0" borderId="0"/>
    <xf numFmtId="4" fontId="119" fillId="75" borderId="49" applyNumberFormat="0" applyProtection="0">
      <alignment horizontal="left" vertical="center" indent="1"/>
    </xf>
    <xf numFmtId="0" fontId="49" fillId="108" borderId="28"/>
    <xf numFmtId="4" fontId="48" fillId="55" borderId="41" applyNumberFormat="0" applyProtection="0">
      <alignment horizontal="right" vertical="center"/>
    </xf>
    <xf numFmtId="4" fontId="120" fillId="106" borderId="44" applyNumberFormat="0" applyProtection="0">
      <alignment horizontal="right" vertical="center"/>
    </xf>
    <xf numFmtId="0" fontId="121" fillId="0" borderId="0" applyNumberFormat="0" applyFill="0" applyBorder="0" applyAlignment="0" applyProtection="0"/>
    <xf numFmtId="0" fontId="122" fillId="0" borderId="0" applyNumberFormat="0" applyFill="0" applyBorder="0" applyAlignment="0" applyProtection="0"/>
    <xf numFmtId="0" fontId="129" fillId="31" borderId="0" applyNumberFormat="0" applyBorder="0" applyAlignment="0" applyProtection="0"/>
    <xf numFmtId="0" fontId="123" fillId="0" borderId="42" applyNumberFormat="0" applyFill="0" applyAlignment="0" applyProtection="0"/>
    <xf numFmtId="0" fontId="42" fillId="0" borderId="42" applyNumberFormat="0" applyFill="0" applyAlignment="0" applyProtection="0"/>
    <xf numFmtId="0" fontId="97" fillId="0" borderId="53" applyNumberFormat="0" applyFill="0" applyAlignment="0" applyProtection="0"/>
    <xf numFmtId="0" fontId="124" fillId="0" borderId="0" applyNumberFormat="0" applyFill="0" applyBorder="0" applyAlignment="0" applyProtection="0"/>
    <xf numFmtId="0" fontId="42" fillId="0" borderId="0" applyNumberFormat="0" applyFill="0" applyBorder="0" applyAlignment="0" applyProtection="0"/>
    <xf numFmtId="0" fontId="125" fillId="0" borderId="0" applyNumberFormat="0" applyFill="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2" fillId="0" borderId="0"/>
    <xf numFmtId="0" fontId="128" fillId="41" borderId="0" applyNumberFormat="0" applyBorder="0" applyAlignment="0" applyProtection="0"/>
    <xf numFmtId="0" fontId="128" fillId="41"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3" borderId="0" applyNumberFormat="0" applyBorder="0" applyAlignment="0" applyProtection="0"/>
    <xf numFmtId="0" fontId="128" fillId="42" borderId="0" applyNumberFormat="0" applyBorder="0" applyAlignment="0" applyProtection="0"/>
    <xf numFmtId="0" fontId="128" fillId="41" borderId="0" applyNumberFormat="0" applyBorder="0" applyAlignment="0" applyProtection="0"/>
    <xf numFmtId="0" fontId="128" fillId="38" borderId="0" applyNumberFormat="0" applyBorder="0" applyAlignment="0" applyProtection="0"/>
    <xf numFmtId="0" fontId="128" fillId="37" borderId="0" applyNumberFormat="0" applyBorder="0" applyAlignment="0" applyProtection="0"/>
    <xf numFmtId="0" fontId="128" fillId="40"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96" fillId="39" borderId="0" applyNumberFormat="0" applyBorder="0" applyAlignment="0" applyProtection="0"/>
    <xf numFmtId="0" fontId="96" fillId="36" borderId="0" applyNumberFormat="0" applyBorder="0" applyAlignment="0" applyProtection="0"/>
    <xf numFmtId="0" fontId="96" fillId="33" borderId="0" applyNumberFormat="0" applyBorder="0" applyAlignment="0" applyProtection="0"/>
    <xf numFmtId="0" fontId="96" fillId="38" borderId="0" applyNumberFormat="0" applyBorder="0" applyAlignment="0" applyProtection="0"/>
    <xf numFmtId="0" fontId="96" fillId="37" borderId="0" applyNumberFormat="0" applyBorder="0" applyAlignment="0" applyProtection="0"/>
    <xf numFmtId="0" fontId="96" fillId="36"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5" borderId="0" applyNumberFormat="0" applyBorder="0" applyAlignment="0" applyProtection="0"/>
    <xf numFmtId="0" fontId="96" fillId="34" borderId="0" applyNumberFormat="0" applyBorder="0" applyAlignment="0" applyProtection="0"/>
    <xf numFmtId="0" fontId="96" fillId="33" borderId="0" applyNumberFormat="0" applyBorder="0" applyAlignment="0" applyProtection="0"/>
    <xf numFmtId="0" fontId="96" fillId="32" borderId="0" applyNumberFormat="0" applyBorder="0" applyAlignment="0" applyProtection="0"/>
    <xf numFmtId="0" fontId="96" fillId="31" borderId="0" applyNumberFormat="0" applyBorder="0" applyAlignment="0" applyProtection="0"/>
    <xf numFmtId="0" fontId="96" fillId="30"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9" fontId="2" fillId="0" borderId="0" applyFont="0" applyFill="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2" fillId="0" borderId="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41" fontId="46" fillId="0" borderId="0" applyFont="0" applyFill="0" applyBorder="0" applyAlignment="0" applyProtection="0"/>
    <xf numFmtId="41" fontId="46" fillId="0" borderId="0" applyFont="0" applyFill="0" applyBorder="0" applyAlignment="0" applyProtection="0"/>
    <xf numFmtId="43" fontId="6" fillId="0" borderId="0" applyFont="0" applyFill="0" applyBorder="0" applyAlignment="0" applyProtection="0"/>
    <xf numFmtId="43" fontId="77" fillId="0" borderId="0" applyFont="0" applyFill="0" applyBorder="0" applyAlignment="0" applyProtection="0"/>
    <xf numFmtId="43" fontId="46" fillId="0" borderId="0" applyFont="0" applyFill="0" applyBorder="0" applyAlignment="0" applyProtection="0"/>
    <xf numFmtId="166" fontId="39" fillId="0" borderId="0" applyFont="0" applyFill="0" applyBorder="0" applyAlignment="0" applyProtection="0"/>
    <xf numFmtId="43" fontId="46" fillId="0" borderId="0" applyFont="0" applyFill="0" applyBorder="0" applyAlignment="0" applyProtection="0"/>
    <xf numFmtId="43" fontId="96" fillId="0" borderId="0" applyFont="0" applyFill="0" applyBorder="0" applyAlignment="0" applyProtection="0"/>
    <xf numFmtId="43" fontId="6" fillId="0" borderId="0" applyFont="0" applyFill="0" applyBorder="0" applyAlignment="0" applyProtection="0"/>
    <xf numFmtId="43" fontId="79" fillId="0" borderId="0" applyFont="0" applyFill="0" applyBorder="0" applyAlignment="0" applyProtection="0"/>
    <xf numFmtId="0" fontId="39" fillId="0" borderId="0" applyFont="0" applyFill="0" applyBorder="0" applyAlignment="0" applyProtection="0"/>
    <xf numFmtId="43" fontId="132" fillId="0" borderId="0" applyFont="0" applyFill="0" applyBorder="0" applyAlignment="0" applyProtection="0"/>
    <xf numFmtId="43" fontId="7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87" fontId="133" fillId="0" borderId="0"/>
    <xf numFmtId="187" fontId="133" fillId="0" borderId="0"/>
    <xf numFmtId="187" fontId="133" fillId="0" borderId="0"/>
    <xf numFmtId="188" fontId="134" fillId="0" borderId="0" applyFon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40" fontId="47" fillId="0" borderId="0">
      <alignment horizontal="left"/>
    </xf>
    <xf numFmtId="40" fontId="137" fillId="0" borderId="0" applyNumberFormat="0" applyAlignment="0">
      <alignment horizontal="left"/>
    </xf>
    <xf numFmtId="40" fontId="138" fillId="0" borderId="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alignment vertical="top"/>
      <protection locked="0"/>
    </xf>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43" fontId="42" fillId="0" borderId="0" applyFont="0" applyFill="0" applyBorder="0" applyAlignment="0" applyProtection="0"/>
    <xf numFmtId="189" fontId="145" fillId="0" borderId="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42" fillId="0" borderId="0"/>
    <xf numFmtId="0" fontId="6" fillId="0" borderId="0"/>
    <xf numFmtId="0" fontId="147" fillId="0" borderId="0"/>
    <xf numFmtId="0" fontId="2" fillId="0" borderId="0"/>
    <xf numFmtId="0" fontId="148" fillId="0" borderId="0">
      <alignment vertical="center"/>
    </xf>
    <xf numFmtId="190" fontId="4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1" fontId="157" fillId="0" borderId="0"/>
    <xf numFmtId="0" fontId="46" fillId="0" borderId="0"/>
    <xf numFmtId="192" fontId="147" fillId="0" borderId="0"/>
    <xf numFmtId="191" fontId="149" fillId="0" borderId="0"/>
    <xf numFmtId="191" fontId="149" fillId="0" borderId="0"/>
    <xf numFmtId="191" fontId="149" fillId="0" borderId="0"/>
    <xf numFmtId="191" fontId="149" fillId="0" borderId="0"/>
    <xf numFmtId="191" fontId="149" fillId="0" borderId="0"/>
    <xf numFmtId="0" fontId="2" fillId="0" borderId="0"/>
    <xf numFmtId="0" fontId="2" fillId="0" borderId="0"/>
    <xf numFmtId="0" fontId="46"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149" fillId="0" borderId="0"/>
    <xf numFmtId="0" fontId="149" fillId="0" borderId="0"/>
    <xf numFmtId="193" fontId="157"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6" fillId="0" borderId="0"/>
    <xf numFmtId="0" fontId="2" fillId="0" borderId="0"/>
    <xf numFmtId="0" fontId="2" fillId="0" borderId="0"/>
    <xf numFmtId="0" fontId="6" fillId="0" borderId="0"/>
    <xf numFmtId="0" fontId="149" fillId="0" borderId="0"/>
    <xf numFmtId="0" fontId="149" fillId="0" borderId="0"/>
    <xf numFmtId="0" fontId="44" fillId="0" borderId="0"/>
    <xf numFmtId="0" fontId="39" fillId="0" borderId="0"/>
    <xf numFmtId="165" fontId="157" fillId="0" borderId="0"/>
    <xf numFmtId="0" fontId="46" fillId="0" borderId="0"/>
    <xf numFmtId="193" fontId="157"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7"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96"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43" fontId="39" fillId="0" borderId="0" applyFont="0" applyFill="0" applyBorder="0" applyAlignment="0" applyProtection="0"/>
    <xf numFmtId="9" fontId="96"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46" fillId="0" borderId="0" applyFont="0" applyFill="0" applyBorder="0" applyAlignment="0" applyProtection="0"/>
    <xf numFmtId="0" fontId="151" fillId="0" borderId="54" applyNumberFormat="0" applyFont="0" applyFill="0" applyAlignment="0" applyProtection="0">
      <alignment horizontal="left" vertical="center"/>
    </xf>
    <xf numFmtId="175" fontId="152" fillId="0" borderId="28">
      <alignment horizontal="center" vertical="center"/>
      <protection locked="0"/>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4" fontId="75" fillId="71" borderId="0" applyNumberFormat="0" applyProtection="0">
      <alignment horizontal="left" vertical="center" indent="1"/>
    </xf>
    <xf numFmtId="4" fontId="75" fillId="71" borderId="0" applyNumberFormat="0" applyProtection="0">
      <alignment horizontal="left" vertical="center" indent="1"/>
    </xf>
    <xf numFmtId="4" fontId="75" fillId="71" borderId="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4" fontId="71" fillId="70" borderId="40" applyNumberFormat="0" applyProtection="0">
      <alignment horizontal="left" vertical="center" indent="1"/>
    </xf>
    <xf numFmtId="4" fontId="71" fillId="70" borderId="40" applyNumberFormat="0" applyProtection="0">
      <alignment horizontal="left" vertical="center" indent="1"/>
    </xf>
    <xf numFmtId="4" fontId="71" fillId="70" borderId="40" applyNumberFormat="0" applyProtection="0">
      <alignment horizontal="left" vertical="center" indent="1"/>
    </xf>
    <xf numFmtId="4" fontId="71" fillId="70" borderId="40" applyNumberFormat="0" applyProtection="0">
      <alignment horizontal="left" vertical="center" indent="1"/>
    </xf>
    <xf numFmtId="4" fontId="71" fillId="70" borderId="40" applyNumberFormat="0" applyProtection="0">
      <alignment horizontal="left" vertical="center" indent="1"/>
    </xf>
    <xf numFmtId="4" fontId="71" fillId="70" borderId="40" applyNumberFormat="0" applyProtection="0">
      <alignment horizontal="left" vertical="center" indent="1"/>
    </xf>
    <xf numFmtId="4" fontId="71" fillId="70" borderId="40" applyNumberFormat="0" applyProtection="0">
      <alignment horizontal="left" vertical="center" indent="1"/>
    </xf>
    <xf numFmtId="4" fontId="71" fillId="72" borderId="40" applyNumberFormat="0" applyProtection="0">
      <alignment horizontal="left" vertical="center" indent="1"/>
    </xf>
    <xf numFmtId="4" fontId="71" fillId="72" borderId="40" applyNumberFormat="0" applyProtection="0">
      <alignment horizontal="left" vertical="center" indent="1"/>
    </xf>
    <xf numFmtId="4" fontId="71" fillId="72" borderId="40" applyNumberFormat="0" applyProtection="0">
      <alignment horizontal="left" vertical="center" indent="1"/>
    </xf>
    <xf numFmtId="4" fontId="71" fillId="72" borderId="40" applyNumberFormat="0" applyProtection="0">
      <alignment horizontal="left" vertical="center" indent="1"/>
    </xf>
    <xf numFmtId="4" fontId="71" fillId="72" borderId="40" applyNumberFormat="0" applyProtection="0">
      <alignment horizontal="left" vertical="center" indent="1"/>
    </xf>
    <xf numFmtId="4" fontId="71" fillId="72" borderId="40" applyNumberFormat="0" applyProtection="0">
      <alignment horizontal="left" vertical="center" indent="1"/>
    </xf>
    <xf numFmtId="4" fontId="71"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76" fillId="0" borderId="0"/>
    <xf numFmtId="0" fontId="76" fillId="0" borderId="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194" fontId="156" fillId="0" borderId="0" applyFont="0" applyFill="0" applyBorder="0" applyAlignment="0" applyProtection="0"/>
    <xf numFmtId="0" fontId="131" fillId="49" borderId="34" applyNumberFormat="0" applyAlignment="0" applyProtection="0"/>
    <xf numFmtId="0" fontId="144" fillId="0" borderId="38" applyNumberFormat="0" applyFill="0" applyAlignment="0" applyProtection="0"/>
    <xf numFmtId="0" fontId="129" fillId="31" borderId="0" applyNumberFormat="0" applyBorder="0" applyAlignment="0" applyProtection="0"/>
    <xf numFmtId="0" fontId="150" fillId="48" borderId="40" applyNumberFormat="0" applyAlignment="0" applyProtection="0"/>
    <xf numFmtId="0" fontId="130" fillId="48" borderId="33" applyNumberFormat="0" applyAlignment="0" applyProtection="0"/>
    <xf numFmtId="0" fontId="155" fillId="0" borderId="0" applyNumberFormat="0" applyFill="0" applyBorder="0" applyAlignment="0" applyProtection="0"/>
    <xf numFmtId="0" fontId="135" fillId="0" borderId="0" applyNumberFormat="0" applyFill="0" applyBorder="0" applyAlignment="0" applyProtection="0"/>
    <xf numFmtId="0" fontId="153" fillId="0" borderId="0" applyNumberFormat="0" applyFill="0" applyBorder="0" applyAlignment="0" applyProtection="0"/>
    <xf numFmtId="0" fontId="136" fillId="32" borderId="0" applyNumberFormat="0" applyBorder="0" applyAlignment="0" applyProtection="0"/>
    <xf numFmtId="0" fontId="143" fillId="35" borderId="33" applyNumberFormat="0" applyAlignment="0" applyProtection="0"/>
    <xf numFmtId="0" fontId="146" fillId="50" borderId="0" applyNumberFormat="0" applyBorder="0" applyAlignment="0" applyProtection="0"/>
    <xf numFmtId="0" fontId="154" fillId="0" borderId="42" applyNumberFormat="0" applyFill="0" applyAlignment="0" applyProtection="0"/>
    <xf numFmtId="0" fontId="2" fillId="0" borderId="0"/>
    <xf numFmtId="0" fontId="128" fillId="44" borderId="0" applyNumberFormat="0" applyBorder="0" applyAlignment="0" applyProtection="0"/>
    <xf numFmtId="0" fontId="128" fillId="45" borderId="0" applyNumberFormat="0" applyBorder="0" applyAlignment="0" applyProtection="0"/>
    <xf numFmtId="0" fontId="128" fillId="46" borderId="0" applyNumberFormat="0" applyBorder="0" applyAlignment="0" applyProtection="0"/>
    <xf numFmtId="0" fontId="128" fillId="41" borderId="0" applyNumberFormat="0" applyBorder="0" applyAlignment="0" applyProtection="0"/>
    <xf numFmtId="0" fontId="128" fillId="42" borderId="0" applyNumberFormat="0" applyBorder="0" applyAlignment="0" applyProtection="0"/>
    <xf numFmtId="0" fontId="128" fillId="47" borderId="0" applyNumberFormat="0" applyBorder="0" applyAlignment="0" applyProtection="0"/>
    <xf numFmtId="0" fontId="73" fillId="51" borderId="39" applyNumberFormat="0" applyFont="0" applyAlignment="0" applyProtection="0"/>
    <xf numFmtId="0" fontId="139" fillId="0" borderId="35" applyNumberFormat="0" applyFill="0" applyAlignment="0" applyProtection="0"/>
    <xf numFmtId="0" fontId="140" fillId="0" borderId="36" applyNumberFormat="0" applyFill="0" applyAlignment="0" applyProtection="0"/>
    <xf numFmtId="0" fontId="141" fillId="0" borderId="37" applyNumberFormat="0" applyFill="0" applyAlignment="0" applyProtection="0"/>
    <xf numFmtId="0" fontId="141" fillId="0" borderId="0" applyNumberFormat="0" applyFill="0" applyBorder="0" applyAlignment="0" applyProtection="0"/>
    <xf numFmtId="0" fontId="6" fillId="0" borderId="0"/>
    <xf numFmtId="43" fontId="40" fillId="0" borderId="0" applyFont="0" applyFill="0" applyBorder="0" applyAlignment="0" applyProtection="0"/>
    <xf numFmtId="0" fontId="6" fillId="0" borderId="0"/>
    <xf numFmtId="43" fontId="6" fillId="0" borderId="0" applyFont="0" applyFill="0" applyBorder="0" applyAlignment="0" applyProtection="0"/>
    <xf numFmtId="0" fontId="2" fillId="0" borderId="0"/>
    <xf numFmtId="43" fontId="46" fillId="0" borderId="0" applyFont="0" applyFill="0" applyBorder="0" applyAlignment="0" applyProtection="0"/>
    <xf numFmtId="43" fontId="2" fillId="0" borderId="0" applyFont="0" applyFill="0" applyBorder="0" applyAlignment="0" applyProtection="0"/>
    <xf numFmtId="0" fontId="2" fillId="0" borderId="0"/>
    <xf numFmtId="41" fontId="39" fillId="0" borderId="0" applyFont="0" applyFill="0" applyBorder="0" applyAlignment="0" applyProtection="0"/>
    <xf numFmtId="43" fontId="39" fillId="0" borderId="0" applyFont="0" applyFill="0" applyBorder="0" applyAlignment="0" applyProtection="0"/>
    <xf numFmtId="167" fontId="39" fillId="0" borderId="0" applyFont="0" applyFill="0" applyBorder="0" applyAlignment="0" applyProtection="0"/>
    <xf numFmtId="168" fontId="39" fillId="0" borderId="0" applyFont="0" applyFill="0" applyBorder="0" applyAlignment="0" applyProtection="0"/>
    <xf numFmtId="0" fontId="39" fillId="0" borderId="0"/>
    <xf numFmtId="0" fontId="2" fillId="0" borderId="0"/>
    <xf numFmtId="0" fontId="6" fillId="0" borderId="0"/>
    <xf numFmtId="43" fontId="6"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6" fillId="0" borderId="0"/>
    <xf numFmtId="43" fontId="6"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6" fillId="0" borderId="0"/>
    <xf numFmtId="43" fontId="6"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6" fillId="0" borderId="0" applyFont="0" applyFill="0" applyBorder="0" applyAlignment="0" applyProtection="0"/>
    <xf numFmtId="0" fontId="6"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11" fillId="0" borderId="0"/>
  </cellStyleXfs>
  <cellXfs count="876">
    <xf numFmtId="0" fontId="0" fillId="0" borderId="0" xfId="0"/>
    <xf numFmtId="0" fontId="5" fillId="0" borderId="0" xfId="0" applyFont="1"/>
    <xf numFmtId="0" fontId="0" fillId="0" borderId="0" xfId="0" applyAlignment="1">
      <alignment horizontal="center"/>
    </xf>
    <xf numFmtId="0" fontId="5" fillId="8" borderId="0" xfId="0" applyFont="1" applyFill="1"/>
    <xf numFmtId="0" fontId="7" fillId="8" borderId="0" xfId="0" applyFont="1" applyFill="1" applyAlignment="1">
      <alignment horizontal="center" vertical="center"/>
    </xf>
    <xf numFmtId="0" fontId="7" fillId="8" borderId="18" xfId="0" applyFont="1" applyFill="1" applyBorder="1" applyAlignment="1">
      <alignment horizontal="center" vertical="center"/>
    </xf>
    <xf numFmtId="0" fontId="10" fillId="8" borderId="16" xfId="0" applyFont="1" applyFill="1" applyBorder="1" applyAlignment="1">
      <alignment horizontal="center" vertical="center"/>
    </xf>
    <xf numFmtId="0" fontId="10" fillId="8" borderId="18" xfId="0" applyFont="1" applyFill="1" applyBorder="1" applyAlignment="1">
      <alignment horizontal="center" vertical="center"/>
    </xf>
    <xf numFmtId="0" fontId="12" fillId="8" borderId="16" xfId="0" applyFont="1" applyFill="1" applyBorder="1" applyAlignment="1">
      <alignment horizontal="center" vertical="center"/>
    </xf>
    <xf numFmtId="0" fontId="9" fillId="8" borderId="16" xfId="0" applyFont="1" applyFill="1" applyBorder="1" applyAlignment="1">
      <alignment horizontal="center" vertical="center"/>
    </xf>
    <xf numFmtId="0" fontId="9" fillId="8" borderId="18" xfId="0" applyFont="1" applyFill="1" applyBorder="1" applyAlignment="1">
      <alignment horizontal="center" vertical="center"/>
    </xf>
    <xf numFmtId="0" fontId="13" fillId="8" borderId="0" xfId="0" applyFont="1" applyFill="1" applyAlignment="1">
      <alignment horizontal="center" vertical="center"/>
    </xf>
    <xf numFmtId="0" fontId="8" fillId="8" borderId="16" xfId="0" applyFont="1" applyFill="1" applyBorder="1" applyAlignment="1">
      <alignment horizontal="center" vertical="center"/>
    </xf>
    <xf numFmtId="0" fontId="8" fillId="8" borderId="18" xfId="0" applyFont="1" applyFill="1" applyBorder="1" applyAlignment="1">
      <alignment horizontal="center" vertical="center"/>
    </xf>
    <xf numFmtId="0" fontId="8" fillId="8" borderId="0" xfId="0" applyFont="1" applyFill="1" applyAlignment="1">
      <alignment horizontal="center" vertical="center"/>
    </xf>
    <xf numFmtId="0" fontId="10" fillId="8" borderId="0" xfId="0" applyFont="1" applyFill="1" applyAlignment="1">
      <alignment horizontal="center" vertical="center"/>
    </xf>
    <xf numFmtId="0" fontId="5" fillId="8" borderId="6" xfId="0" applyFont="1" applyFill="1" applyBorder="1"/>
    <xf numFmtId="0" fontId="7" fillId="8" borderId="21" xfId="0" applyFont="1" applyFill="1" applyBorder="1" applyAlignment="1">
      <alignment horizontal="center" vertical="center"/>
    </xf>
    <xf numFmtId="0" fontId="0" fillId="8" borderId="0" xfId="0" applyFill="1" applyAlignment="1">
      <alignment horizontal="center"/>
    </xf>
    <xf numFmtId="0" fontId="0" fillId="8" borderId="0" xfId="0" applyFill="1"/>
    <xf numFmtId="0" fontId="6" fillId="8" borderId="0" xfId="0" applyFont="1" applyFill="1" applyAlignment="1">
      <alignment horizontal="center"/>
    </xf>
    <xf numFmtId="0" fontId="5" fillId="8" borderId="3" xfId="0" applyFont="1" applyFill="1" applyBorder="1"/>
    <xf numFmtId="0" fontId="5" fillId="8" borderId="2" xfId="0" applyFont="1" applyFill="1" applyBorder="1"/>
    <xf numFmtId="0" fontId="0" fillId="8" borderId="9" xfId="0" applyFill="1" applyBorder="1" applyAlignment="1">
      <alignment horizontal="center"/>
    </xf>
    <xf numFmtId="0" fontId="5" fillId="8" borderId="0" xfId="0" applyFont="1" applyFill="1" applyAlignment="1">
      <alignment horizontal="center"/>
    </xf>
    <xf numFmtId="0" fontId="14" fillId="8" borderId="0" xfId="0" applyFont="1" applyFill="1"/>
    <xf numFmtId="0" fontId="15" fillId="8" borderId="0" xfId="0" applyFont="1" applyFill="1"/>
    <xf numFmtId="0" fontId="5" fillId="8" borderId="7" xfId="0" applyFont="1" applyFill="1" applyBorder="1"/>
    <xf numFmtId="0" fontId="5" fillId="8" borderId="9" xfId="0" applyFont="1" applyFill="1" applyBorder="1"/>
    <xf numFmtId="0" fontId="5" fillId="8" borderId="6" xfId="0" applyFont="1" applyFill="1" applyBorder="1" applyAlignment="1">
      <alignment horizontal="left" vertical="center"/>
    </xf>
    <xf numFmtId="0" fontId="0" fillId="8" borderId="7" xfId="0" applyFill="1" applyBorder="1"/>
    <xf numFmtId="0" fontId="5" fillId="8" borderId="9" xfId="0" applyFont="1" applyFill="1" applyBorder="1" applyAlignment="1">
      <alignment horizontal="left" vertical="center" indent="1"/>
    </xf>
    <xf numFmtId="0" fontId="0" fillId="8" borderId="12" xfId="0" applyFill="1" applyBorder="1"/>
    <xf numFmtId="0" fontId="0" fillId="8" borderId="6" xfId="0" applyFill="1" applyBorder="1" applyAlignment="1">
      <alignment horizontal="center"/>
    </xf>
    <xf numFmtId="43" fontId="0" fillId="8" borderId="0" xfId="1" applyFont="1" applyFill="1"/>
    <xf numFmtId="0" fontId="5" fillId="8" borderId="11" xfId="0" applyFont="1" applyFill="1" applyBorder="1"/>
    <xf numFmtId="0" fontId="5" fillId="8" borderId="12" xfId="0" applyFont="1" applyFill="1" applyBorder="1"/>
    <xf numFmtId="43" fontId="0" fillId="8" borderId="7" xfId="1" applyFont="1" applyFill="1" applyBorder="1"/>
    <xf numFmtId="43" fontId="0" fillId="8" borderId="9" xfId="1" applyFont="1" applyFill="1" applyBorder="1"/>
    <xf numFmtId="43" fontId="0" fillId="8" borderId="0" xfId="1" applyFont="1" applyFill="1" applyBorder="1"/>
    <xf numFmtId="43" fontId="0" fillId="8" borderId="12" xfId="1" applyFont="1" applyFill="1" applyBorder="1"/>
    <xf numFmtId="43" fontId="8" fillId="8" borderId="6" xfId="1" applyFont="1" applyFill="1" applyBorder="1" applyAlignment="1">
      <alignment horizontal="center" vertical="center"/>
    </xf>
    <xf numFmtId="43" fontId="5" fillId="8" borderId="14" xfId="0" applyNumberFormat="1" applyFont="1" applyFill="1" applyBorder="1"/>
    <xf numFmtId="43" fontId="5" fillId="8" borderId="15" xfId="0" applyNumberFormat="1" applyFont="1" applyFill="1" applyBorder="1"/>
    <xf numFmtId="43" fontId="8" fillId="8" borderId="9" xfId="1" applyFont="1" applyFill="1" applyBorder="1" applyAlignment="1">
      <alignment horizontal="center" vertical="center"/>
    </xf>
    <xf numFmtId="43" fontId="5" fillId="8" borderId="0" xfId="0" applyNumberFormat="1" applyFont="1" applyFill="1"/>
    <xf numFmtId="43" fontId="5" fillId="8" borderId="11" xfId="0" applyNumberFormat="1" applyFont="1" applyFill="1" applyBorder="1"/>
    <xf numFmtId="43" fontId="5" fillId="8" borderId="12" xfId="0" applyNumberFormat="1" applyFont="1" applyFill="1" applyBorder="1"/>
    <xf numFmtId="43" fontId="8" fillId="8" borderId="0" xfId="1" applyFont="1" applyFill="1" applyBorder="1" applyAlignment="1">
      <alignment horizontal="center" vertical="center"/>
    </xf>
    <xf numFmtId="43" fontId="8" fillId="8" borderId="7" xfId="1" applyFont="1" applyFill="1" applyBorder="1" applyAlignment="1">
      <alignment horizontal="center" vertical="center"/>
    </xf>
    <xf numFmtId="43" fontId="8" fillId="8" borderId="11" xfId="1" applyFont="1" applyFill="1" applyBorder="1" applyAlignment="1">
      <alignment horizontal="center" vertical="center"/>
    </xf>
    <xf numFmtId="43" fontId="8" fillId="8" borderId="12" xfId="1" applyFont="1" applyFill="1" applyBorder="1" applyAlignment="1">
      <alignment horizontal="center" vertical="center"/>
    </xf>
    <xf numFmtId="43" fontId="0" fillId="8" borderId="16" xfId="1" applyFont="1" applyFill="1" applyBorder="1"/>
    <xf numFmtId="43" fontId="0" fillId="8" borderId="18" xfId="1" applyFont="1" applyFill="1" applyBorder="1"/>
    <xf numFmtId="0" fontId="11" fillId="8" borderId="0" xfId="0" applyFont="1" applyFill="1"/>
    <xf numFmtId="0" fontId="11" fillId="0" borderId="0" xfId="0" applyFont="1"/>
    <xf numFmtId="0" fontId="11" fillId="8" borderId="17" xfId="0" applyFont="1" applyFill="1" applyBorder="1"/>
    <xf numFmtId="169" fontId="17" fillId="7" borderId="14" xfId="0" applyNumberFormat="1" applyFont="1" applyFill="1" applyBorder="1" applyAlignment="1">
      <alignment horizontal="center" vertical="center"/>
    </xf>
    <xf numFmtId="169" fontId="17" fillId="7" borderId="15" xfId="0" applyNumberFormat="1" applyFont="1" applyFill="1" applyBorder="1" applyAlignment="1">
      <alignment horizontal="center" vertical="center"/>
    </xf>
    <xf numFmtId="169" fontId="17" fillId="7" borderId="6" xfId="0" applyNumberFormat="1" applyFont="1" applyFill="1" applyBorder="1" applyAlignment="1">
      <alignment horizontal="center" vertical="center"/>
    </xf>
    <xf numFmtId="169" fontId="17" fillId="7" borderId="7" xfId="0" applyNumberFormat="1" applyFont="1" applyFill="1" applyBorder="1" applyAlignment="1">
      <alignment horizontal="center" vertical="center"/>
    </xf>
    <xf numFmtId="0" fontId="17" fillId="7" borderId="14" xfId="0" applyFont="1" applyFill="1" applyBorder="1"/>
    <xf numFmtId="170" fontId="0" fillId="8" borderId="0" xfId="1" applyNumberFormat="1" applyFont="1" applyFill="1" applyBorder="1"/>
    <xf numFmtId="170" fontId="16" fillId="8" borderId="0" xfId="1" applyNumberFormat="1" applyFont="1" applyFill="1" applyBorder="1"/>
    <xf numFmtId="43" fontId="0" fillId="8" borderId="0" xfId="0" applyNumberFormat="1" applyFill="1"/>
    <xf numFmtId="43" fontId="0" fillId="8" borderId="12" xfId="0" applyNumberFormat="1" applyFill="1" applyBorder="1"/>
    <xf numFmtId="0" fontId="5" fillId="8" borderId="9" xfId="0" applyFont="1" applyFill="1" applyBorder="1" applyAlignment="1">
      <alignment horizontal="left" indent="1"/>
    </xf>
    <xf numFmtId="0" fontId="5" fillId="0" borderId="9" xfId="0" applyFont="1" applyBorder="1" applyAlignment="1">
      <alignment horizontal="left" indent="1"/>
    </xf>
    <xf numFmtId="0" fontId="0" fillId="8" borderId="0" xfId="0" applyFill="1" applyAlignment="1">
      <alignment horizontal="right"/>
    </xf>
    <xf numFmtId="170" fontId="0" fillId="8" borderId="7" xfId="1" applyNumberFormat="1" applyFont="1" applyFill="1" applyBorder="1"/>
    <xf numFmtId="172" fontId="0" fillId="8" borderId="0" xfId="1" applyNumberFormat="1" applyFont="1" applyFill="1" applyBorder="1"/>
    <xf numFmtId="43" fontId="4" fillId="8" borderId="0" xfId="0" applyNumberFormat="1" applyFont="1" applyFill="1"/>
    <xf numFmtId="170" fontId="0" fillId="0" borderId="7" xfId="1" applyNumberFormat="1" applyFont="1" applyBorder="1"/>
    <xf numFmtId="43" fontId="9" fillId="4" borderId="0" xfId="1" applyFont="1" applyFill="1" applyBorder="1"/>
    <xf numFmtId="172" fontId="19" fillId="9" borderId="0" xfId="1" applyNumberFormat="1" applyFont="1" applyFill="1" applyBorder="1"/>
    <xf numFmtId="172" fontId="19" fillId="11" borderId="12" xfId="1" applyNumberFormat="1" applyFont="1" applyFill="1" applyBorder="1"/>
    <xf numFmtId="0" fontId="19" fillId="9" borderId="9" xfId="0" applyFont="1" applyFill="1" applyBorder="1" applyAlignment="1">
      <alignment horizontal="left" indent="1"/>
    </xf>
    <xf numFmtId="0" fontId="19" fillId="10" borderId="11" xfId="0" applyFont="1" applyFill="1" applyBorder="1" applyAlignment="1">
      <alignment horizontal="left" indent="1"/>
    </xf>
    <xf numFmtId="43" fontId="3" fillId="8" borderId="0" xfId="1" applyFont="1" applyFill="1" applyBorder="1"/>
    <xf numFmtId="9" fontId="5" fillId="8" borderId="0" xfId="2" applyFont="1" applyFill="1" applyBorder="1"/>
    <xf numFmtId="43" fontId="0" fillId="8" borderId="26" xfId="1" applyFont="1" applyFill="1" applyBorder="1"/>
    <xf numFmtId="0" fontId="0" fillId="8" borderId="23" xfId="0" applyFill="1" applyBorder="1" applyAlignment="1">
      <alignment horizontal="center"/>
    </xf>
    <xf numFmtId="0" fontId="0" fillId="8" borderId="24" xfId="0" applyFill="1" applyBorder="1" applyAlignment="1">
      <alignment horizontal="center"/>
    </xf>
    <xf numFmtId="0" fontId="5" fillId="3" borderId="9" xfId="0" applyFont="1" applyFill="1" applyBorder="1"/>
    <xf numFmtId="0" fontId="0" fillId="3" borderId="0" xfId="0" applyFill="1" applyAlignment="1">
      <alignment horizontal="center"/>
    </xf>
    <xf numFmtId="0" fontId="0" fillId="3" borderId="0" xfId="0" applyFill="1"/>
    <xf numFmtId="0" fontId="5" fillId="3" borderId="11" xfId="0" applyFont="1" applyFill="1" applyBorder="1"/>
    <xf numFmtId="0" fontId="0" fillId="3" borderId="12" xfId="0" applyFill="1" applyBorder="1" applyAlignment="1">
      <alignment horizontal="center"/>
    </xf>
    <xf numFmtId="0" fontId="0" fillId="3" borderId="12" xfId="0" applyFill="1" applyBorder="1"/>
    <xf numFmtId="0" fontId="7" fillId="8" borderId="26" xfId="0" applyFont="1" applyFill="1" applyBorder="1" applyAlignment="1">
      <alignment horizontal="center" vertical="center"/>
    </xf>
    <xf numFmtId="43" fontId="23" fillId="8" borderId="0" xfId="1" applyFont="1" applyFill="1"/>
    <xf numFmtId="172" fontId="18" fillId="8" borderId="0" xfId="1" applyNumberFormat="1" applyFont="1" applyFill="1" applyBorder="1"/>
    <xf numFmtId="43" fontId="18" fillId="8" borderId="0" xfId="1" applyFont="1" applyFill="1" applyBorder="1"/>
    <xf numFmtId="43" fontId="9" fillId="4" borderId="0" xfId="1" applyFont="1" applyFill="1" applyBorder="1" applyAlignment="1">
      <alignment horizontal="center" vertical="center"/>
    </xf>
    <xf numFmtId="43" fontId="3" fillId="8" borderId="18" xfId="1" applyFont="1" applyFill="1" applyBorder="1"/>
    <xf numFmtId="43" fontId="16" fillId="8" borderId="16" xfId="1" applyFont="1" applyFill="1" applyBorder="1"/>
    <xf numFmtId="43" fontId="3" fillId="8" borderId="0" xfId="1" applyFont="1" applyFill="1"/>
    <xf numFmtId="0" fontId="8" fillId="8" borderId="26" xfId="0" applyFont="1" applyFill="1" applyBorder="1" applyAlignment="1">
      <alignment horizontal="center" vertical="center"/>
    </xf>
    <xf numFmtId="43" fontId="24" fillId="8" borderId="18" xfId="1" applyFont="1" applyFill="1" applyBorder="1"/>
    <xf numFmtId="43" fontId="2" fillId="8" borderId="0" xfId="1" applyFont="1" applyFill="1" applyBorder="1"/>
    <xf numFmtId="170" fontId="19" fillId="9" borderId="0" xfId="1" applyNumberFormat="1" applyFont="1" applyFill="1" applyBorder="1"/>
    <xf numFmtId="0" fontId="0" fillId="0" borderId="0" xfId="0" applyAlignment="1">
      <alignment horizontal="center" vertical="center"/>
    </xf>
    <xf numFmtId="43" fontId="0" fillId="0" borderId="0" xfId="1" applyFont="1" applyAlignment="1">
      <alignment horizontal="center" vertical="center"/>
    </xf>
    <xf numFmtId="169" fontId="5" fillId="12" borderId="14" xfId="0" applyNumberFormat="1" applyFont="1" applyFill="1" applyBorder="1" applyAlignment="1">
      <alignment horizontal="center" vertical="center"/>
    </xf>
    <xf numFmtId="169" fontId="5" fillId="12" borderId="5" xfId="0" applyNumberFormat="1" applyFont="1" applyFill="1" applyBorder="1" applyAlignment="1">
      <alignment horizontal="center" vertical="center"/>
    </xf>
    <xf numFmtId="169" fontId="18" fillId="12" borderId="15" xfId="0" applyNumberFormat="1" applyFont="1" applyFill="1" applyBorder="1" applyAlignment="1">
      <alignment horizontal="center" vertical="center"/>
    </xf>
    <xf numFmtId="169" fontId="18" fillId="12" borderId="5" xfId="0" applyNumberFormat="1" applyFont="1" applyFill="1" applyBorder="1" applyAlignment="1">
      <alignment horizontal="center" vertical="center"/>
    </xf>
    <xf numFmtId="169" fontId="5" fillId="12" borderId="15" xfId="0" applyNumberFormat="1" applyFont="1" applyFill="1" applyBorder="1" applyAlignment="1">
      <alignment horizontal="center" vertical="center"/>
    </xf>
    <xf numFmtId="169" fontId="4" fillId="12" borderId="5" xfId="0" applyNumberFormat="1" applyFont="1" applyFill="1" applyBorder="1" applyAlignment="1">
      <alignment horizontal="center" vertical="center"/>
    </xf>
    <xf numFmtId="169" fontId="4" fillId="12" borderId="15" xfId="0" applyNumberFormat="1" applyFont="1" applyFill="1" applyBorder="1" applyAlignment="1">
      <alignment horizontal="center" vertical="center"/>
    </xf>
    <xf numFmtId="169" fontId="4" fillId="12" borderId="2" xfId="0" applyNumberFormat="1" applyFont="1" applyFill="1" applyBorder="1" applyAlignment="1">
      <alignment horizontal="center" vertical="center"/>
    </xf>
    <xf numFmtId="169" fontId="4" fillId="12" borderId="7" xfId="0" applyNumberFormat="1" applyFont="1" applyFill="1" applyBorder="1" applyAlignment="1">
      <alignment horizontal="center" vertical="center"/>
    </xf>
    <xf numFmtId="169" fontId="4" fillId="12" borderId="8" xfId="0" applyNumberFormat="1" applyFont="1" applyFill="1" applyBorder="1" applyAlignment="1">
      <alignment horizontal="center" vertical="center"/>
    </xf>
    <xf numFmtId="169" fontId="5" fillId="12" borderId="8" xfId="0" applyNumberFormat="1" applyFont="1" applyFill="1" applyBorder="1" applyAlignment="1">
      <alignment horizontal="center" vertical="center"/>
    </xf>
    <xf numFmtId="0" fontId="0" fillId="2" borderId="0" xfId="0" applyFill="1" applyAlignment="1">
      <alignment horizontal="center" vertical="center"/>
    </xf>
    <xf numFmtId="169" fontId="5" fillId="2" borderId="0" xfId="0" applyNumberFormat="1" applyFont="1" applyFill="1" applyAlignment="1">
      <alignment horizontal="center" vertical="center"/>
    </xf>
    <xf numFmtId="0" fontId="5" fillId="2" borderId="0" xfId="0" applyFont="1" applyFill="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43" fontId="5" fillId="2" borderId="12" xfId="1" applyFont="1" applyFill="1" applyBorder="1" applyAlignment="1">
      <alignment horizontal="center" vertical="center"/>
    </xf>
    <xf numFmtId="43" fontId="18" fillId="2" borderId="12" xfId="1" applyFont="1" applyFill="1" applyBorder="1" applyAlignment="1">
      <alignment horizontal="center" vertical="center"/>
    </xf>
    <xf numFmtId="43" fontId="5" fillId="2" borderId="13" xfId="1" applyFont="1" applyFill="1" applyBorder="1" applyAlignment="1">
      <alignment horizontal="center" vertical="center"/>
    </xf>
    <xf numFmtId="0" fontId="5" fillId="0" borderId="0" xfId="0" applyFont="1" applyAlignment="1">
      <alignment horizontal="center" vertical="center"/>
    </xf>
    <xf numFmtId="0" fontId="5" fillId="2" borderId="2" xfId="0" applyFont="1" applyFill="1" applyBorder="1" applyAlignment="1">
      <alignment horizontal="center" vertical="center"/>
    </xf>
    <xf numFmtId="43" fontId="5" fillId="2" borderId="6" xfId="1" applyFont="1" applyFill="1" applyBorder="1" applyAlignment="1">
      <alignment horizontal="center" vertical="center"/>
    </xf>
    <xf numFmtId="43" fontId="5" fillId="2" borderId="2" xfId="1" applyFont="1" applyFill="1" applyBorder="1" applyAlignment="1">
      <alignment horizontal="center" vertical="center"/>
    </xf>
    <xf numFmtId="43" fontId="5" fillId="2" borderId="8" xfId="1" applyFont="1" applyFill="1" applyBorder="1" applyAlignment="1">
      <alignment horizontal="center" vertical="center"/>
    </xf>
    <xf numFmtId="43" fontId="5" fillId="2" borderId="7" xfId="1" applyFont="1" applyFill="1" applyBorder="1" applyAlignment="1">
      <alignment horizontal="center" vertical="center"/>
    </xf>
    <xf numFmtId="43" fontId="18" fillId="2" borderId="4" xfId="1" applyFont="1" applyFill="1" applyBorder="1" applyAlignment="1">
      <alignment horizontal="center" vertical="center"/>
    </xf>
    <xf numFmtId="43" fontId="18" fillId="2" borderId="0" xfId="1" applyFont="1" applyFill="1" applyBorder="1" applyAlignment="1">
      <alignment horizontal="center" vertical="center"/>
    </xf>
    <xf numFmtId="43" fontId="18" fillId="2" borderId="3" xfId="1" applyFont="1" applyFill="1" applyBorder="1" applyAlignment="1">
      <alignment horizontal="center" vertical="center"/>
    </xf>
    <xf numFmtId="43" fontId="18" fillId="2" borderId="10" xfId="1" applyFont="1" applyFill="1" applyBorder="1" applyAlignment="1">
      <alignment horizontal="center" vertical="center"/>
    </xf>
    <xf numFmtId="43" fontId="4" fillId="2" borderId="10" xfId="1" applyFont="1" applyFill="1" applyBorder="1" applyAlignment="1">
      <alignment horizontal="center" vertical="center"/>
    </xf>
    <xf numFmtId="43" fontId="25" fillId="13" borderId="6" xfId="1" applyFont="1" applyFill="1" applyBorder="1" applyAlignment="1">
      <alignment horizontal="center" vertical="center"/>
    </xf>
    <xf numFmtId="43" fontId="25" fillId="13" borderId="2" xfId="1" applyFont="1" applyFill="1" applyBorder="1" applyAlignment="1">
      <alignment horizontal="center" vertical="center"/>
    </xf>
    <xf numFmtId="43" fontId="25" fillId="14" borderId="2" xfId="1" applyFont="1" applyFill="1" applyBorder="1" applyAlignment="1">
      <alignment horizontal="center" vertical="center"/>
    </xf>
    <xf numFmtId="43" fontId="25" fillId="14" borderId="8" xfId="1" applyFont="1" applyFill="1" applyBorder="1" applyAlignment="1">
      <alignment horizontal="center" vertical="center"/>
    </xf>
    <xf numFmtId="43" fontId="25" fillId="14" borderId="6" xfId="1" applyFont="1" applyFill="1" applyBorder="1" applyAlignment="1">
      <alignment horizontal="center" vertical="center"/>
    </xf>
    <xf numFmtId="43" fontId="26" fillId="15" borderId="8" xfId="1" applyFont="1" applyFill="1" applyBorder="1" applyAlignment="1">
      <alignment horizontal="center" vertical="center"/>
    </xf>
    <xf numFmtId="43" fontId="26" fillId="16" borderId="8" xfId="1" applyFont="1" applyFill="1" applyBorder="1" applyAlignment="1">
      <alignment horizontal="center" vertical="center"/>
    </xf>
    <xf numFmtId="43" fontId="27" fillId="16" borderId="8" xfId="1" applyFont="1" applyFill="1" applyBorder="1" applyAlignment="1">
      <alignment horizontal="center" vertical="center"/>
    </xf>
    <xf numFmtId="43" fontId="25" fillId="13" borderId="9" xfId="1" applyFont="1" applyFill="1" applyBorder="1" applyAlignment="1">
      <alignment horizontal="center" vertical="center"/>
    </xf>
    <xf numFmtId="43" fontId="25" fillId="13" borderId="3" xfId="1" applyFont="1" applyFill="1" applyBorder="1" applyAlignment="1">
      <alignment horizontal="center" vertical="center"/>
    </xf>
    <xf numFmtId="43" fontId="25" fillId="14" borderId="3" xfId="1" applyFont="1" applyFill="1" applyBorder="1" applyAlignment="1">
      <alignment horizontal="center" vertical="center"/>
    </xf>
    <xf numFmtId="43" fontId="25" fillId="14" borderId="10" xfId="1" applyFont="1" applyFill="1" applyBorder="1" applyAlignment="1">
      <alignment horizontal="center" vertical="center"/>
    </xf>
    <xf numFmtId="43" fontId="25" fillId="14" borderId="9" xfId="1" applyFont="1" applyFill="1" applyBorder="1" applyAlignment="1">
      <alignment horizontal="center" vertical="center"/>
    </xf>
    <xf numFmtId="43" fontId="26" fillId="17" borderId="3" xfId="1" applyFont="1" applyFill="1" applyBorder="1" applyAlignment="1">
      <alignment horizontal="center" vertical="center"/>
    </xf>
    <xf numFmtId="43" fontId="27" fillId="17" borderId="3" xfId="1" applyFont="1" applyFill="1" applyBorder="1" applyAlignment="1">
      <alignment horizontal="center" vertical="center"/>
    </xf>
    <xf numFmtId="43" fontId="25" fillId="14" borderId="0" xfId="1" applyFont="1" applyFill="1" applyBorder="1" applyAlignment="1">
      <alignment horizontal="center" vertical="center"/>
    </xf>
    <xf numFmtId="43" fontId="26" fillId="17" borderId="10" xfId="1" applyFont="1" applyFill="1" applyBorder="1" applyAlignment="1">
      <alignment horizontal="center" vertical="center"/>
    </xf>
    <xf numFmtId="43" fontId="28" fillId="17" borderId="10" xfId="1" applyFont="1" applyFill="1" applyBorder="1" applyAlignment="1">
      <alignment horizontal="center" vertical="center"/>
    </xf>
    <xf numFmtId="43" fontId="27" fillId="17" borderId="10" xfId="1" applyFont="1" applyFill="1" applyBorder="1" applyAlignment="1">
      <alignment horizontal="center" vertical="center"/>
    </xf>
    <xf numFmtId="0" fontId="5" fillId="4" borderId="4" xfId="0" applyFont="1" applyFill="1" applyBorder="1" applyAlignment="1">
      <alignment horizontal="center" vertical="center"/>
    </xf>
    <xf numFmtId="43" fontId="25" fillId="4" borderId="11" xfId="1" applyFont="1" applyFill="1" applyBorder="1" applyAlignment="1">
      <alignment horizontal="center" vertical="center"/>
    </xf>
    <xf numFmtId="43" fontId="25" fillId="4" borderId="4" xfId="1" applyFont="1" applyFill="1" applyBorder="1" applyAlignment="1">
      <alignment horizontal="center" vertical="center"/>
    </xf>
    <xf numFmtId="43" fontId="25" fillId="18" borderId="4" xfId="1" applyFont="1" applyFill="1" applyBorder="1" applyAlignment="1">
      <alignment horizontal="center" vertical="center"/>
    </xf>
    <xf numFmtId="43" fontId="25" fillId="18" borderId="13" xfId="1" applyFont="1" applyFill="1" applyBorder="1" applyAlignment="1">
      <alignment horizontal="center" vertical="center"/>
    </xf>
    <xf numFmtId="43" fontId="25" fillId="18" borderId="12" xfId="1" applyFont="1" applyFill="1" applyBorder="1" applyAlignment="1">
      <alignment horizontal="center" vertical="center"/>
    </xf>
    <xf numFmtId="43" fontId="29" fillId="18" borderId="4" xfId="1" applyFont="1" applyFill="1" applyBorder="1" applyAlignment="1">
      <alignment horizontal="center" vertical="center"/>
    </xf>
    <xf numFmtId="43" fontId="4" fillId="18" borderId="4" xfId="1" applyFont="1" applyFill="1" applyBorder="1" applyAlignment="1">
      <alignment horizontal="center" vertical="center"/>
    </xf>
    <xf numFmtId="43" fontId="26" fillId="19" borderId="4" xfId="1" applyFont="1" applyFill="1" applyBorder="1" applyAlignment="1">
      <alignment horizontal="center" vertical="center"/>
    </xf>
    <xf numFmtId="43" fontId="27" fillId="19" borderId="4" xfId="1" applyFont="1" applyFill="1" applyBorder="1" applyAlignment="1">
      <alignment horizontal="center" vertical="center"/>
    </xf>
    <xf numFmtId="43" fontId="27" fillId="20" borderId="4" xfId="1" applyFont="1" applyFill="1" applyBorder="1" applyAlignment="1">
      <alignment horizontal="center" vertical="center"/>
    </xf>
    <xf numFmtId="0" fontId="0" fillId="21" borderId="2" xfId="0" applyFill="1" applyBorder="1" applyAlignment="1">
      <alignment horizontal="center" vertical="center"/>
    </xf>
    <xf numFmtId="172" fontId="0" fillId="21" borderId="6" xfId="0" applyNumberFormat="1" applyFill="1" applyBorder="1" applyAlignment="1">
      <alignment horizontal="center" vertical="center"/>
    </xf>
    <xf numFmtId="172" fontId="0" fillId="21" borderId="2" xfId="0" applyNumberFormat="1" applyFill="1" applyBorder="1" applyAlignment="1">
      <alignment horizontal="center" vertical="center"/>
    </xf>
    <xf numFmtId="172" fontId="0" fillId="21" borderId="3" xfId="0" applyNumberFormat="1" applyFill="1" applyBorder="1" applyAlignment="1">
      <alignment horizontal="center" vertical="center"/>
    </xf>
    <xf numFmtId="0" fontId="15" fillId="21" borderId="4" xfId="0" applyFont="1" applyFill="1" applyBorder="1" applyAlignment="1">
      <alignment horizontal="center" vertical="center"/>
    </xf>
    <xf numFmtId="43" fontId="15" fillId="21" borderId="12" xfId="0" applyNumberFormat="1" applyFont="1" applyFill="1" applyBorder="1" applyAlignment="1">
      <alignment horizontal="center" vertical="center"/>
    </xf>
    <xf numFmtId="43" fontId="15" fillId="21" borderId="4" xfId="0" applyNumberFormat="1" applyFont="1" applyFill="1" applyBorder="1" applyAlignment="1">
      <alignment horizontal="center" vertical="center"/>
    </xf>
    <xf numFmtId="43" fontId="15" fillId="22" borderId="4" xfId="0" applyNumberFormat="1" applyFont="1" applyFill="1" applyBorder="1" applyAlignment="1">
      <alignment horizontal="center" vertical="center"/>
    </xf>
    <xf numFmtId="0" fontId="15" fillId="0" borderId="0" xfId="0" applyFont="1" applyAlignment="1">
      <alignment horizontal="center" vertical="center"/>
    </xf>
    <xf numFmtId="43" fontId="5" fillId="0" borderId="0" xfId="0" applyNumberFormat="1" applyFont="1" applyAlignment="1">
      <alignment horizontal="center" vertical="center"/>
    </xf>
    <xf numFmtId="0" fontId="4" fillId="0" borderId="0" xfId="0" applyFont="1" applyAlignment="1">
      <alignment horizontal="left" vertical="center"/>
    </xf>
    <xf numFmtId="0" fontId="5" fillId="13" borderId="5" xfId="0" applyFont="1" applyFill="1" applyBorder="1" applyAlignment="1">
      <alignment horizontal="center" vertical="center"/>
    </xf>
    <xf numFmtId="43" fontId="25" fillId="13" borderId="5" xfId="1" applyFont="1" applyFill="1" applyBorder="1" applyAlignment="1">
      <alignment horizontal="center" vertical="center"/>
    </xf>
    <xf numFmtId="43" fontId="25" fillId="14" borderId="5" xfId="1" applyFont="1" applyFill="1" applyBorder="1" applyAlignment="1">
      <alignment horizontal="center" vertical="center"/>
    </xf>
    <xf numFmtId="0" fontId="30" fillId="0" borderId="0" xfId="0" applyFont="1" applyAlignment="1">
      <alignment horizontal="center" vertical="center"/>
    </xf>
    <xf numFmtId="0" fontId="15" fillId="0" borderId="0" xfId="0" applyFont="1" applyAlignment="1">
      <alignment horizontal="left" vertical="center"/>
    </xf>
    <xf numFmtId="173" fontId="0" fillId="0" borderId="0" xfId="1" applyNumberFormat="1" applyFont="1" applyAlignment="1">
      <alignment horizontal="center" vertical="center"/>
    </xf>
    <xf numFmtId="0" fontId="0" fillId="0" borderId="0" xfId="0" applyAlignment="1">
      <alignment horizontal="left" vertical="center"/>
    </xf>
    <xf numFmtId="173" fontId="0" fillId="0" borderId="0" xfId="0" applyNumberFormat="1" applyAlignment="1">
      <alignment horizontal="center" vertical="center"/>
    </xf>
    <xf numFmtId="43" fontId="0" fillId="0" borderId="0" xfId="1" applyFont="1"/>
    <xf numFmtId="0" fontId="23" fillId="0" borderId="0" xfId="0" applyFont="1" applyAlignment="1">
      <alignment horizontal="center" vertical="center"/>
    </xf>
    <xf numFmtId="43" fontId="0" fillId="0" borderId="0" xfId="0" applyNumberFormat="1"/>
    <xf numFmtId="43" fontId="23" fillId="12" borderId="0" xfId="1" applyFont="1" applyFill="1"/>
    <xf numFmtId="43" fontId="0" fillId="12" borderId="16" xfId="1" applyFont="1" applyFill="1" applyBorder="1"/>
    <xf numFmtId="171" fontId="0" fillId="8" borderId="0" xfId="0" applyNumberFormat="1" applyFill="1"/>
    <xf numFmtId="173" fontId="9" fillId="4" borderId="0" xfId="1" applyNumberFormat="1" applyFont="1" applyFill="1" applyBorder="1"/>
    <xf numFmtId="0" fontId="5" fillId="8" borderId="11" xfId="0" applyFont="1" applyFill="1" applyBorder="1" applyAlignment="1">
      <alignment horizontal="left" indent="1"/>
    </xf>
    <xf numFmtId="43" fontId="31" fillId="8" borderId="0" xfId="1" applyFont="1" applyFill="1" applyBorder="1"/>
    <xf numFmtId="43" fontId="24" fillId="8" borderId="0" xfId="1" applyFont="1" applyFill="1" applyBorder="1"/>
    <xf numFmtId="43" fontId="8" fillId="4" borderId="0" xfId="1" applyFont="1" applyFill="1" applyBorder="1"/>
    <xf numFmtId="43" fontId="25" fillId="12" borderId="5" xfId="1" applyFont="1" applyFill="1" applyBorder="1" applyAlignment="1">
      <alignment horizontal="center" vertical="center"/>
    </xf>
    <xf numFmtId="43" fontId="0" fillId="0" borderId="0" xfId="0" quotePrefix="1" applyNumberFormat="1" applyAlignment="1">
      <alignment horizontal="center" vertical="center"/>
    </xf>
    <xf numFmtId="43" fontId="24" fillId="12" borderId="18" xfId="1" applyFont="1" applyFill="1" applyBorder="1"/>
    <xf numFmtId="170" fontId="19" fillId="11" borderId="12" xfId="1" applyNumberFormat="1" applyFont="1" applyFill="1" applyBorder="1"/>
    <xf numFmtId="169" fontId="17" fillId="23" borderId="15" xfId="0" applyNumberFormat="1" applyFont="1" applyFill="1" applyBorder="1" applyAlignment="1">
      <alignment horizontal="center" vertical="center"/>
    </xf>
    <xf numFmtId="43" fontId="19" fillId="9" borderId="0" xfId="1" applyFont="1" applyFill="1" applyBorder="1"/>
    <xf numFmtId="43" fontId="0" fillId="0" borderId="18" xfId="1" applyFont="1" applyFill="1" applyBorder="1"/>
    <xf numFmtId="43" fontId="3" fillId="21" borderId="16" xfId="1" applyFont="1" applyFill="1" applyBorder="1"/>
    <xf numFmtId="43" fontId="3" fillId="21" borderId="18" xfId="1" applyFont="1" applyFill="1" applyBorder="1"/>
    <xf numFmtId="0" fontId="0" fillId="0" borderId="0" xfId="0" applyAlignment="1">
      <alignment horizontal="right" vertical="center"/>
    </xf>
    <xf numFmtId="43" fontId="23" fillId="8" borderId="16" xfId="1" applyFont="1" applyFill="1" applyBorder="1"/>
    <xf numFmtId="43" fontId="23" fillId="8" borderId="26" xfId="1" applyFont="1" applyFill="1" applyBorder="1"/>
    <xf numFmtId="43" fontId="23" fillId="8" borderId="12" xfId="1" applyFont="1" applyFill="1" applyBorder="1"/>
    <xf numFmtId="43" fontId="24" fillId="21" borderId="0" xfId="1" applyFont="1" applyFill="1"/>
    <xf numFmtId="43" fontId="24" fillId="8" borderId="16" xfId="1" applyFont="1" applyFill="1" applyBorder="1"/>
    <xf numFmtId="43" fontId="0" fillId="12" borderId="0" xfId="1" applyFont="1" applyFill="1"/>
    <xf numFmtId="43" fontId="24" fillId="12" borderId="0" xfId="1" applyFont="1" applyFill="1" applyBorder="1"/>
    <xf numFmtId="9" fontId="0" fillId="0" borderId="0" xfId="2" applyFont="1"/>
    <xf numFmtId="173" fontId="19" fillId="9" borderId="0" xfId="1" applyNumberFormat="1" applyFont="1" applyFill="1" applyBorder="1"/>
    <xf numFmtId="43" fontId="3" fillId="8" borderId="26" xfId="1" applyFont="1" applyFill="1" applyBorder="1"/>
    <xf numFmtId="43" fontId="5" fillId="25" borderId="0" xfId="0" applyNumberFormat="1" applyFont="1" applyFill="1"/>
    <xf numFmtId="0" fontId="5" fillId="25" borderId="0" xfId="0" applyFont="1" applyFill="1" applyAlignment="1">
      <alignment horizontal="center"/>
    </xf>
    <xf numFmtId="0" fontId="5" fillId="25" borderId="0" xfId="0" applyFont="1" applyFill="1" applyAlignment="1">
      <alignment horizontal="right"/>
    </xf>
    <xf numFmtId="0" fontId="5" fillId="18" borderId="0" xfId="0" applyFont="1" applyFill="1" applyAlignment="1">
      <alignment horizontal="center"/>
    </xf>
    <xf numFmtId="0" fontId="5" fillId="18" borderId="0" xfId="0" applyFont="1" applyFill="1" applyAlignment="1">
      <alignment horizontal="right"/>
    </xf>
    <xf numFmtId="43" fontId="18" fillId="2" borderId="5" xfId="1" applyFont="1" applyFill="1" applyBorder="1" applyAlignment="1">
      <alignment horizontal="center" vertical="center"/>
    </xf>
    <xf numFmtId="43" fontId="18" fillId="2" borderId="1" xfId="1" applyFont="1" applyFill="1" applyBorder="1" applyAlignment="1">
      <alignment horizontal="center" vertical="center"/>
    </xf>
    <xf numFmtId="43" fontId="24" fillId="8" borderId="0" xfId="1" applyFont="1" applyFill="1"/>
    <xf numFmtId="174" fontId="9" fillId="4" borderId="0" xfId="1" applyNumberFormat="1" applyFont="1" applyFill="1" applyBorder="1"/>
    <xf numFmtId="169" fontId="4" fillId="23" borderId="15" xfId="0" applyNumberFormat="1" applyFont="1" applyFill="1" applyBorder="1" applyAlignment="1">
      <alignment horizontal="center" vertical="center"/>
    </xf>
    <xf numFmtId="173" fontId="9" fillId="4" borderId="0" xfId="1" applyNumberFormat="1" applyFont="1" applyFill="1" applyBorder="1" applyAlignment="1">
      <alignment horizontal="center" vertical="center"/>
    </xf>
    <xf numFmtId="174" fontId="8" fillId="4" borderId="0" xfId="1" applyNumberFormat="1" applyFont="1" applyFill="1" applyBorder="1"/>
    <xf numFmtId="0" fontId="32" fillId="8" borderId="26" xfId="0" applyFont="1" applyFill="1" applyBorder="1" applyAlignment="1">
      <alignment horizontal="center" vertical="center"/>
    </xf>
    <xf numFmtId="43" fontId="5" fillId="2" borderId="0" xfId="0" applyNumberFormat="1" applyFont="1" applyFill="1"/>
    <xf numFmtId="0" fontId="5" fillId="2" borderId="0" xfId="0" applyFont="1" applyFill="1" applyAlignment="1">
      <alignment horizontal="center"/>
    </xf>
    <xf numFmtId="0" fontId="5" fillId="2" borderId="0" xfId="0" applyFont="1" applyFill="1" applyAlignment="1">
      <alignment horizontal="right"/>
    </xf>
    <xf numFmtId="0" fontId="33" fillId="2" borderId="0" xfId="0" applyFont="1" applyFill="1" applyAlignment="1">
      <alignment horizontal="right"/>
    </xf>
    <xf numFmtId="43" fontId="3" fillId="23" borderId="0" xfId="1" applyFont="1" applyFill="1" applyBorder="1"/>
    <xf numFmtId="174" fontId="19" fillId="9" borderId="0" xfId="1" applyNumberFormat="1" applyFont="1" applyFill="1" applyBorder="1"/>
    <xf numFmtId="170" fontId="3" fillId="8" borderId="0" xfId="1" applyNumberFormat="1" applyFont="1" applyFill="1" applyBorder="1"/>
    <xf numFmtId="173" fontId="8" fillId="4" borderId="0" xfId="1" applyNumberFormat="1" applyFont="1" applyFill="1" applyBorder="1" applyAlignment="1">
      <alignment horizontal="center" vertical="center"/>
    </xf>
    <xf numFmtId="173" fontId="0" fillId="8" borderId="0" xfId="1" applyNumberFormat="1" applyFont="1" applyFill="1" applyAlignment="1">
      <alignment horizontal="center"/>
    </xf>
    <xf numFmtId="0" fontId="8" fillId="8" borderId="14" xfId="0" applyFont="1" applyFill="1" applyBorder="1"/>
    <xf numFmtId="0" fontId="18" fillId="8" borderId="15" xfId="0" applyFont="1" applyFill="1" applyBorder="1" applyAlignment="1">
      <alignment horizontal="center"/>
    </xf>
    <xf numFmtId="169" fontId="18" fillId="8" borderId="15" xfId="0" applyNumberFormat="1" applyFont="1" applyFill="1" applyBorder="1" applyAlignment="1">
      <alignment horizontal="center" vertical="center"/>
    </xf>
    <xf numFmtId="0" fontId="8" fillId="8" borderId="0" xfId="0" applyFont="1" applyFill="1"/>
    <xf numFmtId="0" fontId="35" fillId="8" borderId="0" xfId="0" applyFont="1" applyFill="1"/>
    <xf numFmtId="0" fontId="8" fillId="8" borderId="0" xfId="0" applyFont="1" applyFill="1" applyAlignment="1">
      <alignment horizontal="center"/>
    </xf>
    <xf numFmtId="169" fontId="8" fillId="8" borderId="0" xfId="0" applyNumberFormat="1" applyFont="1" applyFill="1" applyAlignment="1">
      <alignment horizontal="center" vertical="center"/>
    </xf>
    <xf numFmtId="0" fontId="36" fillId="18" borderId="0" xfId="0" applyFont="1" applyFill="1"/>
    <xf numFmtId="0" fontId="8" fillId="18" borderId="0" xfId="0" applyFont="1" applyFill="1" applyAlignment="1">
      <alignment horizontal="center"/>
    </xf>
    <xf numFmtId="0" fontId="37" fillId="8" borderId="0" xfId="0" applyFont="1" applyFill="1"/>
    <xf numFmtId="0" fontId="37" fillId="8" borderId="0" xfId="0" applyFont="1" applyFill="1" applyAlignment="1">
      <alignment horizontal="center"/>
    </xf>
    <xf numFmtId="0" fontId="38" fillId="8" borderId="0" xfId="0" quotePrefix="1" applyFont="1" applyFill="1"/>
    <xf numFmtId="0" fontId="38" fillId="8" borderId="0" xfId="0" applyFont="1" applyFill="1" applyAlignment="1">
      <alignment horizontal="center"/>
    </xf>
    <xf numFmtId="0" fontId="8" fillId="21" borderId="0" xfId="0" applyFont="1" applyFill="1"/>
    <xf numFmtId="0" fontId="8" fillId="21" borderId="0" xfId="0" applyFont="1" applyFill="1" applyAlignment="1">
      <alignment horizontal="center"/>
    </xf>
    <xf numFmtId="172" fontId="8" fillId="8" borderId="0" xfId="0" applyNumberFormat="1" applyFont="1" applyFill="1"/>
    <xf numFmtId="0" fontId="37" fillId="18" borderId="0" xfId="0" applyFont="1" applyFill="1" applyAlignment="1">
      <alignment horizontal="center"/>
    </xf>
    <xf numFmtId="0" fontId="36" fillId="26" borderId="0" xfId="0" applyFont="1" applyFill="1"/>
    <xf numFmtId="0" fontId="8" fillId="26" borderId="0" xfId="0" applyFont="1" applyFill="1" applyAlignment="1">
      <alignment horizontal="center"/>
    </xf>
    <xf numFmtId="172" fontId="8" fillId="8" borderId="0" xfId="6" applyNumberFormat="1" applyFont="1" applyFill="1" applyBorder="1"/>
    <xf numFmtId="0" fontId="18" fillId="27" borderId="0" xfId="0" applyFont="1" applyFill="1"/>
    <xf numFmtId="0" fontId="6" fillId="8" borderId="0" xfId="0" applyFont="1" applyFill="1"/>
    <xf numFmtId="43" fontId="5" fillId="0" borderId="0" xfId="1" applyFont="1"/>
    <xf numFmtId="0" fontId="18" fillId="27" borderId="0" xfId="0" applyFont="1" applyFill="1" applyAlignment="1">
      <alignment horizontal="center"/>
    </xf>
    <xf numFmtId="0" fontId="18" fillId="8" borderId="0" xfId="0" applyFont="1" applyFill="1"/>
    <xf numFmtId="0" fontId="18" fillId="8" borderId="0" xfId="0" applyFont="1" applyFill="1" applyAlignment="1">
      <alignment horizontal="center"/>
    </xf>
    <xf numFmtId="173" fontId="18" fillId="8" borderId="0" xfId="1" applyNumberFormat="1" applyFont="1" applyFill="1" applyBorder="1"/>
    <xf numFmtId="173" fontId="4" fillId="8" borderId="0" xfId="1" applyNumberFormat="1" applyFont="1" applyFill="1" applyBorder="1"/>
    <xf numFmtId="173" fontId="18" fillId="27" borderId="0" xfId="1" applyNumberFormat="1" applyFont="1" applyFill="1" applyBorder="1"/>
    <xf numFmtId="173" fontId="8" fillId="18" borderId="0" xfId="1" applyNumberFormat="1" applyFont="1" applyFill="1" applyBorder="1"/>
    <xf numFmtId="173" fontId="9" fillId="8" borderId="0" xfId="1" applyNumberFormat="1" applyFont="1" applyFill="1" applyBorder="1"/>
    <xf numFmtId="173" fontId="37" fillId="8" borderId="0" xfId="1" applyNumberFormat="1" applyFont="1" applyFill="1" applyBorder="1"/>
    <xf numFmtId="173" fontId="9" fillId="21" borderId="0" xfId="1" applyNumberFormat="1" applyFont="1" applyFill="1" applyBorder="1"/>
    <xf numFmtId="173" fontId="8" fillId="8" borderId="0" xfId="1" applyNumberFormat="1" applyFont="1" applyFill="1" applyBorder="1" applyAlignment="1">
      <alignment horizontal="center" vertical="center"/>
    </xf>
    <xf numFmtId="173" fontId="8" fillId="8" borderId="0" xfId="1" applyNumberFormat="1" applyFont="1" applyFill="1" applyBorder="1"/>
    <xf numFmtId="173" fontId="37" fillId="18" borderId="0" xfId="1" applyNumberFormat="1" applyFont="1" applyFill="1" applyBorder="1"/>
    <xf numFmtId="173" fontId="38" fillId="8" borderId="0" xfId="1" applyNumberFormat="1" applyFont="1" applyFill="1" applyBorder="1"/>
    <xf numFmtId="173" fontId="8" fillId="26" borderId="0" xfId="1" applyNumberFormat="1" applyFont="1" applyFill="1" applyBorder="1"/>
    <xf numFmtId="173" fontId="8" fillId="21" borderId="0" xfId="1" applyNumberFormat="1" applyFont="1" applyFill="1" applyBorder="1"/>
    <xf numFmtId="9" fontId="15" fillId="21" borderId="4" xfId="2" applyFont="1" applyFill="1" applyBorder="1" applyAlignment="1">
      <alignment horizontal="center" vertical="center"/>
    </xf>
    <xf numFmtId="169" fontId="5" fillId="8" borderId="0" xfId="0" applyNumberFormat="1" applyFont="1" applyFill="1"/>
    <xf numFmtId="4" fontId="8" fillId="8" borderId="0" xfId="0" applyNumberFormat="1" applyFont="1" applyFill="1"/>
    <xf numFmtId="43" fontId="3" fillId="8" borderId="16" xfId="1" applyFont="1" applyFill="1" applyBorder="1"/>
    <xf numFmtId="43" fontId="3" fillId="5" borderId="0" xfId="1" applyFont="1" applyFill="1" applyBorder="1"/>
    <xf numFmtId="174" fontId="9" fillId="4" borderId="0" xfId="1" applyNumberFormat="1" applyFont="1" applyFill="1" applyBorder="1" applyAlignment="1">
      <alignment horizontal="center" vertical="center"/>
    </xf>
    <xf numFmtId="43" fontId="19" fillId="11" borderId="12" xfId="1" applyFont="1" applyFill="1" applyBorder="1"/>
    <xf numFmtId="174" fontId="9" fillId="8" borderId="0" xfId="1" applyNumberFormat="1" applyFont="1" applyFill="1" applyBorder="1"/>
    <xf numFmtId="0" fontId="9" fillId="8" borderId="0" xfId="0" applyFont="1" applyFill="1" applyAlignment="1">
      <alignment horizontal="center" vertical="center"/>
    </xf>
    <xf numFmtId="0" fontId="5" fillId="8" borderId="29" xfId="0" applyFont="1" applyFill="1" applyBorder="1"/>
    <xf numFmtId="0" fontId="0" fillId="8" borderId="31" xfId="0" applyFill="1" applyBorder="1" applyAlignment="1">
      <alignment horizontal="center"/>
    </xf>
    <xf numFmtId="0" fontId="8" fillId="8" borderId="10" xfId="0" applyFont="1" applyFill="1" applyBorder="1" applyAlignment="1">
      <alignment horizontal="center" vertical="center"/>
    </xf>
    <xf numFmtId="0" fontId="0" fillId="0" borderId="27" xfId="0" applyBorder="1" applyAlignment="1">
      <alignment horizontal="center"/>
    </xf>
    <xf numFmtId="43" fontId="24" fillId="8" borderId="26" xfId="1" applyFont="1" applyFill="1" applyBorder="1"/>
    <xf numFmtId="43" fontId="8" fillId="8" borderId="0" xfId="0" applyNumberFormat="1" applyFont="1" applyFill="1"/>
    <xf numFmtId="43" fontId="2" fillId="12" borderId="0" xfId="1" applyFont="1" applyFill="1" applyBorder="1"/>
    <xf numFmtId="43" fontId="0" fillId="0" borderId="0" xfId="0" applyNumberFormat="1" applyAlignment="1">
      <alignment horizontal="center" vertical="center"/>
    </xf>
    <xf numFmtId="43" fontId="0" fillId="23" borderId="0" xfId="1" applyFont="1" applyFill="1" applyBorder="1"/>
    <xf numFmtId="1" fontId="30" fillId="0" borderId="0" xfId="0" applyNumberFormat="1" applyFont="1" applyAlignment="1">
      <alignment horizontal="center" vertical="center"/>
    </xf>
    <xf numFmtId="43" fontId="18" fillId="12" borderId="5" xfId="1" applyFont="1" applyFill="1" applyBorder="1" applyAlignment="1">
      <alignment horizontal="center" vertical="center"/>
    </xf>
    <xf numFmtId="173" fontId="0" fillId="8" borderId="0" xfId="0" applyNumberFormat="1" applyFill="1"/>
    <xf numFmtId="43" fontId="3" fillId="12" borderId="0" xfId="1" applyFont="1" applyFill="1" applyBorder="1"/>
    <xf numFmtId="43" fontId="0" fillId="12" borderId="0" xfId="1" applyFont="1" applyFill="1" applyBorder="1"/>
    <xf numFmtId="43" fontId="3" fillId="23" borderId="0" xfId="1" applyFont="1" applyFill="1"/>
    <xf numFmtId="43" fontId="8" fillId="12" borderId="0" xfId="0" applyNumberFormat="1" applyFont="1" applyFill="1"/>
    <xf numFmtId="169" fontId="25" fillId="12" borderId="8" xfId="0" applyNumberFormat="1" applyFont="1" applyFill="1" applyBorder="1" applyAlignment="1">
      <alignment horizontal="center" vertical="center"/>
    </xf>
    <xf numFmtId="43" fontId="8" fillId="8" borderId="0" xfId="1" applyFont="1" applyFill="1" applyBorder="1"/>
    <xf numFmtId="43" fontId="9" fillId="8" borderId="0" xfId="0" applyNumberFormat="1" applyFont="1" applyFill="1"/>
    <xf numFmtId="0" fontId="17" fillId="7" borderId="15" xfId="0" applyFont="1" applyFill="1" applyBorder="1" applyAlignment="1">
      <alignment horizontal="center"/>
    </xf>
    <xf numFmtId="0" fontId="17" fillId="7" borderId="1" xfId="0" applyFont="1" applyFill="1" applyBorder="1" applyAlignment="1">
      <alignment horizontal="center"/>
    </xf>
    <xf numFmtId="170" fontId="24" fillId="8" borderId="0" xfId="1" applyNumberFormat="1" applyFont="1" applyFill="1" applyBorder="1"/>
    <xf numFmtId="169" fontId="17" fillId="7" borderId="0" xfId="0" applyNumberFormat="1" applyFont="1" applyFill="1" applyAlignment="1">
      <alignment horizontal="center" vertical="center"/>
    </xf>
    <xf numFmtId="43" fontId="8" fillId="4" borderId="0" xfId="1" applyFont="1" applyFill="1" applyBorder="1" applyAlignment="1">
      <alignment horizontal="center" vertical="center"/>
    </xf>
    <xf numFmtId="9" fontId="5" fillId="110" borderId="0" xfId="2" applyFont="1" applyFill="1" applyBorder="1"/>
    <xf numFmtId="0" fontId="5" fillId="110" borderId="9" xfId="0" applyFont="1" applyFill="1" applyBorder="1" applyAlignment="1">
      <alignment horizontal="left" indent="1"/>
    </xf>
    <xf numFmtId="0" fontId="0" fillId="8" borderId="10" xfId="0" applyFill="1" applyBorder="1" applyAlignment="1">
      <alignment horizontal="center"/>
    </xf>
    <xf numFmtId="0" fontId="0" fillId="8" borderId="12" xfId="0"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0" fillId="8" borderId="8" xfId="0" applyFill="1" applyBorder="1" applyAlignment="1">
      <alignment horizontal="right"/>
    </xf>
    <xf numFmtId="0" fontId="0" fillId="8" borderId="10" xfId="0" applyFill="1" applyBorder="1" applyAlignment="1">
      <alignment horizontal="right"/>
    </xf>
    <xf numFmtId="0" fontId="0" fillId="8" borderId="13" xfId="0" applyFill="1" applyBorder="1" applyAlignment="1">
      <alignment horizontal="right"/>
    </xf>
    <xf numFmtId="170" fontId="0" fillId="8" borderId="6" xfId="1" applyNumberFormat="1" applyFont="1" applyFill="1" applyBorder="1"/>
    <xf numFmtId="170" fontId="24" fillId="8" borderId="9" xfId="1" applyNumberFormat="1" applyFont="1" applyFill="1" applyBorder="1"/>
    <xf numFmtId="172" fontId="0" fillId="8" borderId="9" xfId="1" applyNumberFormat="1" applyFont="1" applyFill="1" applyBorder="1"/>
    <xf numFmtId="169" fontId="17" fillId="7" borderId="12" xfId="0" applyNumberFormat="1" applyFont="1" applyFill="1" applyBorder="1" applyAlignment="1">
      <alignment horizontal="center" vertical="center"/>
    </xf>
    <xf numFmtId="170" fontId="18" fillId="8" borderId="0" xfId="1" applyNumberFormat="1" applyFont="1" applyFill="1" applyBorder="1"/>
    <xf numFmtId="0" fontId="5" fillId="3" borderId="6" xfId="0" applyFont="1" applyFill="1" applyBorder="1"/>
    <xf numFmtId="0" fontId="0" fillId="3" borderId="7" xfId="0" applyFill="1" applyBorder="1" applyAlignment="1">
      <alignment horizontal="center"/>
    </xf>
    <xf numFmtId="0" fontId="0" fillId="3" borderId="7" xfId="0" applyFill="1" applyBorder="1"/>
    <xf numFmtId="0" fontId="0" fillId="3" borderId="8" xfId="0" applyFill="1" applyBorder="1"/>
    <xf numFmtId="0" fontId="0" fillId="3" borderId="10" xfId="0" applyFill="1" applyBorder="1"/>
    <xf numFmtId="0" fontId="0" fillId="3" borderId="13" xfId="0" applyFill="1" applyBorder="1"/>
    <xf numFmtId="43" fontId="0" fillId="8" borderId="9" xfId="0" applyNumberFormat="1" applyFill="1" applyBorder="1"/>
    <xf numFmtId="43" fontId="0" fillId="8" borderId="11" xfId="0" applyNumberFormat="1" applyFill="1" applyBorder="1"/>
    <xf numFmtId="0" fontId="0" fillId="8" borderId="8" xfId="0" applyFill="1" applyBorder="1" applyAlignment="1">
      <alignment horizontal="center" vertical="center"/>
    </xf>
    <xf numFmtId="0" fontId="0" fillId="8" borderId="10" xfId="0" applyFill="1" applyBorder="1" applyAlignment="1">
      <alignment horizontal="center" vertical="center"/>
    </xf>
    <xf numFmtId="0" fontId="0" fillId="8" borderId="0" xfId="0" applyFill="1" applyAlignment="1">
      <alignment horizontal="center" vertical="center"/>
    </xf>
    <xf numFmtId="0" fontId="0" fillId="8" borderId="13" xfId="0" applyFill="1" applyBorder="1" applyAlignment="1">
      <alignment horizontal="center" vertical="center"/>
    </xf>
    <xf numFmtId="9" fontId="5" fillId="24" borderId="11" xfId="2" applyFont="1" applyFill="1" applyBorder="1"/>
    <xf numFmtId="9" fontId="5" fillId="24" borderId="12" xfId="2" applyFont="1" applyFill="1" applyBorder="1"/>
    <xf numFmtId="43" fontId="0" fillId="109" borderId="0" xfId="1" applyFont="1" applyFill="1" applyBorder="1"/>
    <xf numFmtId="43" fontId="5" fillId="8" borderId="7" xfId="1" applyFont="1" applyFill="1" applyBorder="1"/>
    <xf numFmtId="173" fontId="5" fillId="8" borderId="14" xfId="1" applyNumberFormat="1" applyFont="1" applyFill="1" applyBorder="1"/>
    <xf numFmtId="173" fontId="5" fillId="8" borderId="15" xfId="1" applyNumberFormat="1" applyFont="1" applyFill="1" applyBorder="1"/>
    <xf numFmtId="43" fontId="0" fillId="0" borderId="0" xfId="1" applyFont="1" applyBorder="1"/>
    <xf numFmtId="43" fontId="0" fillId="109" borderId="2" xfId="1" applyFont="1" applyFill="1" applyBorder="1"/>
    <xf numFmtId="0" fontId="160" fillId="8" borderId="0" xfId="0" applyFont="1" applyFill="1" applyAlignment="1">
      <alignment horizontal="center" vertical="center"/>
    </xf>
    <xf numFmtId="0" fontId="159" fillId="8" borderId="10" xfId="0" applyFont="1" applyFill="1" applyBorder="1" applyAlignment="1">
      <alignment horizontal="center" vertical="center"/>
    </xf>
    <xf numFmtId="43" fontId="159" fillId="18" borderId="0" xfId="0" applyNumberFormat="1" applyFont="1" applyFill="1"/>
    <xf numFmtId="43" fontId="2" fillId="8" borderId="0" xfId="1" applyFont="1" applyFill="1"/>
    <xf numFmtId="43" fontId="8" fillId="21" borderId="0" xfId="0" applyNumberFormat="1" applyFont="1" applyFill="1"/>
    <xf numFmtId="0" fontId="5" fillId="13" borderId="2" xfId="0" applyFont="1" applyFill="1" applyBorder="1" applyAlignment="1">
      <alignment horizontal="center" vertical="center"/>
    </xf>
    <xf numFmtId="0" fontId="5" fillId="13" borderId="3" xfId="0" applyFont="1" applyFill="1" applyBorder="1" applyAlignment="1">
      <alignment horizontal="center" vertical="center"/>
    </xf>
    <xf numFmtId="43" fontId="18" fillId="12" borderId="1" xfId="1" applyFont="1" applyFill="1" applyBorder="1" applyAlignment="1">
      <alignment horizontal="center" vertical="center"/>
    </xf>
    <xf numFmtId="0" fontId="18" fillId="111" borderId="2" xfId="0" applyFont="1" applyFill="1" applyBorder="1" applyAlignment="1">
      <alignment horizontal="center" vertical="center"/>
    </xf>
    <xf numFmtId="43" fontId="18" fillId="111" borderId="1" xfId="1" applyFont="1" applyFill="1" applyBorder="1" applyAlignment="1">
      <alignment horizontal="center" vertical="center"/>
    </xf>
    <xf numFmtId="43" fontId="23" fillId="5" borderId="0" xfId="1" applyFont="1" applyFill="1" applyBorder="1"/>
    <xf numFmtId="43" fontId="23" fillId="8" borderId="0" xfId="1" applyFont="1" applyFill="1" applyBorder="1"/>
    <xf numFmtId="43" fontId="24" fillId="0" borderId="0" xfId="1" applyFont="1" applyFill="1" applyBorder="1"/>
    <xf numFmtId="43" fontId="23" fillId="5" borderId="9" xfId="1" applyFont="1" applyFill="1" applyBorder="1"/>
    <xf numFmtId="43" fontId="23" fillId="8" borderId="9" xfId="1" applyFont="1" applyFill="1" applyBorder="1"/>
    <xf numFmtId="43" fontId="23" fillId="8" borderId="11" xfId="1" applyFont="1" applyFill="1" applyBorder="1"/>
    <xf numFmtId="0" fontId="17" fillId="8" borderId="0" xfId="0" applyFont="1" applyFill="1"/>
    <xf numFmtId="173" fontId="5" fillId="8" borderId="0" xfId="1" applyNumberFormat="1" applyFont="1" applyFill="1"/>
    <xf numFmtId="43" fontId="0" fillId="8" borderId="24" xfId="1" applyFont="1" applyFill="1" applyBorder="1"/>
    <xf numFmtId="43" fontId="0" fillId="8" borderId="31" xfId="1" applyFont="1" applyFill="1" applyBorder="1"/>
    <xf numFmtId="43" fontId="24" fillId="8" borderId="9" xfId="1" applyFont="1" applyFill="1" applyBorder="1"/>
    <xf numFmtId="43" fontId="24" fillId="8" borderId="24" xfId="1" applyFont="1" applyFill="1" applyBorder="1"/>
    <xf numFmtId="43" fontId="0" fillId="8" borderId="23" xfId="1" applyFont="1" applyFill="1" applyBorder="1"/>
    <xf numFmtId="43" fontId="3" fillId="8" borderId="23" xfId="1" applyFont="1" applyFill="1" applyBorder="1"/>
    <xf numFmtId="43" fontId="23" fillId="8" borderId="31" xfId="1" applyFont="1" applyFill="1" applyBorder="1"/>
    <xf numFmtId="173" fontId="19" fillId="11" borderId="12" xfId="1" applyNumberFormat="1" applyFont="1" applyFill="1" applyBorder="1"/>
    <xf numFmtId="0" fontId="12" fillId="8" borderId="0" xfId="0" applyFont="1" applyFill="1" applyAlignment="1">
      <alignment horizontal="center" vertical="center"/>
    </xf>
    <xf numFmtId="43" fontId="0" fillId="109" borderId="8" xfId="1" applyFont="1" applyFill="1" applyBorder="1"/>
    <xf numFmtId="0" fontId="5" fillId="8" borderId="6" xfId="0" applyFont="1" applyFill="1" applyBorder="1" applyAlignment="1">
      <alignment horizontal="center" vertical="center"/>
    </xf>
    <xf numFmtId="0" fontId="159" fillId="8" borderId="9" xfId="0" applyFont="1" applyFill="1" applyBorder="1" applyAlignment="1">
      <alignment horizontal="center" vertical="center"/>
    </xf>
    <xf numFmtId="0" fontId="12" fillId="8" borderId="26" xfId="0" applyFont="1" applyFill="1" applyBorder="1" applyAlignment="1">
      <alignment horizontal="center" vertical="center"/>
    </xf>
    <xf numFmtId="43" fontId="162" fillId="8" borderId="0" xfId="1" applyFont="1" applyFill="1" applyBorder="1"/>
    <xf numFmtId="0" fontId="0" fillId="0" borderId="6" xfId="0" applyBorder="1" applyAlignment="1">
      <alignment horizontal="center" vertical="center"/>
    </xf>
    <xf numFmtId="0" fontId="0" fillId="0" borderId="8" xfId="0"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43" fontId="5" fillId="0" borderId="9" xfId="0" applyNumberFormat="1" applyFont="1" applyBorder="1" applyAlignment="1">
      <alignment horizontal="center" vertical="center"/>
    </xf>
    <xf numFmtId="43" fontId="5" fillId="0" borderId="10" xfId="0" applyNumberFormat="1" applyFont="1" applyBorder="1" applyAlignment="1">
      <alignment horizontal="center" vertical="center"/>
    </xf>
    <xf numFmtId="43" fontId="5" fillId="0" borderId="11" xfId="0" applyNumberFormat="1" applyFont="1" applyBorder="1" applyAlignment="1">
      <alignment horizontal="center" vertical="center"/>
    </xf>
    <xf numFmtId="43" fontId="5" fillId="0" borderId="13" xfId="0" applyNumberFormat="1" applyFont="1" applyBorder="1" applyAlignment="1">
      <alignment horizontal="center" vertical="center"/>
    </xf>
    <xf numFmtId="43" fontId="27" fillId="112" borderId="3" xfId="1" applyFont="1" applyFill="1" applyBorder="1" applyAlignment="1">
      <alignment horizontal="center" vertical="center"/>
    </xf>
    <xf numFmtId="43" fontId="24" fillId="5" borderId="9" xfId="1" applyFont="1" applyFill="1" applyBorder="1"/>
    <xf numFmtId="43" fontId="23" fillId="12" borderId="0" xfId="1" applyFont="1" applyFill="1" applyBorder="1"/>
    <xf numFmtId="174" fontId="163" fillId="24" borderId="0" xfId="1" applyNumberFormat="1" applyFont="1" applyFill="1" applyBorder="1" applyAlignment="1">
      <alignment horizontal="center" vertical="center"/>
    </xf>
    <xf numFmtId="43" fontId="24" fillId="5" borderId="0" xfId="1" applyFont="1" applyFill="1" applyBorder="1"/>
    <xf numFmtId="43" fontId="7" fillId="5" borderId="7" xfId="0" applyNumberFormat="1" applyFont="1" applyFill="1" applyBorder="1"/>
    <xf numFmtId="43" fontId="9" fillId="21" borderId="0" xfId="0" applyNumberFormat="1" applyFont="1" applyFill="1"/>
    <xf numFmtId="43" fontId="3" fillId="8" borderId="9" xfId="1" applyFont="1" applyFill="1" applyBorder="1"/>
    <xf numFmtId="0" fontId="0" fillId="12" borderId="0" xfId="0" applyFill="1" applyAlignment="1">
      <alignment horizontal="right" vertical="center"/>
    </xf>
    <xf numFmtId="43" fontId="0" fillId="12" borderId="0" xfId="1" applyFont="1" applyFill="1" applyAlignment="1">
      <alignment horizontal="center" vertical="center"/>
    </xf>
    <xf numFmtId="43" fontId="9" fillId="12" borderId="0" xfId="0" applyNumberFormat="1" applyFont="1" applyFill="1"/>
    <xf numFmtId="43" fontId="31" fillId="8" borderId="16" xfId="1" applyFont="1" applyFill="1" applyBorder="1"/>
    <xf numFmtId="173" fontId="25" fillId="8" borderId="0" xfId="1" applyNumberFormat="1" applyFont="1" applyFill="1" applyBorder="1"/>
    <xf numFmtId="0" fontId="164" fillId="8" borderId="0" xfId="0" applyFont="1" applyFill="1" applyAlignment="1">
      <alignment horizontal="center"/>
    </xf>
    <xf numFmtId="0" fontId="165" fillId="0" borderId="0" xfId="0" applyFont="1"/>
    <xf numFmtId="0" fontId="166" fillId="0" borderId="0" xfId="0" applyFont="1" applyAlignment="1">
      <alignment vertical="center"/>
    </xf>
    <xf numFmtId="0" fontId="167" fillId="113" borderId="0" xfId="0" applyFont="1" applyFill="1" applyAlignment="1">
      <alignment horizontal="center" vertical="center"/>
    </xf>
    <xf numFmtId="169" fontId="167" fillId="3" borderId="0" xfId="0" applyNumberFormat="1" applyFont="1" applyFill="1" applyAlignment="1">
      <alignment horizontal="center" vertical="center"/>
    </xf>
    <xf numFmtId="169" fontId="167" fillId="12" borderId="0" xfId="0" applyNumberFormat="1" applyFont="1" applyFill="1" applyAlignment="1">
      <alignment horizontal="center" vertical="center"/>
    </xf>
    <xf numFmtId="0" fontId="168" fillId="0" borderId="0" xfId="0" applyFont="1"/>
    <xf numFmtId="43" fontId="169" fillId="2" borderId="0" xfId="1" applyFont="1" applyFill="1" applyBorder="1"/>
    <xf numFmtId="43" fontId="24" fillId="0" borderId="0" xfId="1" applyFont="1" applyBorder="1"/>
    <xf numFmtId="172" fontId="0" fillId="0" borderId="0" xfId="1" applyNumberFormat="1" applyFont="1" applyBorder="1"/>
    <xf numFmtId="43" fontId="3" fillId="0" borderId="0" xfId="1" applyFont="1" applyBorder="1"/>
    <xf numFmtId="43" fontId="23" fillId="2" borderId="0" xfId="1" applyFont="1" applyFill="1" applyBorder="1"/>
    <xf numFmtId="169" fontId="167" fillId="0" borderId="0" xfId="0" applyNumberFormat="1" applyFont="1" applyAlignment="1">
      <alignment horizontal="center" vertical="center"/>
    </xf>
    <xf numFmtId="0" fontId="170" fillId="0" borderId="0" xfId="0" applyFont="1"/>
    <xf numFmtId="43" fontId="172" fillId="0" borderId="0" xfId="1" applyFont="1" applyBorder="1" applyAlignment="1">
      <alignment vertical="center"/>
    </xf>
    <xf numFmtId="43" fontId="0" fillId="0" borderId="0" xfId="1" applyFont="1" applyFill="1"/>
    <xf numFmtId="43" fontId="3" fillId="0" borderId="0" xfId="1" applyFont="1" applyFill="1" applyBorder="1"/>
    <xf numFmtId="0" fontId="17" fillId="7" borderId="14" xfId="0" applyFont="1" applyFill="1" applyBorder="1" applyAlignment="1">
      <alignment horizontal="center"/>
    </xf>
    <xf numFmtId="43" fontId="0" fillId="8" borderId="55" xfId="1" applyFont="1" applyFill="1" applyBorder="1"/>
    <xf numFmtId="43" fontId="24" fillId="8" borderId="17" xfId="1" applyFont="1" applyFill="1" applyBorder="1"/>
    <xf numFmtId="43" fontId="24" fillId="8" borderId="56" xfId="1" applyFont="1" applyFill="1" applyBorder="1"/>
    <xf numFmtId="43" fontId="0" fillId="8" borderId="57" xfId="1" applyFont="1" applyFill="1" applyBorder="1"/>
    <xf numFmtId="43" fontId="0" fillId="8" borderId="58" xfId="1" applyFont="1" applyFill="1" applyBorder="1"/>
    <xf numFmtId="43" fontId="5" fillId="0" borderId="0" xfId="0" applyNumberFormat="1" applyFont="1"/>
    <xf numFmtId="0" fontId="9" fillId="8" borderId="0" xfId="0" applyFont="1" applyFill="1" applyAlignment="1">
      <alignment horizontal="center"/>
    </xf>
    <xf numFmtId="3" fontId="0" fillId="0" borderId="0" xfId="0" applyNumberFormat="1" applyAlignment="1">
      <alignment horizontal="center" vertical="center"/>
    </xf>
    <xf numFmtId="173" fontId="175" fillId="0" borderId="0" xfId="1" applyNumberFormat="1" applyFont="1" applyAlignment="1">
      <alignment horizontal="center" vertical="center"/>
    </xf>
    <xf numFmtId="43" fontId="3" fillId="12" borderId="11" xfId="1" applyFont="1" applyFill="1" applyBorder="1"/>
    <xf numFmtId="0" fontId="176" fillId="0" borderId="0" xfId="0" applyFont="1"/>
    <xf numFmtId="174" fontId="8" fillId="24" borderId="0" xfId="1" applyNumberFormat="1" applyFont="1" applyFill="1" applyBorder="1" applyAlignment="1">
      <alignment horizontal="center" vertical="center"/>
    </xf>
    <xf numFmtId="174" fontId="8" fillId="4" borderId="0" xfId="1" applyNumberFormat="1" applyFont="1" applyFill="1" applyBorder="1" applyAlignment="1">
      <alignment horizontal="center" vertical="center"/>
    </xf>
    <xf numFmtId="0" fontId="0" fillId="8" borderId="13" xfId="0" applyFill="1" applyBorder="1" applyAlignment="1">
      <alignment horizontal="center"/>
    </xf>
    <xf numFmtId="3" fontId="11" fillId="8" borderId="0" xfId="0" applyNumberFormat="1" applyFont="1" applyFill="1"/>
    <xf numFmtId="43" fontId="8" fillId="5" borderId="7" xfId="0" applyNumberFormat="1" applyFont="1" applyFill="1" applyBorder="1"/>
    <xf numFmtId="43" fontId="8" fillId="5" borderId="6" xfId="0" applyNumberFormat="1" applyFont="1" applyFill="1" applyBorder="1"/>
    <xf numFmtId="0" fontId="7" fillId="8" borderId="7" xfId="0" applyFont="1" applyFill="1" applyBorder="1" applyAlignment="1">
      <alignment horizontal="center" vertical="center"/>
    </xf>
    <xf numFmtId="0" fontId="0" fillId="8" borderId="11" xfId="0" applyFill="1" applyBorder="1" applyAlignment="1">
      <alignment horizontal="center"/>
    </xf>
    <xf numFmtId="0" fontId="12" fillId="8" borderId="12" xfId="0" applyFont="1" applyFill="1" applyBorder="1" applyAlignment="1">
      <alignment horizontal="center" vertical="center"/>
    </xf>
    <xf numFmtId="43" fontId="24" fillId="8" borderId="6" xfId="1" applyFont="1" applyFill="1" applyBorder="1"/>
    <xf numFmtId="43" fontId="24" fillId="8" borderId="7" xfId="1" applyFont="1" applyFill="1" applyBorder="1"/>
    <xf numFmtId="43" fontId="24" fillId="8" borderId="11" xfId="1" applyFont="1" applyFill="1" applyBorder="1"/>
    <xf numFmtId="43" fontId="24" fillId="8" borderId="12" xfId="1" applyFont="1" applyFill="1" applyBorder="1"/>
    <xf numFmtId="43" fontId="7" fillId="8" borderId="0" xfId="1" applyFont="1" applyFill="1" applyBorder="1"/>
    <xf numFmtId="174" fontId="9" fillId="24" borderId="0" xfId="1" applyNumberFormat="1" applyFont="1" applyFill="1" applyBorder="1" applyAlignment="1">
      <alignment horizontal="center" vertical="center"/>
    </xf>
    <xf numFmtId="0" fontId="162" fillId="8" borderId="0" xfId="0" applyFont="1" applyFill="1" applyAlignment="1">
      <alignment horizontal="center"/>
    </xf>
    <xf numFmtId="0" fontId="159" fillId="8" borderId="0" xfId="0" applyFont="1" applyFill="1" applyAlignment="1">
      <alignment horizontal="center"/>
    </xf>
    <xf numFmtId="43" fontId="9" fillId="26" borderId="0" xfId="0" applyNumberFormat="1" applyFont="1" applyFill="1"/>
    <xf numFmtId="43" fontId="23" fillId="23" borderId="0" xfId="1" applyFont="1" applyFill="1" applyBorder="1"/>
    <xf numFmtId="43" fontId="3" fillId="12" borderId="9" xfId="1" applyFont="1" applyFill="1" applyBorder="1"/>
    <xf numFmtId="43" fontId="7" fillId="8" borderId="9" xfId="1" applyFont="1" applyFill="1" applyBorder="1"/>
    <xf numFmtId="43" fontId="0" fillId="8" borderId="6" xfId="1" applyFont="1" applyFill="1" applyBorder="1"/>
    <xf numFmtId="43" fontId="7" fillId="5" borderId="6" xfId="0" applyNumberFormat="1" applyFont="1" applyFill="1" applyBorder="1"/>
    <xf numFmtId="43" fontId="24" fillId="8" borderId="23" xfId="1" applyFont="1" applyFill="1" applyBorder="1"/>
    <xf numFmtId="0" fontId="4" fillId="2" borderId="8" xfId="0" applyFont="1" applyFill="1" applyBorder="1" applyAlignment="1">
      <alignment horizontal="center" vertical="center"/>
    </xf>
    <xf numFmtId="0" fontId="3" fillId="8" borderId="0" xfId="0" applyFont="1" applyFill="1"/>
    <xf numFmtId="0" fontId="3" fillId="8" borderId="0" xfId="0" applyFont="1" applyFill="1" applyAlignment="1">
      <alignment horizontal="right"/>
    </xf>
    <xf numFmtId="0" fontId="177" fillId="0" borderId="0" xfId="0" applyFont="1" applyAlignment="1">
      <alignment vertical="center"/>
    </xf>
    <xf numFmtId="0" fontId="178" fillId="8" borderId="0" xfId="0" applyFont="1" applyFill="1"/>
    <xf numFmtId="43" fontId="3" fillId="5" borderId="7" xfId="0" applyNumberFormat="1" applyFont="1" applyFill="1" applyBorder="1"/>
    <xf numFmtId="9" fontId="5" fillId="114" borderId="12" xfId="2" applyFont="1" applyFill="1" applyBorder="1"/>
    <xf numFmtId="173" fontId="159" fillId="4" borderId="0" xfId="1" applyNumberFormat="1" applyFont="1" applyFill="1" applyBorder="1" applyAlignment="1">
      <alignment horizontal="center" vertical="center"/>
    </xf>
    <xf numFmtId="173" fontId="11" fillId="8" borderId="0" xfId="0" applyNumberFormat="1" applyFont="1" applyFill="1"/>
    <xf numFmtId="173" fontId="7" fillId="4" borderId="0" xfId="1" applyNumberFormat="1" applyFont="1" applyFill="1" applyBorder="1" applyAlignment="1">
      <alignment horizontal="center" vertical="center"/>
    </xf>
    <xf numFmtId="0" fontId="179" fillId="24" borderId="0" xfId="0" applyFont="1" applyFill="1" applyAlignment="1">
      <alignment horizontal="left" indent="1"/>
    </xf>
    <xf numFmtId="0" fontId="0" fillId="24" borderId="0" xfId="0" applyFill="1" applyAlignment="1">
      <alignment horizontal="center"/>
    </xf>
    <xf numFmtId="0" fontId="0" fillId="24" borderId="0" xfId="0" applyFill="1"/>
    <xf numFmtId="43" fontId="0" fillId="24" borderId="0" xfId="1" applyFont="1" applyFill="1"/>
    <xf numFmtId="0" fontId="17" fillId="24" borderId="15" xfId="0" applyFont="1" applyFill="1" applyBorder="1" applyAlignment="1">
      <alignment horizontal="center"/>
    </xf>
    <xf numFmtId="0" fontId="17" fillId="24" borderId="1" xfId="0" applyFont="1" applyFill="1" applyBorder="1" applyAlignment="1">
      <alignment horizontal="center"/>
    </xf>
    <xf numFmtId="0" fontId="5" fillId="24" borderId="6" xfId="0" applyFont="1" applyFill="1" applyBorder="1"/>
    <xf numFmtId="0" fontId="0" fillId="24" borderId="7" xfId="0" applyFill="1" applyBorder="1" applyAlignment="1">
      <alignment horizontal="center"/>
    </xf>
    <xf numFmtId="0" fontId="0" fillId="24" borderId="7" xfId="0" applyFill="1" applyBorder="1"/>
    <xf numFmtId="0" fontId="0" fillId="24" borderId="8" xfId="0" applyFill="1" applyBorder="1" applyAlignment="1">
      <alignment horizontal="right"/>
    </xf>
    <xf numFmtId="0" fontId="5" fillId="24" borderId="9" xfId="0" applyFont="1" applyFill="1" applyBorder="1" applyAlignment="1">
      <alignment horizontal="left" indent="1"/>
    </xf>
    <xf numFmtId="0" fontId="0" fillId="24" borderId="10" xfId="0" applyFill="1" applyBorder="1" applyAlignment="1">
      <alignment horizontal="right"/>
    </xf>
    <xf numFmtId="0" fontId="5" fillId="24" borderId="11" xfId="0" applyFont="1" applyFill="1" applyBorder="1" applyAlignment="1">
      <alignment horizontal="left" indent="1"/>
    </xf>
    <xf numFmtId="0" fontId="0" fillId="24" borderId="12" xfId="0" applyFill="1" applyBorder="1" applyAlignment="1">
      <alignment horizontal="center"/>
    </xf>
    <xf numFmtId="0" fontId="0" fillId="24" borderId="12" xfId="0" applyFill="1" applyBorder="1"/>
    <xf numFmtId="0" fontId="0" fillId="24" borderId="13" xfId="0" applyFill="1" applyBorder="1" applyAlignment="1">
      <alignment horizontal="right"/>
    </xf>
    <xf numFmtId="173" fontId="8" fillId="0" borderId="0" xfId="1" applyNumberFormat="1" applyFont="1" applyBorder="1" applyAlignment="1">
      <alignment vertical="center"/>
    </xf>
    <xf numFmtId="173" fontId="159" fillId="0" borderId="0" xfId="1" applyNumberFormat="1" applyFont="1" applyBorder="1" applyAlignment="1">
      <alignment vertical="center"/>
    </xf>
    <xf numFmtId="0" fontId="24" fillId="0" borderId="0" xfId="0" applyFont="1" applyAlignment="1">
      <alignment horizontal="center"/>
    </xf>
    <xf numFmtId="43" fontId="180" fillId="0" borderId="0" xfId="1" applyFont="1" applyBorder="1" applyAlignment="1">
      <alignment vertical="center"/>
    </xf>
    <xf numFmtId="0" fontId="173" fillId="0" borderId="0" xfId="0" applyFont="1" applyAlignment="1">
      <alignment horizontal="left" vertical="center"/>
    </xf>
    <xf numFmtId="0" fontId="162" fillId="0" borderId="0" xfId="0" applyFont="1" applyAlignment="1">
      <alignment horizontal="center"/>
    </xf>
    <xf numFmtId="43" fontId="171" fillId="0" borderId="0" xfId="1" applyFont="1" applyBorder="1" applyAlignment="1">
      <alignment vertical="center"/>
    </xf>
    <xf numFmtId="43" fontId="159" fillId="0" borderId="0" xfId="1" applyFont="1" applyBorder="1" applyAlignment="1">
      <alignment vertical="center"/>
    </xf>
    <xf numFmtId="43" fontId="162" fillId="2" borderId="0" xfId="1" applyFont="1" applyFill="1" applyBorder="1"/>
    <xf numFmtId="43" fontId="159" fillId="0" borderId="0" xfId="1" applyFont="1" applyFill="1" applyBorder="1"/>
    <xf numFmtId="0" fontId="181" fillId="0" borderId="0" xfId="0" applyFont="1"/>
    <xf numFmtId="173" fontId="162" fillId="0" borderId="0" xfId="1" applyNumberFormat="1" applyFont="1" applyBorder="1" applyAlignment="1">
      <alignment vertical="center"/>
    </xf>
    <xf numFmtId="173" fontId="167" fillId="0" borderId="0" xfId="1" applyNumberFormat="1" applyFont="1" applyBorder="1" applyAlignment="1">
      <alignment vertical="center"/>
    </xf>
    <xf numFmtId="173" fontId="0" fillId="0" borderId="0" xfId="1" applyNumberFormat="1" applyFont="1" applyBorder="1"/>
    <xf numFmtId="43" fontId="3" fillId="8" borderId="12" xfId="1" applyFont="1" applyFill="1" applyBorder="1"/>
    <xf numFmtId="173" fontId="4" fillId="12" borderId="0" xfId="1" applyNumberFormat="1" applyFont="1" applyFill="1" applyBorder="1"/>
    <xf numFmtId="43" fontId="24" fillId="23" borderId="0" xfId="1" applyFont="1" applyFill="1" applyBorder="1"/>
    <xf numFmtId="43" fontId="24" fillId="23" borderId="0" xfId="0" applyNumberFormat="1" applyFont="1" applyFill="1"/>
    <xf numFmtId="43" fontId="2" fillId="5" borderId="0" xfId="1" applyFont="1" applyFill="1" applyBorder="1"/>
    <xf numFmtId="43" fontId="8" fillId="0" borderId="0" xfId="1" applyFont="1" applyBorder="1" applyAlignment="1">
      <alignment vertical="center"/>
    </xf>
    <xf numFmtId="0" fontId="24" fillId="0" borderId="0" xfId="0" applyFont="1"/>
    <xf numFmtId="173" fontId="24" fillId="0" borderId="0" xfId="1" applyNumberFormat="1" applyFont="1"/>
    <xf numFmtId="173" fontId="181" fillId="0" borderId="0" xfId="1" applyNumberFormat="1" applyFont="1"/>
    <xf numFmtId="0" fontId="181" fillId="0" borderId="0" xfId="0" applyFont="1" applyAlignment="1">
      <alignment horizontal="center"/>
    </xf>
    <xf numFmtId="43" fontId="9" fillId="0" borderId="0" xfId="1" applyFont="1" applyBorder="1" applyAlignment="1">
      <alignment vertical="center"/>
    </xf>
    <xf numFmtId="43" fontId="18" fillId="14" borderId="5" xfId="1" applyFont="1" applyFill="1" applyBorder="1" applyAlignment="1">
      <alignment horizontal="center" vertical="center"/>
    </xf>
    <xf numFmtId="0" fontId="3" fillId="0" borderId="0" xfId="0" applyFont="1" applyAlignment="1">
      <alignment horizontal="center" vertical="center"/>
    </xf>
    <xf numFmtId="43" fontId="9" fillId="5" borderId="7" xfId="0" applyNumberFormat="1" applyFont="1" applyFill="1" applyBorder="1"/>
    <xf numFmtId="43" fontId="8" fillId="23" borderId="0" xfId="0" applyNumberFormat="1" applyFont="1" applyFill="1"/>
    <xf numFmtId="174" fontId="18" fillId="8" borderId="0" xfId="1" applyNumberFormat="1" applyFont="1" applyFill="1" applyBorder="1"/>
    <xf numFmtId="173" fontId="9" fillId="8" borderId="0" xfId="1" applyNumberFormat="1" applyFont="1" applyFill="1" applyBorder="1" applyAlignment="1">
      <alignment horizontal="center" vertical="center"/>
    </xf>
    <xf numFmtId="43" fontId="9" fillId="8" borderId="0" xfId="1" applyFont="1" applyFill="1" applyBorder="1"/>
    <xf numFmtId="43" fontId="23" fillId="0" borderId="0" xfId="1" applyFont="1" applyFill="1" applyBorder="1"/>
    <xf numFmtId="43" fontId="9" fillId="0" borderId="0" xfId="1" applyFont="1" applyFill="1" applyBorder="1"/>
    <xf numFmtId="43" fontId="9" fillId="12" borderId="7" xfId="0" applyNumberFormat="1" applyFont="1" applyFill="1" applyBorder="1"/>
    <xf numFmtId="43" fontId="9" fillId="12" borderId="0" xfId="1" applyFont="1" applyFill="1" applyBorder="1"/>
    <xf numFmtId="0" fontId="23" fillId="0" borderId="0" xfId="0" applyFont="1" applyAlignment="1">
      <alignment horizontal="center"/>
    </xf>
    <xf numFmtId="43" fontId="182" fillId="0" borderId="0" xfId="1" applyFont="1" applyBorder="1" applyAlignment="1">
      <alignment vertical="center"/>
    </xf>
    <xf numFmtId="173" fontId="7" fillId="0" borderId="0" xfId="1" applyNumberFormat="1" applyFont="1" applyBorder="1" applyAlignment="1">
      <alignment vertical="center"/>
    </xf>
    <xf numFmtId="0" fontId="23" fillId="0" borderId="0" xfId="0" applyFont="1"/>
    <xf numFmtId="173" fontId="174" fillId="0" borderId="0" xfId="1" applyNumberFormat="1" applyFont="1" applyBorder="1" applyAlignment="1">
      <alignment vertical="center"/>
    </xf>
    <xf numFmtId="0" fontId="183" fillId="0" borderId="0" xfId="0" applyFont="1" applyAlignment="1">
      <alignment horizontal="left" vertical="center"/>
    </xf>
    <xf numFmtId="0" fontId="184" fillId="0" borderId="0" xfId="0" applyFont="1" applyAlignment="1">
      <alignment horizontal="center"/>
    </xf>
    <xf numFmtId="43" fontId="184" fillId="2" borderId="0" xfId="1" applyFont="1" applyFill="1" applyBorder="1"/>
    <xf numFmtId="173" fontId="184" fillId="2" borderId="0" xfId="1" applyNumberFormat="1" applyFont="1" applyFill="1" applyBorder="1"/>
    <xf numFmtId="43" fontId="184" fillId="0" borderId="0" xfId="1" applyFont="1" applyFill="1" applyBorder="1"/>
    <xf numFmtId="173" fontId="184" fillId="0" borderId="0" xfId="1" applyNumberFormat="1" applyFont="1" applyBorder="1"/>
    <xf numFmtId="0" fontId="184" fillId="0" borderId="0" xfId="0" applyFont="1"/>
    <xf numFmtId="43" fontId="23" fillId="111" borderId="0" xfId="1" applyFont="1" applyFill="1" applyBorder="1"/>
    <xf numFmtId="43" fontId="8" fillId="5" borderId="0" xfId="1" applyFont="1" applyFill="1" applyBorder="1"/>
    <xf numFmtId="164" fontId="11" fillId="8" borderId="0" xfId="0" applyNumberFormat="1" applyFont="1" applyFill="1"/>
    <xf numFmtId="17" fontId="0" fillId="8" borderId="0" xfId="0" quotePrefix="1" applyNumberFormat="1" applyFill="1"/>
    <xf numFmtId="0" fontId="0" fillId="8" borderId="0" xfId="0" quotePrefix="1" applyFill="1"/>
    <xf numFmtId="43" fontId="185" fillId="0" borderId="0" xfId="1" applyFont="1" applyFill="1" applyBorder="1"/>
    <xf numFmtId="43" fontId="23" fillId="0" borderId="0" xfId="1" applyFont="1" applyFill="1" applyAlignment="1">
      <alignment horizontal="left"/>
    </xf>
    <xf numFmtId="0" fontId="187" fillId="0" borderId="0" xfId="0" applyFont="1" applyAlignment="1">
      <alignment vertical="center"/>
    </xf>
    <xf numFmtId="172" fontId="23" fillId="0" borderId="0" xfId="1" applyNumberFormat="1" applyFont="1" applyFill="1" applyBorder="1"/>
    <xf numFmtId="0" fontId="3" fillId="0" borderId="0" xfId="0" applyFont="1"/>
    <xf numFmtId="0" fontId="188" fillId="0" borderId="0" xfId="0" applyFont="1"/>
    <xf numFmtId="172" fontId="189" fillId="0" borderId="0" xfId="1" applyNumberFormat="1" applyFont="1" applyFill="1" applyBorder="1"/>
    <xf numFmtId="43" fontId="189" fillId="0" borderId="0" xfId="1" applyFont="1" applyFill="1"/>
    <xf numFmtId="0" fontId="7" fillId="8" borderId="0" xfId="0" applyFont="1" applyFill="1"/>
    <xf numFmtId="0" fontId="9" fillId="8" borderId="0" xfId="0" applyFont="1" applyFill="1"/>
    <xf numFmtId="0" fontId="25" fillId="8" borderId="0" xfId="0" applyFont="1" applyFill="1"/>
    <xf numFmtId="0" fontId="1" fillId="8" borderId="0" xfId="0" applyFont="1" applyFill="1"/>
    <xf numFmtId="0" fontId="23" fillId="8" borderId="0" xfId="0" applyFont="1" applyFill="1"/>
    <xf numFmtId="0" fontId="25" fillId="8" borderId="11" xfId="0" applyFont="1" applyFill="1" applyBorder="1" applyAlignment="1">
      <alignment horizontal="left" indent="1"/>
    </xf>
    <xf numFmtId="43" fontId="0" fillId="0" borderId="0" xfId="1" applyFont="1" applyFill="1" applyAlignment="1">
      <alignment horizontal="center" vertical="center"/>
    </xf>
    <xf numFmtId="169" fontId="5" fillId="0" borderId="0" xfId="0" applyNumberFormat="1" applyFont="1" applyAlignment="1">
      <alignment horizontal="center" vertical="center"/>
    </xf>
    <xf numFmtId="0" fontId="4" fillId="0" borderId="0" xfId="0" applyFont="1" applyAlignment="1">
      <alignment horizontal="center" vertical="center"/>
    </xf>
    <xf numFmtId="43" fontId="5" fillId="0" borderId="0" xfId="1" applyFont="1" applyFill="1" applyBorder="1" applyAlignment="1">
      <alignment horizontal="center" vertical="center"/>
    </xf>
    <xf numFmtId="43" fontId="18" fillId="0" borderId="0" xfId="1" applyFont="1" applyFill="1" applyBorder="1" applyAlignment="1">
      <alignment horizontal="center" vertical="center"/>
    </xf>
    <xf numFmtId="43" fontId="27" fillId="0" borderId="0" xfId="1" applyFont="1" applyFill="1" applyBorder="1" applyAlignment="1">
      <alignment horizontal="center" vertical="center"/>
    </xf>
    <xf numFmtId="43" fontId="26" fillId="0" borderId="0" xfId="1" applyFont="1" applyFill="1" applyBorder="1" applyAlignment="1">
      <alignment horizontal="center" vertical="center"/>
    </xf>
    <xf numFmtId="172" fontId="0" fillId="0" borderId="0" xfId="0" applyNumberFormat="1" applyAlignment="1">
      <alignment horizontal="center" vertical="center"/>
    </xf>
    <xf numFmtId="9" fontId="15" fillId="0" borderId="0" xfId="2" applyFont="1" applyFill="1" applyBorder="1" applyAlignment="1">
      <alignment horizontal="center" vertical="center"/>
    </xf>
    <xf numFmtId="173" fontId="0" fillId="0" borderId="0" xfId="1" applyNumberFormat="1" applyFont="1" applyFill="1" applyAlignment="1">
      <alignment horizontal="center" vertical="center"/>
    </xf>
    <xf numFmtId="0" fontId="1" fillId="8" borderId="9" xfId="0" applyFont="1" applyFill="1" applyBorder="1"/>
    <xf numFmtId="0" fontId="23" fillId="8" borderId="0" xfId="0" quotePrefix="1" applyFont="1" applyFill="1"/>
    <xf numFmtId="0" fontId="193" fillId="8" borderId="0" xfId="0" quotePrefix="1" applyFont="1" applyFill="1"/>
    <xf numFmtId="0" fontId="193" fillId="8" borderId="0" xfId="0" applyFont="1" applyFill="1"/>
    <xf numFmtId="43" fontId="196" fillId="0" borderId="0" xfId="1" applyFont="1" applyFill="1" applyBorder="1" applyAlignment="1">
      <alignment horizontal="left" vertical="center"/>
    </xf>
    <xf numFmtId="43" fontId="23" fillId="0" borderId="0" xfId="0" quotePrefix="1" applyNumberFormat="1" applyFont="1" applyAlignment="1">
      <alignment vertical="center"/>
    </xf>
    <xf numFmtId="43" fontId="196" fillId="0" borderId="0" xfId="1" quotePrefix="1" applyFont="1" applyFill="1" applyBorder="1" applyAlignment="1">
      <alignment vertical="center"/>
    </xf>
    <xf numFmtId="43" fontId="195" fillId="0" borderId="0" xfId="1" quotePrefix="1" applyFont="1" applyFill="1" applyBorder="1" applyAlignment="1">
      <alignment vertical="top"/>
    </xf>
    <xf numFmtId="172" fontId="23" fillId="0" borderId="0" xfId="0" quotePrefix="1" applyNumberFormat="1" applyFont="1" applyAlignment="1">
      <alignment vertical="center"/>
    </xf>
    <xf numFmtId="9" fontId="7" fillId="0" borderId="0" xfId="2" applyFont="1" applyFill="1" applyBorder="1" applyAlignment="1">
      <alignment vertical="center"/>
    </xf>
    <xf numFmtId="43" fontId="7" fillId="0" borderId="0" xfId="0" applyNumberFormat="1" applyFont="1" applyAlignment="1">
      <alignment vertical="center"/>
    </xf>
    <xf numFmtId="43" fontId="2" fillId="0" borderId="0" xfId="1" applyFont="1" applyFill="1" applyAlignment="1">
      <alignment vertical="center"/>
    </xf>
    <xf numFmtId="169" fontId="1" fillId="0" borderId="0" xfId="0" applyNumberFormat="1" applyFont="1" applyAlignment="1">
      <alignment vertical="center"/>
    </xf>
    <xf numFmtId="43" fontId="1" fillId="0" borderId="0" xfId="1" applyFont="1" applyFill="1" applyBorder="1" applyAlignment="1">
      <alignment vertical="center"/>
    </xf>
    <xf numFmtId="43" fontId="8" fillId="0" borderId="0" xfId="1" applyFont="1" applyFill="1" applyBorder="1" applyAlignment="1">
      <alignment vertical="center"/>
    </xf>
    <xf numFmtId="43" fontId="195" fillId="0" borderId="0" xfId="1" applyFont="1" applyFill="1" applyBorder="1" applyAlignment="1">
      <alignment vertical="center"/>
    </xf>
    <xf numFmtId="43" fontId="0" fillId="0" borderId="0" xfId="0" applyNumberFormat="1" applyAlignment="1">
      <alignment vertical="center"/>
    </xf>
    <xf numFmtId="0" fontId="0" fillId="0" borderId="0" xfId="0" applyAlignment="1">
      <alignment vertical="center"/>
    </xf>
    <xf numFmtId="173" fontId="2" fillId="0" borderId="0" xfId="1" applyNumberFormat="1" applyFont="1" applyFill="1" applyAlignment="1">
      <alignment vertical="center"/>
    </xf>
    <xf numFmtId="43" fontId="23" fillId="0" borderId="0" xfId="0" applyNumberFormat="1" applyFont="1" applyAlignment="1">
      <alignment vertical="center"/>
    </xf>
    <xf numFmtId="43" fontId="7" fillId="0" borderId="0" xfId="1" applyFont="1" applyFill="1" applyBorder="1" applyAlignment="1">
      <alignment vertical="center"/>
    </xf>
    <xf numFmtId="43" fontId="7" fillId="0" borderId="0" xfId="1" quotePrefix="1" applyFont="1" applyFill="1" applyBorder="1" applyAlignment="1">
      <alignment vertical="center"/>
    </xf>
    <xf numFmtId="0" fontId="0" fillId="0" borderId="28" xfId="0" applyBorder="1"/>
    <xf numFmtId="0" fontId="0" fillId="21" borderId="28" xfId="0" applyFill="1" applyBorder="1"/>
    <xf numFmtId="43" fontId="0" fillId="0" borderId="28" xfId="0" applyNumberFormat="1" applyBorder="1"/>
    <xf numFmtId="0" fontId="19" fillId="115" borderId="28" xfId="0" applyFont="1" applyFill="1" applyBorder="1"/>
    <xf numFmtId="17" fontId="0" fillId="21" borderId="28" xfId="0" applyNumberFormat="1" applyFill="1" applyBorder="1"/>
    <xf numFmtId="0" fontId="197" fillId="0" borderId="0" xfId="0" applyFont="1"/>
    <xf numFmtId="0" fontId="198" fillId="0" borderId="0" xfId="0" applyFont="1"/>
    <xf numFmtId="43" fontId="0" fillId="116" borderId="0" xfId="1" applyFont="1" applyFill="1"/>
    <xf numFmtId="43" fontId="0" fillId="117" borderId="0" xfId="1" applyFont="1" applyFill="1"/>
    <xf numFmtId="43" fontId="199" fillId="118" borderId="0" xfId="0" applyNumberFormat="1" applyFont="1" applyFill="1"/>
    <xf numFmtId="169" fontId="18" fillId="8" borderId="0" xfId="0" applyNumberFormat="1" applyFont="1" applyFill="1" applyAlignment="1">
      <alignment horizontal="center" vertical="center"/>
    </xf>
    <xf numFmtId="0" fontId="5" fillId="27" borderId="28" xfId="0" applyFont="1" applyFill="1" applyBorder="1"/>
    <xf numFmtId="17" fontId="5" fillId="27" borderId="28" xfId="0" applyNumberFormat="1" applyFont="1" applyFill="1" applyBorder="1"/>
    <xf numFmtId="0" fontId="5" fillId="0" borderId="59" xfId="0" applyFont="1" applyBorder="1"/>
    <xf numFmtId="0" fontId="0" fillId="0" borderId="59" xfId="0" applyBorder="1"/>
    <xf numFmtId="43" fontId="0" fillId="0" borderId="59" xfId="1" applyFont="1" applyBorder="1"/>
    <xf numFmtId="0" fontId="5" fillId="27" borderId="59" xfId="0" applyFont="1" applyFill="1" applyBorder="1"/>
    <xf numFmtId="17" fontId="5" fillId="27" borderId="59" xfId="0" applyNumberFormat="1" applyFont="1" applyFill="1" applyBorder="1"/>
    <xf numFmtId="0" fontId="25" fillId="0" borderId="0" xfId="0" applyFont="1"/>
    <xf numFmtId="0" fontId="200" fillId="0" borderId="28" xfId="0" applyFont="1" applyBorder="1" applyAlignment="1">
      <alignment horizontal="left"/>
    </xf>
    <xf numFmtId="175" fontId="200" fillId="12" borderId="28" xfId="1" applyNumberFormat="1" applyFont="1" applyFill="1" applyBorder="1"/>
    <xf numFmtId="175" fontId="201" fillId="0" borderId="28" xfId="1" applyNumberFormat="1" applyFont="1" applyBorder="1"/>
    <xf numFmtId="195" fontId="201" fillId="0" borderId="28" xfId="171" applyNumberFormat="1" applyFont="1" applyBorder="1"/>
    <xf numFmtId="0" fontId="202" fillId="107" borderId="0" xfId="4111" applyFont="1" applyFill="1"/>
    <xf numFmtId="0" fontId="7" fillId="0" borderId="0" xfId="0" applyFont="1"/>
    <xf numFmtId="0" fontId="203" fillId="107" borderId="0" xfId="4111" applyFont="1" applyFill="1"/>
    <xf numFmtId="43" fontId="199" fillId="0" borderId="0" xfId="0" applyNumberFormat="1" applyFont="1" applyAlignment="1">
      <alignment horizontal="left" vertical="center"/>
    </xf>
    <xf numFmtId="43" fontId="0" fillId="0" borderId="0" xfId="0" applyNumberFormat="1" applyAlignment="1">
      <alignment horizontal="left" vertical="center"/>
    </xf>
    <xf numFmtId="43" fontId="0" fillId="0" borderId="0" xfId="1" applyFont="1" applyFill="1" applyAlignment="1">
      <alignment horizontal="left" vertical="center"/>
    </xf>
    <xf numFmtId="43" fontId="0" fillId="116" borderId="0" xfId="1" applyFont="1" applyFill="1" applyAlignment="1">
      <alignment horizontal="left"/>
    </xf>
    <xf numFmtId="43" fontId="0" fillId="0" borderId="0" xfId="1" applyFont="1" applyFill="1" applyAlignment="1">
      <alignment horizontal="left"/>
    </xf>
    <xf numFmtId="169" fontId="5" fillId="0" borderId="0" xfId="0" applyNumberFormat="1" applyFont="1" applyAlignment="1">
      <alignment horizontal="left" vertical="center"/>
    </xf>
    <xf numFmtId="43" fontId="0" fillId="117" borderId="0" xfId="1" applyFont="1" applyFill="1" applyAlignment="1">
      <alignment horizontal="left"/>
    </xf>
    <xf numFmtId="43" fontId="5" fillId="0" borderId="0" xfId="1" applyFont="1" applyFill="1" applyBorder="1" applyAlignment="1">
      <alignment horizontal="left" vertical="center"/>
    </xf>
    <xf numFmtId="43" fontId="18" fillId="0" borderId="0" xfId="1" applyFont="1" applyFill="1" applyBorder="1" applyAlignment="1">
      <alignment horizontal="left" vertical="center"/>
    </xf>
    <xf numFmtId="9" fontId="15" fillId="0" borderId="0" xfId="2" applyFont="1" applyFill="1" applyBorder="1" applyAlignment="1">
      <alignment horizontal="left" vertical="center"/>
    </xf>
    <xf numFmtId="43" fontId="5" fillId="0" borderId="0" xfId="0" applyNumberFormat="1" applyFont="1" applyAlignment="1">
      <alignment horizontal="left" vertical="center"/>
    </xf>
    <xf numFmtId="0" fontId="0" fillId="0" borderId="0" xfId="0" applyAlignment="1">
      <alignment horizontal="left"/>
    </xf>
    <xf numFmtId="173" fontId="0" fillId="0" borderId="0" xfId="1" applyNumberFormat="1" applyFont="1" applyFill="1" applyAlignment="1">
      <alignment horizontal="left" vertical="center"/>
    </xf>
    <xf numFmtId="0" fontId="31" fillId="8" borderId="0" xfId="0" applyFont="1" applyFill="1"/>
    <xf numFmtId="173" fontId="3" fillId="0" borderId="0" xfId="1" applyNumberFormat="1" applyFont="1" applyBorder="1" applyAlignment="1">
      <alignment vertical="center"/>
    </xf>
    <xf numFmtId="173" fontId="0" fillId="0" borderId="0" xfId="0" applyNumberFormat="1"/>
    <xf numFmtId="43" fontId="3" fillId="0" borderId="0" xfId="0" applyNumberFormat="1" applyFont="1"/>
    <xf numFmtId="43" fontId="1" fillId="0" borderId="0" xfId="1" applyFont="1" applyBorder="1" applyAlignment="1">
      <alignment vertical="center"/>
    </xf>
    <xf numFmtId="4" fontId="1" fillId="8" borderId="0" xfId="0" applyNumberFormat="1" applyFont="1" applyFill="1"/>
    <xf numFmtId="0" fontId="1" fillId="8" borderId="0" xfId="0" applyFont="1" applyFill="1" applyAlignment="1">
      <alignment horizontal="center"/>
    </xf>
    <xf numFmtId="173" fontId="1" fillId="8" borderId="0" xfId="0" applyNumberFormat="1" applyFont="1" applyFill="1"/>
    <xf numFmtId="169" fontId="1" fillId="8" borderId="0" xfId="0" applyNumberFormat="1" applyFont="1" applyFill="1"/>
    <xf numFmtId="172" fontId="1" fillId="8" borderId="0" xfId="0" applyNumberFormat="1" applyFont="1" applyFill="1"/>
    <xf numFmtId="43" fontId="1" fillId="8" borderId="0" xfId="1" applyFont="1" applyFill="1" applyBorder="1" applyAlignment="1">
      <alignment horizontal="center" vertical="center"/>
    </xf>
    <xf numFmtId="173" fontId="1" fillId="8" borderId="0" xfId="1" applyNumberFormat="1" applyFont="1" applyFill="1" applyBorder="1" applyAlignment="1">
      <alignment horizontal="center" vertical="center"/>
    </xf>
    <xf numFmtId="43" fontId="1" fillId="8" borderId="0" xfId="1" applyFont="1" applyFill="1" applyBorder="1"/>
    <xf numFmtId="173" fontId="1" fillId="4" borderId="0" xfId="1" applyNumberFormat="1" applyFont="1" applyFill="1" applyBorder="1" applyAlignment="1">
      <alignment horizontal="center" vertical="center"/>
    </xf>
    <xf numFmtId="43" fontId="1" fillId="4" borderId="0" xfId="1" applyFont="1" applyFill="1" applyBorder="1" applyAlignment="1">
      <alignment horizontal="center" vertical="center"/>
    </xf>
    <xf numFmtId="173" fontId="1" fillId="12" borderId="0" xfId="1" applyNumberFormat="1" applyFont="1" applyFill="1" applyBorder="1" applyAlignment="1">
      <alignment horizontal="center" vertical="center"/>
    </xf>
    <xf numFmtId="174" fontId="1" fillId="4" borderId="0" xfId="1" applyNumberFormat="1" applyFont="1" applyFill="1" applyBorder="1" applyAlignment="1">
      <alignment horizontal="center" vertical="center"/>
    </xf>
    <xf numFmtId="174" fontId="1" fillId="24" borderId="0" xfId="1" applyNumberFormat="1" applyFont="1" applyFill="1" applyBorder="1" applyAlignment="1">
      <alignment horizontal="center" vertical="center"/>
    </xf>
    <xf numFmtId="43" fontId="1" fillId="4" borderId="0" xfId="1" applyFont="1" applyFill="1" applyBorder="1"/>
    <xf numFmtId="173" fontId="1" fillId="4" borderId="0" xfId="1" applyNumberFormat="1" applyFont="1" applyFill="1" applyBorder="1"/>
    <xf numFmtId="174" fontId="1" fillId="4" borderId="0" xfId="1" applyNumberFormat="1" applyFont="1" applyFill="1" applyBorder="1"/>
    <xf numFmtId="0" fontId="1" fillId="26" borderId="0" xfId="0" applyFont="1" applyFill="1" applyAlignment="1">
      <alignment horizontal="center"/>
    </xf>
    <xf numFmtId="43" fontId="1" fillId="18" borderId="0" xfId="0" applyNumberFormat="1" applyFont="1" applyFill="1"/>
    <xf numFmtId="43" fontId="1" fillId="0" borderId="0" xfId="0" applyNumberFormat="1" applyFont="1"/>
    <xf numFmtId="0" fontId="1" fillId="18" borderId="0" xfId="0" applyFont="1" applyFill="1" applyAlignment="1">
      <alignment horizontal="center"/>
    </xf>
    <xf numFmtId="0" fontId="1" fillId="8" borderId="0" xfId="0" applyFont="1" applyFill="1" applyAlignment="1">
      <alignment horizontal="center" vertical="center"/>
    </xf>
    <xf numFmtId="0" fontId="1" fillId="8" borderId="9" xfId="0" applyFont="1" applyFill="1" applyBorder="1" applyAlignment="1">
      <alignment horizontal="center"/>
    </xf>
    <xf numFmtId="0" fontId="1" fillId="8" borderId="7" xfId="0" applyFont="1" applyFill="1" applyBorder="1" applyAlignment="1">
      <alignment horizontal="center"/>
    </xf>
    <xf numFmtId="0" fontId="1" fillId="5" borderId="10" xfId="0" applyFont="1" applyFill="1" applyBorder="1" applyAlignment="1">
      <alignment horizontal="center" vertical="center"/>
    </xf>
    <xf numFmtId="43" fontId="1" fillId="8" borderId="0" xfId="0" applyNumberFormat="1" applyFont="1" applyFill="1"/>
    <xf numFmtId="43" fontId="1" fillId="5" borderId="7" xfId="0" applyNumberFormat="1" applyFont="1" applyFill="1" applyBorder="1"/>
    <xf numFmtId="0" fontId="1" fillId="8" borderId="31" xfId="0" applyFont="1" applyFill="1" applyBorder="1" applyAlignment="1">
      <alignment horizontal="center"/>
    </xf>
    <xf numFmtId="0" fontId="1" fillId="5" borderId="27" xfId="0" applyFont="1" applyFill="1" applyBorder="1" applyAlignment="1">
      <alignment horizontal="center" vertical="center"/>
    </xf>
    <xf numFmtId="0" fontId="1" fillId="2" borderId="10" xfId="0" applyFont="1" applyFill="1" applyBorder="1" applyAlignment="1">
      <alignment horizontal="center" vertical="center"/>
    </xf>
    <xf numFmtId="0" fontId="1" fillId="4" borderId="10" xfId="0" applyFont="1" applyFill="1" applyBorder="1" applyAlignment="1">
      <alignment horizontal="center" vertical="center"/>
    </xf>
    <xf numFmtId="0" fontId="1" fillId="8" borderId="24" xfId="0" applyFont="1" applyFill="1" applyBorder="1" applyAlignment="1">
      <alignment horizontal="center"/>
    </xf>
    <xf numFmtId="0" fontId="1" fillId="6" borderId="20" xfId="0" applyFont="1" applyFill="1" applyBorder="1" applyAlignment="1">
      <alignment horizontal="center" vertical="center"/>
    </xf>
    <xf numFmtId="0" fontId="1" fillId="8" borderId="23" xfId="0" applyFont="1" applyFill="1" applyBorder="1" applyAlignment="1">
      <alignment horizontal="center"/>
    </xf>
    <xf numFmtId="0" fontId="1" fillId="8" borderId="16" xfId="0" applyFont="1" applyFill="1" applyBorder="1" applyAlignment="1">
      <alignment horizontal="center" vertical="center"/>
    </xf>
    <xf numFmtId="0" fontId="1" fillId="2" borderId="19" xfId="0" applyFont="1" applyFill="1" applyBorder="1" applyAlignment="1">
      <alignment horizontal="center" vertical="center"/>
    </xf>
    <xf numFmtId="0" fontId="1" fillId="8" borderId="18" xfId="0" applyFont="1" applyFill="1" applyBorder="1" applyAlignment="1">
      <alignment horizontal="center" vertical="center"/>
    </xf>
    <xf numFmtId="0" fontId="1" fillId="2" borderId="20" xfId="0" applyFont="1" applyFill="1" applyBorder="1" applyAlignment="1">
      <alignment horizontal="center" vertical="center"/>
    </xf>
    <xf numFmtId="0" fontId="1" fillId="6" borderId="10" xfId="0" applyFont="1" applyFill="1" applyBorder="1" applyAlignment="1">
      <alignment horizontal="center" vertical="center"/>
    </xf>
    <xf numFmtId="0" fontId="1" fillId="6" borderId="27" xfId="0" applyFont="1" applyFill="1" applyBorder="1" applyAlignment="1">
      <alignment horizontal="center" vertical="center"/>
    </xf>
    <xf numFmtId="0" fontId="1" fillId="6" borderId="19" xfId="0" applyFont="1" applyFill="1" applyBorder="1" applyAlignment="1">
      <alignment horizontal="center" vertical="center"/>
    </xf>
    <xf numFmtId="0" fontId="1" fillId="8" borderId="10" xfId="0" applyFont="1" applyFill="1" applyBorder="1" applyAlignment="1">
      <alignment horizontal="center" vertical="center"/>
    </xf>
    <xf numFmtId="0" fontId="1" fillId="8" borderId="25" xfId="0" applyFont="1" applyFill="1" applyBorder="1" applyAlignment="1">
      <alignment horizontal="center"/>
    </xf>
    <xf numFmtId="0" fontId="1" fillId="3" borderId="22" xfId="0" applyFont="1" applyFill="1" applyBorder="1" applyAlignment="1">
      <alignment horizontal="center" vertical="center"/>
    </xf>
    <xf numFmtId="0" fontId="1" fillId="8" borderId="7" xfId="0" applyFont="1" applyFill="1" applyBorder="1" applyAlignment="1">
      <alignment horizontal="center" vertical="center"/>
    </xf>
    <xf numFmtId="0" fontId="1" fillId="8" borderId="8" xfId="0" applyFont="1" applyFill="1" applyBorder="1" applyAlignment="1">
      <alignment horizontal="center" vertical="center"/>
    </xf>
    <xf numFmtId="0" fontId="1" fillId="8" borderId="9" xfId="0" applyFont="1" applyFill="1" applyBorder="1" applyAlignment="1">
      <alignment horizontal="center" vertical="center"/>
    </xf>
    <xf numFmtId="0" fontId="1" fillId="8" borderId="11" xfId="0" applyFont="1" applyFill="1" applyBorder="1" applyAlignment="1">
      <alignment horizontal="center" vertical="center"/>
    </xf>
    <xf numFmtId="0" fontId="1" fillId="8" borderId="12" xfId="0" applyFont="1" applyFill="1" applyBorder="1" applyAlignment="1">
      <alignment horizontal="center" vertical="center"/>
    </xf>
    <xf numFmtId="43" fontId="1" fillId="0" borderId="0" xfId="0" applyNumberFormat="1" applyFont="1" applyAlignment="1">
      <alignment horizontal="center" vertical="center"/>
    </xf>
    <xf numFmtId="197" fontId="169" fillId="2" borderId="0" xfId="1" applyNumberFormat="1" applyFont="1" applyFill="1" applyBorder="1"/>
    <xf numFmtId="197" fontId="24" fillId="0" borderId="0" xfId="1" applyNumberFormat="1" applyFont="1" applyBorder="1"/>
    <xf numFmtId="197" fontId="23" fillId="2" borderId="0" xfId="1" applyNumberFormat="1" applyFont="1" applyFill="1" applyBorder="1"/>
    <xf numFmtId="197" fontId="0" fillId="0" borderId="0" xfId="1" applyNumberFormat="1" applyFont="1" applyBorder="1"/>
    <xf numFmtId="196" fontId="159" fillId="0" borderId="0" xfId="1" applyNumberFormat="1" applyFont="1" applyBorder="1" applyAlignment="1">
      <alignment vertical="center"/>
    </xf>
    <xf numFmtId="196" fontId="7" fillId="0" borderId="0" xfId="1" applyNumberFormat="1" applyFont="1" applyBorder="1" applyAlignment="1">
      <alignment vertical="center"/>
    </xf>
    <xf numFmtId="196" fontId="1" fillId="0" borderId="0" xfId="1" applyNumberFormat="1" applyFont="1" applyBorder="1" applyAlignment="1">
      <alignment vertical="center"/>
    </xf>
    <xf numFmtId="196" fontId="8" fillId="0" borderId="0" xfId="1" applyNumberFormat="1" applyFont="1" applyBorder="1" applyAlignment="1">
      <alignment vertical="center"/>
    </xf>
    <xf numFmtId="197" fontId="159" fillId="0" borderId="0" xfId="1" applyNumberFormat="1" applyFont="1" applyBorder="1" applyAlignment="1">
      <alignment vertical="center"/>
    </xf>
    <xf numFmtId="197" fontId="7" fillId="0" borderId="0" xfId="1" applyNumberFormat="1" applyFont="1" applyBorder="1" applyAlignment="1">
      <alignment vertical="center"/>
    </xf>
    <xf numFmtId="197" fontId="1" fillId="0" borderId="0" xfId="1" applyNumberFormat="1" applyFont="1" applyBorder="1" applyAlignment="1">
      <alignment vertical="center"/>
    </xf>
    <xf numFmtId="197" fontId="8" fillId="0" borderId="0" xfId="1" applyNumberFormat="1" applyFont="1" applyBorder="1" applyAlignment="1">
      <alignment vertical="center"/>
    </xf>
    <xf numFmtId="43" fontId="7" fillId="0" borderId="0" xfId="1" applyFont="1" applyBorder="1" applyAlignment="1">
      <alignment vertical="center"/>
    </xf>
    <xf numFmtId="173" fontId="23" fillId="0" borderId="0" xfId="1" applyNumberFormat="1" applyFont="1"/>
    <xf numFmtId="173" fontId="23" fillId="0" borderId="0" xfId="1" applyNumberFormat="1" applyFont="1" applyBorder="1" applyAlignment="1">
      <alignment vertical="center"/>
    </xf>
    <xf numFmtId="0" fontId="0" fillId="0" borderId="0" xfId="0" applyAlignment="1">
      <alignment wrapText="1"/>
    </xf>
    <xf numFmtId="43" fontId="0" fillId="119" borderId="0" xfId="1" applyFont="1" applyFill="1"/>
    <xf numFmtId="43" fontId="0" fillId="120" borderId="0" xfId="1" applyFont="1" applyFill="1"/>
    <xf numFmtId="43" fontId="0" fillId="121" borderId="0" xfId="1" applyFont="1" applyFill="1"/>
    <xf numFmtId="173" fontId="7" fillId="122" borderId="0" xfId="1" applyNumberFormat="1" applyFont="1" applyFill="1" applyBorder="1" applyAlignment="1">
      <alignment vertical="center"/>
    </xf>
    <xf numFmtId="0" fontId="3" fillId="8" borderId="0" xfId="0" applyFont="1" applyFill="1" applyAlignment="1">
      <alignment horizontal="left"/>
    </xf>
    <xf numFmtId="173" fontId="0" fillId="8" borderId="0" xfId="1" applyNumberFormat="1" applyFont="1" applyFill="1" applyAlignment="1">
      <alignment horizontal="left"/>
    </xf>
    <xf numFmtId="170" fontId="0" fillId="8" borderId="0" xfId="1" applyNumberFormat="1" applyFont="1" applyFill="1" applyBorder="1" applyAlignment="1">
      <alignment horizontal="left"/>
    </xf>
    <xf numFmtId="170" fontId="24" fillId="8" borderId="0" xfId="1" applyNumberFormat="1" applyFont="1" applyFill="1" applyBorder="1" applyAlignment="1">
      <alignment horizontal="left"/>
    </xf>
    <xf numFmtId="0" fontId="197" fillId="0" borderId="0" xfId="0" applyFont="1" applyAlignment="1">
      <alignment horizontal="left"/>
    </xf>
    <xf numFmtId="172" fontId="19" fillId="8" borderId="0" xfId="1" applyNumberFormat="1" applyFont="1" applyFill="1" applyBorder="1" applyAlignment="1">
      <alignment horizontal="left"/>
    </xf>
    <xf numFmtId="172" fontId="18" fillId="8" borderId="0" xfId="1" applyNumberFormat="1" applyFont="1" applyFill="1" applyBorder="1" applyAlignment="1">
      <alignment horizontal="left"/>
    </xf>
    <xf numFmtId="43" fontId="0" fillId="8" borderId="0" xfId="0" applyNumberFormat="1" applyFill="1" applyAlignment="1">
      <alignment horizontal="left"/>
    </xf>
    <xf numFmtId="0" fontId="0" fillId="8" borderId="0" xfId="0" applyFill="1" applyAlignment="1">
      <alignment horizontal="left"/>
    </xf>
    <xf numFmtId="43" fontId="1" fillId="8" borderId="0" xfId="1" applyFont="1" applyFill="1" applyBorder="1" applyAlignment="1">
      <alignment horizontal="left"/>
    </xf>
    <xf numFmtId="173" fontId="0" fillId="8" borderId="0" xfId="0" applyNumberFormat="1" applyFill="1" applyAlignment="1">
      <alignment horizontal="left"/>
    </xf>
    <xf numFmtId="43" fontId="8" fillId="8" borderId="0" xfId="0" applyNumberFormat="1" applyFont="1" applyFill="1" applyAlignment="1">
      <alignment horizontal="left"/>
    </xf>
    <xf numFmtId="43" fontId="9" fillId="8" borderId="0" xfId="0" applyNumberFormat="1" applyFont="1" applyFill="1" applyAlignment="1">
      <alignment horizontal="left"/>
    </xf>
    <xf numFmtId="43" fontId="1" fillId="8" borderId="0" xfId="0" applyNumberFormat="1" applyFont="1" applyFill="1" applyAlignment="1">
      <alignment horizontal="left"/>
    </xf>
    <xf numFmtId="43" fontId="5" fillId="8" borderId="0" xfId="0" applyNumberFormat="1" applyFont="1" applyFill="1" applyAlignment="1">
      <alignment horizontal="left"/>
    </xf>
    <xf numFmtId="43" fontId="24" fillId="8" borderId="0" xfId="1" applyFont="1" applyFill="1" applyBorder="1" applyAlignment="1">
      <alignment horizontal="left"/>
    </xf>
    <xf numFmtId="43" fontId="7" fillId="8" borderId="0" xfId="0" applyNumberFormat="1" applyFont="1" applyFill="1" applyAlignment="1">
      <alignment horizontal="left"/>
    </xf>
    <xf numFmtId="43" fontId="7" fillId="8" borderId="0" xfId="1" applyFont="1" applyFill="1" applyBorder="1" applyAlignment="1">
      <alignment horizontal="left"/>
    </xf>
    <xf numFmtId="43" fontId="23" fillId="8" borderId="0" xfId="1" applyFont="1" applyFill="1" applyBorder="1" applyAlignment="1">
      <alignment horizontal="left"/>
    </xf>
    <xf numFmtId="43" fontId="0" fillId="8" borderId="0" xfId="1" applyFont="1" applyFill="1" applyBorder="1" applyAlignment="1">
      <alignment horizontal="left"/>
    </xf>
    <xf numFmtId="43" fontId="3" fillId="8" borderId="0" xfId="1" applyFont="1" applyFill="1" applyBorder="1" applyAlignment="1">
      <alignment horizontal="left"/>
    </xf>
    <xf numFmtId="43" fontId="5" fillId="8" borderId="0" xfId="1" applyFont="1" applyFill="1" applyBorder="1" applyAlignment="1">
      <alignment horizontal="left"/>
    </xf>
    <xf numFmtId="43" fontId="159" fillId="8" borderId="0" xfId="0" applyNumberFormat="1" applyFont="1" applyFill="1" applyAlignment="1">
      <alignment horizontal="left"/>
    </xf>
    <xf numFmtId="173" fontId="5" fillId="8" borderId="0" xfId="1" applyNumberFormat="1" applyFont="1" applyFill="1" applyBorder="1" applyAlignment="1">
      <alignment horizontal="left"/>
    </xf>
    <xf numFmtId="169" fontId="17" fillId="8" borderId="0" xfId="0" applyNumberFormat="1" applyFont="1" applyFill="1" applyAlignment="1">
      <alignment horizontal="left"/>
    </xf>
    <xf numFmtId="172" fontId="206" fillId="8" borderId="0" xfId="1" applyNumberFormat="1" applyFont="1" applyFill="1" applyBorder="1" applyAlignment="1">
      <alignment horizontal="left"/>
    </xf>
    <xf numFmtId="172" fontId="208" fillId="8" borderId="0" xfId="1" applyNumberFormat="1" applyFont="1" applyFill="1" applyBorder="1" applyAlignment="1">
      <alignment horizontal="left"/>
    </xf>
    <xf numFmtId="0" fontId="7" fillId="12" borderId="0" xfId="0" applyFont="1" applyFill="1"/>
    <xf numFmtId="0" fontId="1" fillId="25" borderId="0" xfId="0" applyFont="1" applyFill="1" applyAlignment="1">
      <alignment horizontal="right"/>
    </xf>
    <xf numFmtId="173" fontId="0" fillId="0" borderId="0" xfId="1" applyNumberFormat="1" applyFont="1" applyFill="1" applyAlignment="1">
      <alignment horizontal="center"/>
    </xf>
    <xf numFmtId="169" fontId="209" fillId="23" borderId="15" xfId="0" applyNumberFormat="1" applyFont="1" applyFill="1" applyBorder="1" applyAlignment="1">
      <alignment horizontal="center" vertical="center"/>
    </xf>
    <xf numFmtId="169" fontId="17" fillId="117" borderId="15" xfId="0" applyNumberFormat="1" applyFont="1" applyFill="1" applyBorder="1" applyAlignment="1">
      <alignment horizontal="center" vertical="center"/>
    </xf>
    <xf numFmtId="169" fontId="17" fillId="0" borderId="0" xfId="0" applyNumberFormat="1" applyFont="1" applyAlignment="1">
      <alignment horizontal="center" vertical="center"/>
    </xf>
    <xf numFmtId="170" fontId="0" fillId="0" borderId="0" xfId="1" applyNumberFormat="1" applyFont="1" applyFill="1" applyBorder="1"/>
    <xf numFmtId="9" fontId="0" fillId="0" borderId="0" xfId="0" applyNumberFormat="1"/>
    <xf numFmtId="9" fontId="5" fillId="12" borderId="0" xfId="2" applyFont="1" applyFill="1" applyBorder="1"/>
    <xf numFmtId="164" fontId="18" fillId="8" borderId="0" xfId="1" applyNumberFormat="1" applyFont="1" applyFill="1" applyBorder="1"/>
    <xf numFmtId="172" fontId="4" fillId="8" borderId="0" xfId="1" applyNumberFormat="1" applyFont="1" applyFill="1" applyBorder="1"/>
    <xf numFmtId="43" fontId="0" fillId="8" borderId="0" xfId="0" applyNumberFormat="1" applyFill="1" applyAlignment="1">
      <alignment horizontal="right"/>
    </xf>
    <xf numFmtId="198" fontId="18" fillId="8" borderId="0" xfId="1" applyNumberFormat="1" applyFont="1" applyFill="1" applyBorder="1"/>
    <xf numFmtId="43" fontId="210" fillId="117" borderId="0" xfId="1" applyFont="1" applyFill="1" applyBorder="1" applyAlignment="1">
      <alignment horizontal="center" vertical="center"/>
    </xf>
    <xf numFmtId="173" fontId="210" fillId="117" borderId="0" xfId="1" applyNumberFormat="1" applyFont="1" applyFill="1" applyBorder="1" applyAlignment="1">
      <alignment horizontal="center" vertical="center"/>
    </xf>
    <xf numFmtId="173" fontId="0" fillId="8" borderId="0" xfId="1" applyNumberFormat="1" applyFont="1" applyFill="1"/>
    <xf numFmtId="43" fontId="8" fillId="24" borderId="0" xfId="1" applyFont="1" applyFill="1" applyBorder="1" applyAlignment="1">
      <alignment horizontal="center" vertical="center"/>
    </xf>
    <xf numFmtId="9" fontId="0" fillId="8" borderId="0" xfId="0" applyNumberFormat="1" applyFill="1"/>
    <xf numFmtId="9" fontId="0" fillId="8" borderId="0" xfId="2" applyFont="1" applyFill="1"/>
    <xf numFmtId="43" fontId="210" fillId="117" borderId="0" xfId="1" applyFont="1" applyFill="1" applyBorder="1"/>
    <xf numFmtId="164" fontId="0" fillId="8" borderId="0" xfId="0" applyNumberFormat="1" applyFill="1"/>
    <xf numFmtId="43" fontId="11" fillId="8" borderId="0" xfId="0" applyNumberFormat="1" applyFont="1" applyFill="1"/>
    <xf numFmtId="9" fontId="11" fillId="8" borderId="0" xfId="2" applyFont="1" applyFill="1"/>
    <xf numFmtId="164" fontId="11" fillId="0" borderId="0" xfId="0" applyNumberFormat="1" applyFont="1"/>
    <xf numFmtId="9" fontId="11" fillId="0" borderId="0" xfId="2" applyFont="1"/>
    <xf numFmtId="164" fontId="0" fillId="0" borderId="0" xfId="0" applyNumberFormat="1"/>
    <xf numFmtId="43" fontId="8" fillId="0" borderId="0" xfId="0" applyNumberFormat="1" applyFont="1"/>
    <xf numFmtId="43" fontId="9" fillId="0" borderId="0" xfId="0" applyNumberFormat="1" applyFont="1"/>
    <xf numFmtId="0" fontId="1" fillId="0" borderId="0" xfId="0" applyFont="1"/>
    <xf numFmtId="43" fontId="5" fillId="8" borderId="0" xfId="0" applyNumberFormat="1" applyFont="1" applyFill="1" applyAlignment="1">
      <alignment horizontal="center"/>
    </xf>
    <xf numFmtId="173" fontId="5" fillId="8" borderId="0" xfId="0" applyNumberFormat="1" applyFont="1" applyFill="1"/>
    <xf numFmtId="196" fontId="5" fillId="8" borderId="0" xfId="0" applyNumberFormat="1" applyFont="1" applyFill="1"/>
    <xf numFmtId="43" fontId="24" fillId="123" borderId="0" xfId="1" applyFont="1" applyFill="1" applyBorder="1"/>
    <xf numFmtId="43" fontId="24" fillId="123" borderId="14" xfId="1" applyFont="1" applyFill="1" applyBorder="1"/>
    <xf numFmtId="43" fontId="24" fillId="123" borderId="1" xfId="1" applyFont="1" applyFill="1" applyBorder="1"/>
    <xf numFmtId="43" fontId="24" fillId="6" borderId="0" xfId="1" applyFont="1" applyFill="1" applyBorder="1"/>
    <xf numFmtId="43" fontId="24" fillId="124" borderId="0" xfId="1" applyFont="1" applyFill="1" applyBorder="1"/>
    <xf numFmtId="0" fontId="211" fillId="8" borderId="0" xfId="0" applyFont="1" applyFill="1" applyAlignment="1">
      <alignment horizontal="center"/>
    </xf>
    <xf numFmtId="0" fontId="211" fillId="8" borderId="0" xfId="0" applyFont="1" applyFill="1" applyAlignment="1">
      <alignment horizontal="center" vertical="center"/>
    </xf>
    <xf numFmtId="43" fontId="211" fillId="8" borderId="0" xfId="1" applyFont="1" applyFill="1" applyBorder="1"/>
    <xf numFmtId="43" fontId="211" fillId="0" borderId="0" xfId="1" applyFont="1" applyFill="1" applyBorder="1"/>
    <xf numFmtId="43" fontId="212" fillId="24" borderId="0" xfId="1" applyFont="1" applyFill="1" applyBorder="1"/>
    <xf numFmtId="43" fontId="212" fillId="8" borderId="0" xfId="1" applyFont="1" applyFill="1" applyBorder="1"/>
    <xf numFmtId="43" fontId="212" fillId="0" borderId="0" xfId="1" applyFont="1" applyFill="1" applyBorder="1"/>
    <xf numFmtId="197" fontId="24" fillId="8" borderId="0" xfId="1" applyNumberFormat="1" applyFont="1" applyFill="1" applyBorder="1"/>
    <xf numFmtId="196" fontId="24" fillId="8" borderId="0" xfId="1" applyNumberFormat="1" applyFont="1" applyFill="1" applyBorder="1"/>
    <xf numFmtId="169" fontId="17" fillId="7" borderId="1" xfId="0" applyNumberFormat="1" applyFont="1" applyFill="1" applyBorder="1" applyAlignment="1">
      <alignment horizontal="center" vertical="center"/>
    </xf>
    <xf numFmtId="43" fontId="8" fillId="5" borderId="6" xfId="1" applyFont="1" applyFill="1" applyBorder="1"/>
    <xf numFmtId="43" fontId="8" fillId="5" borderId="7" xfId="1" applyFont="1" applyFill="1" applyBorder="1"/>
    <xf numFmtId="43" fontId="7" fillId="5" borderId="7" xfId="1" applyFont="1" applyFill="1" applyBorder="1"/>
    <xf numFmtId="43" fontId="7" fillId="22" borderId="7" xfId="1" applyFont="1" applyFill="1" applyBorder="1"/>
    <xf numFmtId="43" fontId="7" fillId="5" borderId="8" xfId="1" applyFont="1" applyFill="1" applyBorder="1"/>
    <xf numFmtId="43" fontId="7" fillId="0" borderId="0" xfId="1" applyFont="1" applyFill="1" applyBorder="1"/>
    <xf numFmtId="173" fontId="157" fillId="8" borderId="6" xfId="1" applyNumberFormat="1" applyFont="1" applyFill="1" applyBorder="1"/>
    <xf numFmtId="9" fontId="157" fillId="8" borderId="8" xfId="2" applyFont="1" applyFill="1" applyBorder="1"/>
    <xf numFmtId="43" fontId="7" fillId="8" borderId="10" xfId="1" applyFont="1" applyFill="1" applyBorder="1"/>
    <xf numFmtId="173" fontId="157" fillId="8" borderId="9" xfId="1" applyNumberFormat="1" applyFont="1" applyFill="1" applyBorder="1"/>
    <xf numFmtId="0" fontId="157" fillId="8" borderId="10" xfId="0" applyFont="1" applyFill="1" applyBorder="1"/>
    <xf numFmtId="43" fontId="1" fillId="5" borderId="0" xfId="1" applyFont="1" applyFill="1" applyBorder="1"/>
    <xf numFmtId="43" fontId="7" fillId="5" borderId="9" xfId="1" applyFont="1" applyFill="1" applyBorder="1"/>
    <xf numFmtId="43" fontId="7" fillId="5" borderId="0" xfId="1" applyFont="1" applyFill="1" applyBorder="1"/>
    <xf numFmtId="43" fontId="7" fillId="5" borderId="10" xfId="1" applyFont="1" applyFill="1" applyBorder="1"/>
    <xf numFmtId="9" fontId="157" fillId="8" borderId="10" xfId="2" applyFont="1" applyFill="1" applyBorder="1"/>
    <xf numFmtId="43" fontId="3" fillId="5" borderId="9" xfId="1" applyFont="1" applyFill="1" applyBorder="1"/>
    <xf numFmtId="43" fontId="23" fillId="5" borderId="10" xfId="1" applyFont="1" applyFill="1" applyBorder="1"/>
    <xf numFmtId="43" fontId="23" fillId="8" borderId="10" xfId="1" applyFont="1" applyFill="1" applyBorder="1"/>
    <xf numFmtId="43" fontId="8" fillId="5" borderId="9" xfId="1" applyFont="1" applyFill="1" applyBorder="1"/>
    <xf numFmtId="196" fontId="9" fillId="8" borderId="9" xfId="1" applyNumberFormat="1" applyFont="1" applyFill="1" applyBorder="1"/>
    <xf numFmtId="43" fontId="9" fillId="22" borderId="0" xfId="1" applyFont="1" applyFill="1" applyBorder="1"/>
    <xf numFmtId="43" fontId="9" fillId="8" borderId="10" xfId="1" applyFont="1" applyFill="1" applyBorder="1"/>
    <xf numFmtId="43" fontId="24" fillId="114" borderId="0" xfId="1" applyFont="1" applyFill="1" applyBorder="1"/>
    <xf numFmtId="43" fontId="9" fillId="8" borderId="11" xfId="1" applyFont="1" applyFill="1" applyBorder="1"/>
    <xf numFmtId="43" fontId="9" fillId="8" borderId="12" xfId="1" applyFont="1" applyFill="1" applyBorder="1"/>
    <xf numFmtId="43" fontId="9" fillId="8" borderId="13" xfId="1" applyFont="1" applyFill="1" applyBorder="1"/>
    <xf numFmtId="173" fontId="157" fillId="8" borderId="11" xfId="1" applyNumberFormat="1" applyFont="1" applyFill="1" applyBorder="1"/>
    <xf numFmtId="0" fontId="157" fillId="8" borderId="13" xfId="0" applyFont="1" applyFill="1" applyBorder="1"/>
    <xf numFmtId="43" fontId="213" fillId="117" borderId="7" xfId="1" applyFont="1" applyFill="1" applyBorder="1"/>
    <xf numFmtId="43" fontId="213" fillId="117" borderId="26" xfId="1" applyFont="1" applyFill="1" applyBorder="1"/>
    <xf numFmtId="43" fontId="213" fillId="117" borderId="16" xfId="1" applyFont="1" applyFill="1" applyBorder="1"/>
    <xf numFmtId="43" fontId="213" fillId="117" borderId="0" xfId="1" applyFont="1" applyFill="1" applyBorder="1"/>
    <xf numFmtId="2" fontId="11" fillId="8" borderId="0" xfId="0" applyNumberFormat="1" applyFont="1" applyFill="1"/>
    <xf numFmtId="198" fontId="0" fillId="8" borderId="0" xfId="0" applyNumberFormat="1" applyFill="1"/>
    <xf numFmtId="43" fontId="213" fillId="117" borderId="18" xfId="1" applyFont="1" applyFill="1" applyBorder="1"/>
    <xf numFmtId="43" fontId="0" fillId="0" borderId="0" xfId="1" applyFont="1" applyFill="1" applyBorder="1"/>
    <xf numFmtId="198" fontId="0" fillId="12" borderId="0" xfId="0" applyNumberFormat="1" applyFill="1"/>
    <xf numFmtId="198" fontId="0" fillId="111" borderId="0" xfId="0" applyNumberFormat="1" applyFill="1"/>
    <xf numFmtId="43" fontId="3" fillId="125" borderId="18" xfId="1" applyFont="1" applyFill="1" applyBorder="1"/>
    <xf numFmtId="43" fontId="5" fillId="8" borderId="9" xfId="0" applyNumberFormat="1" applyFont="1" applyFill="1" applyBorder="1"/>
    <xf numFmtId="43" fontId="5" fillId="0" borderId="0" xfId="1" applyFont="1" applyFill="1" applyBorder="1"/>
    <xf numFmtId="173" fontId="5" fillId="0" borderId="0" xfId="1" applyNumberFormat="1" applyFont="1" applyFill="1" applyBorder="1"/>
    <xf numFmtId="199" fontId="0" fillId="0" borderId="0" xfId="0" applyNumberFormat="1"/>
    <xf numFmtId="197" fontId="0" fillId="0" borderId="0" xfId="0" applyNumberFormat="1"/>
    <xf numFmtId="3" fontId="0" fillId="0" borderId="0" xfId="0" applyNumberFormat="1"/>
    <xf numFmtId="0" fontId="0" fillId="0" borderId="0" xfId="0" quotePrefix="1" applyAlignment="1">
      <alignment horizontal="center"/>
    </xf>
    <xf numFmtId="173" fontId="8" fillId="23" borderId="0" xfId="1" applyNumberFormat="1" applyFont="1" applyFill="1" applyBorder="1"/>
    <xf numFmtId="173" fontId="4" fillId="8" borderId="14" xfId="1" applyNumberFormat="1" applyFont="1" applyFill="1" applyBorder="1"/>
    <xf numFmtId="173" fontId="4" fillId="8" borderId="15" xfId="1" applyNumberFormat="1" applyFont="1" applyFill="1" applyBorder="1"/>
    <xf numFmtId="173" fontId="4" fillId="8" borderId="1" xfId="1" applyNumberFormat="1" applyFont="1" applyFill="1" applyBorder="1"/>
    <xf numFmtId="0" fontId="18" fillId="27" borderId="0" xfId="0" applyFont="1" applyFill="1" applyAlignment="1">
      <alignment wrapText="1"/>
    </xf>
    <xf numFmtId="173" fontId="18" fillId="5" borderId="0" xfId="1" applyNumberFormat="1" applyFont="1" applyFill="1" applyBorder="1"/>
    <xf numFmtId="172" fontId="1" fillId="12" borderId="0" xfId="0" applyNumberFormat="1" applyFont="1" applyFill="1"/>
    <xf numFmtId="1" fontId="1" fillId="8" borderId="0" xfId="0" applyNumberFormat="1" applyFont="1" applyFill="1"/>
    <xf numFmtId="0" fontId="5" fillId="22" borderId="0" xfId="0" applyFont="1" applyFill="1"/>
    <xf numFmtId="1" fontId="5" fillId="22" borderId="0" xfId="0" applyNumberFormat="1" applyFont="1" applyFill="1"/>
    <xf numFmtId="0" fontId="1" fillId="8" borderId="0" xfId="0" applyFont="1" applyFill="1" applyAlignment="1">
      <alignment horizontal="right"/>
    </xf>
    <xf numFmtId="16" fontId="1" fillId="8" borderId="0" xfId="0" applyNumberFormat="1" applyFont="1" applyFill="1" applyAlignment="1">
      <alignment horizontal="right"/>
    </xf>
    <xf numFmtId="174" fontId="1" fillId="8" borderId="0" xfId="1" applyNumberFormat="1" applyFont="1" applyFill="1" applyBorder="1"/>
    <xf numFmtId="174" fontId="1" fillId="8" borderId="0" xfId="1" applyNumberFormat="1" applyFont="1" applyFill="1" applyBorder="1" applyAlignment="1">
      <alignment horizontal="right"/>
    </xf>
    <xf numFmtId="172" fontId="206" fillId="8" borderId="0" xfId="1" applyNumberFormat="1" applyFont="1" applyFill="1" applyAlignment="1">
      <alignment horizontal="left"/>
    </xf>
    <xf numFmtId="0" fontId="5" fillId="0" borderId="0" xfId="0" quotePrefix="1" applyFont="1"/>
    <xf numFmtId="0" fontId="214" fillId="8" borderId="0" xfId="0" applyFont="1" applyFill="1"/>
    <xf numFmtId="170" fontId="24" fillId="126" borderId="0" xfId="0" applyNumberFormat="1" applyFont="1" applyFill="1" applyAlignment="1">
      <alignment horizontal="left"/>
    </xf>
    <xf numFmtId="0" fontId="5" fillId="21" borderId="3" xfId="0" applyFont="1" applyFill="1" applyBorder="1" applyAlignment="1">
      <alignment horizontal="center" vertical="center"/>
    </xf>
    <xf numFmtId="43" fontId="25" fillId="21" borderId="9" xfId="1" applyFont="1" applyFill="1" applyBorder="1" applyAlignment="1">
      <alignment horizontal="center" vertical="center"/>
    </xf>
    <xf numFmtId="43" fontId="25" fillId="21" borderId="3" xfId="1" applyFont="1" applyFill="1" applyBorder="1" applyAlignment="1">
      <alignment horizontal="center" vertical="center"/>
    </xf>
    <xf numFmtId="43" fontId="25" fillId="21" borderId="10" xfId="1" applyFont="1" applyFill="1" applyBorder="1" applyAlignment="1">
      <alignment horizontal="center" vertical="center"/>
    </xf>
    <xf numFmtId="43" fontId="25" fillId="21" borderId="0" xfId="1" applyFont="1" applyFill="1" applyBorder="1" applyAlignment="1">
      <alignment horizontal="center" vertical="center"/>
    </xf>
    <xf numFmtId="43" fontId="29" fillId="21" borderId="3" xfId="1" applyFont="1" applyFill="1" applyBorder="1" applyAlignment="1">
      <alignment horizontal="center" vertical="center"/>
    </xf>
    <xf numFmtId="43" fontId="4" fillId="21" borderId="3" xfId="1" applyFont="1" applyFill="1" applyBorder="1" applyAlignment="1">
      <alignment horizontal="center" vertical="center"/>
    </xf>
    <xf numFmtId="43" fontId="26" fillId="127" borderId="3" xfId="1" applyFont="1" applyFill="1" applyBorder="1" applyAlignment="1">
      <alignment horizontal="center" vertical="center"/>
    </xf>
    <xf numFmtId="43" fontId="27" fillId="127" borderId="3" xfId="1" applyFont="1" applyFill="1" applyBorder="1" applyAlignment="1">
      <alignment horizontal="center" vertical="center"/>
    </xf>
    <xf numFmtId="43" fontId="27" fillId="127" borderId="10" xfId="1" applyFont="1" applyFill="1" applyBorder="1" applyAlignment="1">
      <alignment horizontal="center" vertical="center"/>
    </xf>
    <xf numFmtId="175" fontId="200" fillId="0" borderId="28" xfId="1" applyNumberFormat="1" applyFont="1" applyFill="1" applyBorder="1"/>
    <xf numFmtId="175" fontId="201" fillId="0" borderId="28" xfId="1" applyNumberFormat="1" applyFont="1" applyFill="1" applyBorder="1"/>
    <xf numFmtId="195" fontId="201" fillId="0" borderId="28" xfId="171" applyNumberFormat="1" applyFont="1" applyFill="1" applyBorder="1"/>
    <xf numFmtId="0" fontId="202" fillId="0" borderId="0" xfId="4111" applyFont="1"/>
    <xf numFmtId="0" fontId="5" fillId="0" borderId="28" xfId="0" applyFont="1" applyBorder="1"/>
    <xf numFmtId="0" fontId="1" fillId="0" borderId="28" xfId="0" applyFont="1" applyBorder="1"/>
    <xf numFmtId="43" fontId="0" fillId="0" borderId="28" xfId="1" applyFont="1" applyFill="1" applyBorder="1"/>
    <xf numFmtId="43" fontId="1" fillId="0" borderId="28" xfId="0" applyNumberFormat="1" applyFont="1" applyBorder="1"/>
    <xf numFmtId="0" fontId="3" fillId="0" borderId="0" xfId="0" applyFont="1" applyAlignment="1">
      <alignment horizontal="left" vertical="center"/>
    </xf>
    <xf numFmtId="0" fontId="0" fillId="0" borderId="29" xfId="0" applyBorder="1"/>
    <xf numFmtId="0" fontId="5" fillId="0" borderId="29" xfId="0" applyFont="1" applyBorder="1"/>
    <xf numFmtId="43" fontId="218" fillId="0" borderId="0" xfId="0" applyNumberFormat="1" applyFont="1" applyAlignment="1">
      <alignment horizontal="left" vertical="center"/>
    </xf>
    <xf numFmtId="0" fontId="8" fillId="12" borderId="0" xfId="0" applyFont="1" applyFill="1" applyAlignment="1">
      <alignment horizontal="center" wrapText="1"/>
    </xf>
    <xf numFmtId="0" fontId="8" fillId="8" borderId="0" xfId="0" applyFont="1" applyFill="1" applyAlignment="1">
      <alignment horizontal="center"/>
    </xf>
    <xf numFmtId="0" fontId="17" fillId="7" borderId="14" xfId="0" applyFont="1" applyFill="1" applyBorder="1" applyAlignment="1">
      <alignment horizontal="center"/>
    </xf>
    <xf numFmtId="0" fontId="17" fillId="7" borderId="15" xfId="0" applyFont="1" applyFill="1" applyBorder="1" applyAlignment="1">
      <alignment horizontal="center"/>
    </xf>
    <xf numFmtId="0" fontId="17" fillId="24" borderId="14" xfId="0" applyFont="1" applyFill="1" applyBorder="1" applyAlignment="1">
      <alignment horizontal="center"/>
    </xf>
    <xf numFmtId="0" fontId="17" fillId="24" borderId="15" xfId="0" applyFont="1" applyFill="1" applyBorder="1" applyAlignment="1">
      <alignment horizontal="center"/>
    </xf>
    <xf numFmtId="0" fontId="5" fillId="8" borderId="11" xfId="0" applyFont="1" applyFill="1" applyBorder="1" applyAlignment="1">
      <alignment horizontal="center"/>
    </xf>
    <xf numFmtId="0" fontId="5" fillId="8" borderId="12" xfId="0" applyFont="1" applyFill="1" applyBorder="1" applyAlignment="1">
      <alignment horizontal="center"/>
    </xf>
    <xf numFmtId="0" fontId="5" fillId="8" borderId="13" xfId="0" applyFont="1" applyFill="1" applyBorder="1" applyAlignment="1">
      <alignment horizontal="center"/>
    </xf>
    <xf numFmtId="0" fontId="17" fillId="7" borderId="7" xfId="0" applyFont="1" applyFill="1" applyBorder="1" applyAlignment="1">
      <alignment horizontal="center"/>
    </xf>
    <xf numFmtId="0" fontId="17" fillId="7" borderId="8" xfId="0" applyFont="1"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0" fillId="8" borderId="0" xfId="0" applyFill="1" applyAlignment="1">
      <alignment horizontal="center"/>
    </xf>
    <xf numFmtId="0" fontId="0" fillId="8" borderId="10" xfId="0" applyFill="1" applyBorder="1" applyAlignment="1">
      <alignment horizontal="center"/>
    </xf>
    <xf numFmtId="0" fontId="17" fillId="7" borderId="6" xfId="0" applyFont="1" applyFill="1" applyBorder="1" applyAlignment="1">
      <alignment horizontal="center"/>
    </xf>
    <xf numFmtId="171" fontId="0" fillId="8" borderId="0" xfId="0" applyNumberFormat="1" applyFill="1" applyAlignment="1">
      <alignment horizontal="center"/>
    </xf>
    <xf numFmtId="171" fontId="0" fillId="8" borderId="10" xfId="0" applyNumberFormat="1" applyFill="1" applyBorder="1" applyAlignment="1">
      <alignment horizontal="center"/>
    </xf>
    <xf numFmtId="171" fontId="0" fillId="8" borderId="12" xfId="0" applyNumberFormat="1" applyFill="1" applyBorder="1" applyAlignment="1">
      <alignment horizontal="center"/>
    </xf>
    <xf numFmtId="171" fontId="0" fillId="8" borderId="13" xfId="0" applyNumberFormat="1" applyFill="1" applyBorder="1" applyAlignment="1">
      <alignment horizontal="center"/>
    </xf>
    <xf numFmtId="0" fontId="0" fillId="8" borderId="13" xfId="0" applyFill="1" applyBorder="1" applyAlignment="1">
      <alignment horizontal="center"/>
    </xf>
    <xf numFmtId="0" fontId="162" fillId="8" borderId="0" xfId="0" applyFont="1" applyFill="1" applyAlignment="1">
      <alignment horizontal="center"/>
    </xf>
    <xf numFmtId="0" fontId="162" fillId="8" borderId="10" xfId="0" applyFont="1" applyFill="1" applyBorder="1" applyAlignment="1">
      <alignment horizontal="center"/>
    </xf>
    <xf numFmtId="0" fontId="0" fillId="8" borderId="12" xfId="0" applyFill="1" applyBorder="1" applyAlignment="1">
      <alignment horizontal="center"/>
    </xf>
    <xf numFmtId="0" fontId="5" fillId="12" borderId="14" xfId="0" applyFont="1" applyFill="1" applyBorder="1" applyAlignment="1">
      <alignment horizontal="center" vertical="center"/>
    </xf>
    <xf numFmtId="0" fontId="5" fillId="12" borderId="1" xfId="0" applyFont="1" applyFill="1" applyBorder="1" applyAlignment="1">
      <alignment horizontal="center" vertical="center"/>
    </xf>
    <xf numFmtId="0" fontId="5" fillId="13" borderId="2" xfId="0" applyFont="1" applyFill="1" applyBorder="1" applyAlignment="1">
      <alignment horizontal="center" vertical="center"/>
    </xf>
    <xf numFmtId="0" fontId="5" fillId="13" borderId="3" xfId="0" applyFont="1" applyFill="1" applyBorder="1" applyAlignment="1">
      <alignment horizontal="center" vertical="center"/>
    </xf>
    <xf numFmtId="0" fontId="5" fillId="21" borderId="3" xfId="0" applyFont="1" applyFill="1" applyBorder="1" applyAlignment="1">
      <alignment horizontal="center" vertical="center"/>
    </xf>
    <xf numFmtId="0" fontId="5" fillId="21" borderId="4" xfId="0" applyFont="1" applyFill="1" applyBorder="1" applyAlignment="1">
      <alignment horizontal="center" vertical="center"/>
    </xf>
  </cellXfs>
  <cellStyles count="4112">
    <cellStyle name="20% - Accent1 10" xfId="2932" xr:uid="{00000000-0005-0000-0000-000000000000}"/>
    <cellStyle name="20% - Accent1 11" xfId="2931" xr:uid="{00000000-0005-0000-0000-000001000000}"/>
    <cellStyle name="20% - Accent1 12" xfId="2930" xr:uid="{00000000-0005-0000-0000-000002000000}"/>
    <cellStyle name="20% - Accent1 13" xfId="2929" xr:uid="{00000000-0005-0000-0000-000003000000}"/>
    <cellStyle name="20% - Accent1 14" xfId="2928" xr:uid="{00000000-0005-0000-0000-000004000000}"/>
    <cellStyle name="20% - Accent1 15" xfId="2927" xr:uid="{00000000-0005-0000-0000-000005000000}"/>
    <cellStyle name="20% - Accent1 16" xfId="8" xr:uid="{00000000-0005-0000-0000-000006000000}"/>
    <cellStyle name="20% - Accent1 2" xfId="9" xr:uid="{00000000-0005-0000-0000-000007000000}"/>
    <cellStyle name="20% - Accent1 2 10" xfId="2925" xr:uid="{00000000-0005-0000-0000-000008000000}"/>
    <cellStyle name="20% - Accent1 2 11" xfId="2924" xr:uid="{00000000-0005-0000-0000-000009000000}"/>
    <cellStyle name="20% - Accent1 2 12" xfId="2926" xr:uid="{00000000-0005-0000-0000-00000A000000}"/>
    <cellStyle name="20% - Accent1 2 2" xfId="441" xr:uid="{00000000-0005-0000-0000-00000B000000}"/>
    <cellStyle name="20% - Accent1 2 2 2" xfId="2923" xr:uid="{00000000-0005-0000-0000-00000C000000}"/>
    <cellStyle name="20% - Accent1 2 3" xfId="2922" xr:uid="{00000000-0005-0000-0000-00000D000000}"/>
    <cellStyle name="20% - Accent1 2 4" xfId="2921" xr:uid="{00000000-0005-0000-0000-00000E000000}"/>
    <cellStyle name="20% - Accent1 2 5" xfId="2920" xr:uid="{00000000-0005-0000-0000-00000F000000}"/>
    <cellStyle name="20% - Accent1 2 6" xfId="2919" xr:uid="{00000000-0005-0000-0000-000010000000}"/>
    <cellStyle name="20% - Accent1 2 7" xfId="2918" xr:uid="{00000000-0005-0000-0000-000011000000}"/>
    <cellStyle name="20% - Accent1 2 8" xfId="2917" xr:uid="{00000000-0005-0000-0000-000012000000}"/>
    <cellStyle name="20% - Accent1 2 9" xfId="2916" xr:uid="{00000000-0005-0000-0000-000013000000}"/>
    <cellStyle name="20% - Accent1 3" xfId="10" xr:uid="{00000000-0005-0000-0000-000014000000}"/>
    <cellStyle name="20% - Accent1 3 10" xfId="2914" xr:uid="{00000000-0005-0000-0000-000015000000}"/>
    <cellStyle name="20% - Accent1 3 11" xfId="2913" xr:uid="{00000000-0005-0000-0000-000016000000}"/>
    <cellStyle name="20% - Accent1 3 12" xfId="2915" xr:uid="{00000000-0005-0000-0000-000017000000}"/>
    <cellStyle name="20% - Accent1 3 2" xfId="2912" xr:uid="{00000000-0005-0000-0000-000018000000}"/>
    <cellStyle name="20% - Accent1 3 3" xfId="2911" xr:uid="{00000000-0005-0000-0000-000019000000}"/>
    <cellStyle name="20% - Accent1 3 4" xfId="2910" xr:uid="{00000000-0005-0000-0000-00001A000000}"/>
    <cellStyle name="20% - Accent1 3 5" xfId="2909" xr:uid="{00000000-0005-0000-0000-00001B000000}"/>
    <cellStyle name="20% - Accent1 3 6" xfId="2908" xr:uid="{00000000-0005-0000-0000-00001C000000}"/>
    <cellStyle name="20% - Accent1 3 7" xfId="2907" xr:uid="{00000000-0005-0000-0000-00001D000000}"/>
    <cellStyle name="20% - Accent1 3 8" xfId="2906" xr:uid="{00000000-0005-0000-0000-00001E000000}"/>
    <cellStyle name="20% - Accent1 3 9" xfId="2905" xr:uid="{00000000-0005-0000-0000-00001F000000}"/>
    <cellStyle name="20% - Accent1 4" xfId="2904" xr:uid="{00000000-0005-0000-0000-000020000000}"/>
    <cellStyle name="20% - Accent1 4 10" xfId="2903" xr:uid="{00000000-0005-0000-0000-000021000000}"/>
    <cellStyle name="20% - Accent1 4 11" xfId="2902" xr:uid="{00000000-0005-0000-0000-000022000000}"/>
    <cellStyle name="20% - Accent1 4 2" xfId="2901" xr:uid="{00000000-0005-0000-0000-000023000000}"/>
    <cellStyle name="20% - Accent1 4 3" xfId="2900" xr:uid="{00000000-0005-0000-0000-000024000000}"/>
    <cellStyle name="20% - Accent1 4 4" xfId="2899" xr:uid="{00000000-0005-0000-0000-000025000000}"/>
    <cellStyle name="20% - Accent1 4 5" xfId="2898" xr:uid="{00000000-0005-0000-0000-000026000000}"/>
    <cellStyle name="20% - Accent1 4 6" xfId="2897" xr:uid="{00000000-0005-0000-0000-000027000000}"/>
    <cellStyle name="20% - Accent1 4 7" xfId="2896" xr:uid="{00000000-0005-0000-0000-000028000000}"/>
    <cellStyle name="20% - Accent1 4 8" xfId="2895" xr:uid="{00000000-0005-0000-0000-000029000000}"/>
    <cellStyle name="20% - Accent1 4 9" xfId="2894" xr:uid="{00000000-0005-0000-0000-00002A000000}"/>
    <cellStyle name="20% - Accent1 5" xfId="2893" xr:uid="{00000000-0005-0000-0000-00002B000000}"/>
    <cellStyle name="20% - Accent1 5 10" xfId="2892" xr:uid="{00000000-0005-0000-0000-00002C000000}"/>
    <cellStyle name="20% - Accent1 5 11" xfId="2891" xr:uid="{00000000-0005-0000-0000-00002D000000}"/>
    <cellStyle name="20% - Accent1 5 2" xfId="2890" xr:uid="{00000000-0005-0000-0000-00002E000000}"/>
    <cellStyle name="20% - Accent1 5 3" xfId="2889" xr:uid="{00000000-0005-0000-0000-00002F000000}"/>
    <cellStyle name="20% - Accent1 5 4" xfId="2888" xr:uid="{00000000-0005-0000-0000-000030000000}"/>
    <cellStyle name="20% - Accent1 5 5" xfId="2887" xr:uid="{00000000-0005-0000-0000-000031000000}"/>
    <cellStyle name="20% - Accent1 5 6" xfId="2886" xr:uid="{00000000-0005-0000-0000-000032000000}"/>
    <cellStyle name="20% - Accent1 5 7" xfId="2885" xr:uid="{00000000-0005-0000-0000-000033000000}"/>
    <cellStyle name="20% - Accent1 5 8" xfId="2884" xr:uid="{00000000-0005-0000-0000-000034000000}"/>
    <cellStyle name="20% - Accent1 5 9" xfId="2883" xr:uid="{00000000-0005-0000-0000-000035000000}"/>
    <cellStyle name="20% - Accent1 6" xfId="2882" xr:uid="{00000000-0005-0000-0000-000036000000}"/>
    <cellStyle name="20% - Accent1 7" xfId="2881" xr:uid="{00000000-0005-0000-0000-000037000000}"/>
    <cellStyle name="20% - Accent1 8" xfId="2880" xr:uid="{00000000-0005-0000-0000-000038000000}"/>
    <cellStyle name="20% - Accent1 9" xfId="2879" xr:uid="{00000000-0005-0000-0000-000039000000}"/>
    <cellStyle name="20% - Accent2 10" xfId="2878" xr:uid="{00000000-0005-0000-0000-00003A000000}"/>
    <cellStyle name="20% - Accent2 11" xfId="2877" xr:uid="{00000000-0005-0000-0000-00003B000000}"/>
    <cellStyle name="20% - Accent2 12" xfId="2876" xr:uid="{00000000-0005-0000-0000-00003C000000}"/>
    <cellStyle name="20% - Accent2 13" xfId="2875" xr:uid="{00000000-0005-0000-0000-00003D000000}"/>
    <cellStyle name="20% - Accent2 14" xfId="2874" xr:uid="{00000000-0005-0000-0000-00003E000000}"/>
    <cellStyle name="20% - Accent2 15" xfId="2873" xr:uid="{00000000-0005-0000-0000-00003F000000}"/>
    <cellStyle name="20% - Accent2 16" xfId="11" xr:uid="{00000000-0005-0000-0000-000040000000}"/>
    <cellStyle name="20% - Accent2 2" xfId="12" xr:uid="{00000000-0005-0000-0000-000041000000}"/>
    <cellStyle name="20% - Accent2 2 10" xfId="2871" xr:uid="{00000000-0005-0000-0000-000042000000}"/>
    <cellStyle name="20% - Accent2 2 11" xfId="2870" xr:uid="{00000000-0005-0000-0000-000043000000}"/>
    <cellStyle name="20% - Accent2 2 12" xfId="2872" xr:uid="{00000000-0005-0000-0000-000044000000}"/>
    <cellStyle name="20% - Accent2 2 2" xfId="443" xr:uid="{00000000-0005-0000-0000-000045000000}"/>
    <cellStyle name="20% - Accent2 2 2 2" xfId="2869" xr:uid="{00000000-0005-0000-0000-000046000000}"/>
    <cellStyle name="20% - Accent2 2 3" xfId="2868" xr:uid="{00000000-0005-0000-0000-000047000000}"/>
    <cellStyle name="20% - Accent2 2 4" xfId="2867" xr:uid="{00000000-0005-0000-0000-000048000000}"/>
    <cellStyle name="20% - Accent2 2 5" xfId="2866" xr:uid="{00000000-0005-0000-0000-000049000000}"/>
    <cellStyle name="20% - Accent2 2 6" xfId="2865" xr:uid="{00000000-0005-0000-0000-00004A000000}"/>
    <cellStyle name="20% - Accent2 2 7" xfId="2864" xr:uid="{00000000-0005-0000-0000-00004B000000}"/>
    <cellStyle name="20% - Accent2 2 8" xfId="2863" xr:uid="{00000000-0005-0000-0000-00004C000000}"/>
    <cellStyle name="20% - Accent2 2 9" xfId="2862" xr:uid="{00000000-0005-0000-0000-00004D000000}"/>
    <cellStyle name="20% - Accent2 3" xfId="13" xr:uid="{00000000-0005-0000-0000-00004E000000}"/>
    <cellStyle name="20% - Accent2 3 10" xfId="2860" xr:uid="{00000000-0005-0000-0000-00004F000000}"/>
    <cellStyle name="20% - Accent2 3 11" xfId="2859" xr:uid="{00000000-0005-0000-0000-000050000000}"/>
    <cellStyle name="20% - Accent2 3 12" xfId="2861" xr:uid="{00000000-0005-0000-0000-000051000000}"/>
    <cellStyle name="20% - Accent2 3 2" xfId="2858" xr:uid="{00000000-0005-0000-0000-000052000000}"/>
    <cellStyle name="20% - Accent2 3 3" xfId="2857" xr:uid="{00000000-0005-0000-0000-000053000000}"/>
    <cellStyle name="20% - Accent2 3 4" xfId="2856" xr:uid="{00000000-0005-0000-0000-000054000000}"/>
    <cellStyle name="20% - Accent2 3 5" xfId="2855" xr:uid="{00000000-0005-0000-0000-000055000000}"/>
    <cellStyle name="20% - Accent2 3 6" xfId="2854" xr:uid="{00000000-0005-0000-0000-000056000000}"/>
    <cellStyle name="20% - Accent2 3 7" xfId="2853" xr:uid="{00000000-0005-0000-0000-000057000000}"/>
    <cellStyle name="20% - Accent2 3 8" xfId="2852" xr:uid="{00000000-0005-0000-0000-000058000000}"/>
    <cellStyle name="20% - Accent2 3 9" xfId="2851" xr:uid="{00000000-0005-0000-0000-000059000000}"/>
    <cellStyle name="20% - Accent2 4" xfId="2850" xr:uid="{00000000-0005-0000-0000-00005A000000}"/>
    <cellStyle name="20% - Accent2 4 10" xfId="2849" xr:uid="{00000000-0005-0000-0000-00005B000000}"/>
    <cellStyle name="20% - Accent2 4 11" xfId="2848" xr:uid="{00000000-0005-0000-0000-00005C000000}"/>
    <cellStyle name="20% - Accent2 4 2" xfId="2847" xr:uid="{00000000-0005-0000-0000-00005D000000}"/>
    <cellStyle name="20% - Accent2 4 3" xfId="2846" xr:uid="{00000000-0005-0000-0000-00005E000000}"/>
    <cellStyle name="20% - Accent2 4 4" xfId="2845" xr:uid="{00000000-0005-0000-0000-00005F000000}"/>
    <cellStyle name="20% - Accent2 4 5" xfId="2844" xr:uid="{00000000-0005-0000-0000-000060000000}"/>
    <cellStyle name="20% - Accent2 4 6" xfId="2843" xr:uid="{00000000-0005-0000-0000-000061000000}"/>
    <cellStyle name="20% - Accent2 4 7" xfId="2842" xr:uid="{00000000-0005-0000-0000-000062000000}"/>
    <cellStyle name="20% - Accent2 4 8" xfId="2841" xr:uid="{00000000-0005-0000-0000-000063000000}"/>
    <cellStyle name="20% - Accent2 4 9" xfId="2840" xr:uid="{00000000-0005-0000-0000-000064000000}"/>
    <cellStyle name="20% - Accent2 5" xfId="2839" xr:uid="{00000000-0005-0000-0000-000065000000}"/>
    <cellStyle name="20% - Accent2 5 10" xfId="2838" xr:uid="{00000000-0005-0000-0000-000066000000}"/>
    <cellStyle name="20% - Accent2 5 11" xfId="2837" xr:uid="{00000000-0005-0000-0000-000067000000}"/>
    <cellStyle name="20% - Accent2 5 2" xfId="2836" xr:uid="{00000000-0005-0000-0000-000068000000}"/>
    <cellStyle name="20% - Accent2 5 3" xfId="2835" xr:uid="{00000000-0005-0000-0000-000069000000}"/>
    <cellStyle name="20% - Accent2 5 4" xfId="2834" xr:uid="{00000000-0005-0000-0000-00006A000000}"/>
    <cellStyle name="20% - Accent2 5 5" xfId="2833" xr:uid="{00000000-0005-0000-0000-00006B000000}"/>
    <cellStyle name="20% - Accent2 5 6" xfId="2832" xr:uid="{00000000-0005-0000-0000-00006C000000}"/>
    <cellStyle name="20% - Accent2 5 7" xfId="2831" xr:uid="{00000000-0005-0000-0000-00006D000000}"/>
    <cellStyle name="20% - Accent2 5 8" xfId="2830" xr:uid="{00000000-0005-0000-0000-00006E000000}"/>
    <cellStyle name="20% - Accent2 5 9" xfId="2829" xr:uid="{00000000-0005-0000-0000-00006F000000}"/>
    <cellStyle name="20% - Accent2 6" xfId="2828" xr:uid="{00000000-0005-0000-0000-000070000000}"/>
    <cellStyle name="20% - Accent2 7" xfId="2827" xr:uid="{00000000-0005-0000-0000-000071000000}"/>
    <cellStyle name="20% - Accent2 8" xfId="2826" xr:uid="{00000000-0005-0000-0000-000072000000}"/>
    <cellStyle name="20% - Accent2 9" xfId="2825" xr:uid="{00000000-0005-0000-0000-000073000000}"/>
    <cellStyle name="20% - Accent3 10" xfId="2824" xr:uid="{00000000-0005-0000-0000-000074000000}"/>
    <cellStyle name="20% - Accent3 11" xfId="2823" xr:uid="{00000000-0005-0000-0000-000075000000}"/>
    <cellStyle name="20% - Accent3 12" xfId="2822" xr:uid="{00000000-0005-0000-0000-000076000000}"/>
    <cellStyle name="20% - Accent3 13" xfId="2821" xr:uid="{00000000-0005-0000-0000-000077000000}"/>
    <cellStyle name="20% - Accent3 14" xfId="2820" xr:uid="{00000000-0005-0000-0000-000078000000}"/>
    <cellStyle name="20% - Accent3 15" xfId="2819" xr:uid="{00000000-0005-0000-0000-000079000000}"/>
    <cellStyle name="20% - Accent3 16" xfId="14" xr:uid="{00000000-0005-0000-0000-00007A000000}"/>
    <cellStyle name="20% - Accent3 2" xfId="15" xr:uid="{00000000-0005-0000-0000-00007B000000}"/>
    <cellStyle name="20% - Accent3 2 10" xfId="2816" xr:uid="{00000000-0005-0000-0000-00007C000000}"/>
    <cellStyle name="20% - Accent3 2 11" xfId="2815" xr:uid="{00000000-0005-0000-0000-00007D000000}"/>
    <cellStyle name="20% - Accent3 2 12" xfId="2817" xr:uid="{00000000-0005-0000-0000-00007E000000}"/>
    <cellStyle name="20% - Accent3 2 2" xfId="445" xr:uid="{00000000-0005-0000-0000-00007F000000}"/>
    <cellStyle name="20% - Accent3 2 2 2" xfId="2814" xr:uid="{00000000-0005-0000-0000-000080000000}"/>
    <cellStyle name="20% - Accent3 2 3" xfId="2813" xr:uid="{00000000-0005-0000-0000-000081000000}"/>
    <cellStyle name="20% - Accent3 2 4" xfId="2812" xr:uid="{00000000-0005-0000-0000-000082000000}"/>
    <cellStyle name="20% - Accent3 2 5" xfId="2811" xr:uid="{00000000-0005-0000-0000-000083000000}"/>
    <cellStyle name="20% - Accent3 2 6" xfId="2810" xr:uid="{00000000-0005-0000-0000-000084000000}"/>
    <cellStyle name="20% - Accent3 2 7" xfId="2809" xr:uid="{00000000-0005-0000-0000-000085000000}"/>
    <cellStyle name="20% - Accent3 2 8" xfId="2808" xr:uid="{00000000-0005-0000-0000-000086000000}"/>
    <cellStyle name="20% - Accent3 2 9" xfId="2807" xr:uid="{00000000-0005-0000-0000-000087000000}"/>
    <cellStyle name="20% - Accent3 3" xfId="16" xr:uid="{00000000-0005-0000-0000-000088000000}"/>
    <cellStyle name="20% - Accent3 3 10" xfId="2805" xr:uid="{00000000-0005-0000-0000-000089000000}"/>
    <cellStyle name="20% - Accent3 3 11" xfId="2804" xr:uid="{00000000-0005-0000-0000-00008A000000}"/>
    <cellStyle name="20% - Accent3 3 12" xfId="2806" xr:uid="{00000000-0005-0000-0000-00008B000000}"/>
    <cellStyle name="20% - Accent3 3 2" xfId="2803" xr:uid="{00000000-0005-0000-0000-00008C000000}"/>
    <cellStyle name="20% - Accent3 3 3" xfId="2802" xr:uid="{00000000-0005-0000-0000-00008D000000}"/>
    <cellStyle name="20% - Accent3 3 4" xfId="2801" xr:uid="{00000000-0005-0000-0000-00008E000000}"/>
    <cellStyle name="20% - Accent3 3 5" xfId="2800" xr:uid="{00000000-0005-0000-0000-00008F000000}"/>
    <cellStyle name="20% - Accent3 3 6" xfId="2799" xr:uid="{00000000-0005-0000-0000-000090000000}"/>
    <cellStyle name="20% - Accent3 3 7" xfId="2798" xr:uid="{00000000-0005-0000-0000-000091000000}"/>
    <cellStyle name="20% - Accent3 3 8" xfId="2797" xr:uid="{00000000-0005-0000-0000-000092000000}"/>
    <cellStyle name="20% - Accent3 3 9" xfId="2796" xr:uid="{00000000-0005-0000-0000-000093000000}"/>
    <cellStyle name="20% - Accent3 4" xfId="2795" xr:uid="{00000000-0005-0000-0000-000094000000}"/>
    <cellStyle name="20% - Accent3 4 10" xfId="2794" xr:uid="{00000000-0005-0000-0000-000095000000}"/>
    <cellStyle name="20% - Accent3 4 11" xfId="2793" xr:uid="{00000000-0005-0000-0000-000096000000}"/>
    <cellStyle name="20% - Accent3 4 2" xfId="2792" xr:uid="{00000000-0005-0000-0000-000097000000}"/>
    <cellStyle name="20% - Accent3 4 3" xfId="2791" xr:uid="{00000000-0005-0000-0000-000098000000}"/>
    <cellStyle name="20% - Accent3 4 4" xfId="2790" xr:uid="{00000000-0005-0000-0000-000099000000}"/>
    <cellStyle name="20% - Accent3 4 5" xfId="2789" xr:uid="{00000000-0005-0000-0000-00009A000000}"/>
    <cellStyle name="20% - Accent3 4 6" xfId="2788" xr:uid="{00000000-0005-0000-0000-00009B000000}"/>
    <cellStyle name="20% - Accent3 4 7" xfId="2787" xr:uid="{00000000-0005-0000-0000-00009C000000}"/>
    <cellStyle name="20% - Accent3 4 8" xfId="2786" xr:uid="{00000000-0005-0000-0000-00009D000000}"/>
    <cellStyle name="20% - Accent3 4 9" xfId="2785" xr:uid="{00000000-0005-0000-0000-00009E000000}"/>
    <cellStyle name="20% - Accent3 5" xfId="2784" xr:uid="{00000000-0005-0000-0000-00009F000000}"/>
    <cellStyle name="20% - Accent3 5 10" xfId="2783" xr:uid="{00000000-0005-0000-0000-0000A0000000}"/>
    <cellStyle name="20% - Accent3 5 11" xfId="2782" xr:uid="{00000000-0005-0000-0000-0000A1000000}"/>
    <cellStyle name="20% - Accent3 5 2" xfId="2781" xr:uid="{00000000-0005-0000-0000-0000A2000000}"/>
    <cellStyle name="20% - Accent3 5 3" xfId="2780" xr:uid="{00000000-0005-0000-0000-0000A3000000}"/>
    <cellStyle name="20% - Accent3 5 4" xfId="2779" xr:uid="{00000000-0005-0000-0000-0000A4000000}"/>
    <cellStyle name="20% - Accent3 5 5" xfId="2778" xr:uid="{00000000-0005-0000-0000-0000A5000000}"/>
    <cellStyle name="20% - Accent3 5 6" xfId="2777" xr:uid="{00000000-0005-0000-0000-0000A6000000}"/>
    <cellStyle name="20% - Accent3 5 7" xfId="2776" xr:uid="{00000000-0005-0000-0000-0000A7000000}"/>
    <cellStyle name="20% - Accent3 5 8" xfId="2775" xr:uid="{00000000-0005-0000-0000-0000A8000000}"/>
    <cellStyle name="20% - Accent3 5 9" xfId="2774" xr:uid="{00000000-0005-0000-0000-0000A9000000}"/>
    <cellStyle name="20% - Accent3 6" xfId="2773" xr:uid="{00000000-0005-0000-0000-0000AA000000}"/>
    <cellStyle name="20% - Accent3 7" xfId="2772" xr:uid="{00000000-0005-0000-0000-0000AB000000}"/>
    <cellStyle name="20% - Accent3 8" xfId="2771" xr:uid="{00000000-0005-0000-0000-0000AC000000}"/>
    <cellStyle name="20% - Accent3 9" xfId="2770" xr:uid="{00000000-0005-0000-0000-0000AD000000}"/>
    <cellStyle name="20% - Accent4 10" xfId="2769" xr:uid="{00000000-0005-0000-0000-0000AE000000}"/>
    <cellStyle name="20% - Accent4 11" xfId="2768" xr:uid="{00000000-0005-0000-0000-0000AF000000}"/>
    <cellStyle name="20% - Accent4 12" xfId="2767" xr:uid="{00000000-0005-0000-0000-0000B0000000}"/>
    <cellStyle name="20% - Accent4 13" xfId="2766" xr:uid="{00000000-0005-0000-0000-0000B1000000}"/>
    <cellStyle name="20% - Accent4 14" xfId="2765" xr:uid="{00000000-0005-0000-0000-0000B2000000}"/>
    <cellStyle name="20% - Accent4 15" xfId="2764" xr:uid="{00000000-0005-0000-0000-0000B3000000}"/>
    <cellStyle name="20% - Accent4 16" xfId="17" xr:uid="{00000000-0005-0000-0000-0000B4000000}"/>
    <cellStyle name="20% - Accent4 2" xfId="18" xr:uid="{00000000-0005-0000-0000-0000B5000000}"/>
    <cellStyle name="20% - Accent4 2 10" xfId="2762" xr:uid="{00000000-0005-0000-0000-0000B6000000}"/>
    <cellStyle name="20% - Accent4 2 11" xfId="2761" xr:uid="{00000000-0005-0000-0000-0000B7000000}"/>
    <cellStyle name="20% - Accent4 2 12" xfId="2763" xr:uid="{00000000-0005-0000-0000-0000B8000000}"/>
    <cellStyle name="20% - Accent4 2 2" xfId="447" xr:uid="{00000000-0005-0000-0000-0000B9000000}"/>
    <cellStyle name="20% - Accent4 2 2 2" xfId="2760" xr:uid="{00000000-0005-0000-0000-0000BA000000}"/>
    <cellStyle name="20% - Accent4 2 3" xfId="2759" xr:uid="{00000000-0005-0000-0000-0000BB000000}"/>
    <cellStyle name="20% - Accent4 2 4" xfId="2758" xr:uid="{00000000-0005-0000-0000-0000BC000000}"/>
    <cellStyle name="20% - Accent4 2 5" xfId="2757" xr:uid="{00000000-0005-0000-0000-0000BD000000}"/>
    <cellStyle name="20% - Accent4 2 6" xfId="2756" xr:uid="{00000000-0005-0000-0000-0000BE000000}"/>
    <cellStyle name="20% - Accent4 2 7" xfId="2755" xr:uid="{00000000-0005-0000-0000-0000BF000000}"/>
    <cellStyle name="20% - Accent4 2 8" xfId="2754" xr:uid="{00000000-0005-0000-0000-0000C0000000}"/>
    <cellStyle name="20% - Accent4 2 9" xfId="2753" xr:uid="{00000000-0005-0000-0000-0000C1000000}"/>
    <cellStyle name="20% - Accent4 3" xfId="19" xr:uid="{00000000-0005-0000-0000-0000C2000000}"/>
    <cellStyle name="20% - Accent4 3 10" xfId="2751" xr:uid="{00000000-0005-0000-0000-0000C3000000}"/>
    <cellStyle name="20% - Accent4 3 11" xfId="2750" xr:uid="{00000000-0005-0000-0000-0000C4000000}"/>
    <cellStyle name="20% - Accent4 3 12" xfId="2752" xr:uid="{00000000-0005-0000-0000-0000C5000000}"/>
    <cellStyle name="20% - Accent4 3 2" xfId="2749" xr:uid="{00000000-0005-0000-0000-0000C6000000}"/>
    <cellStyle name="20% - Accent4 3 3" xfId="2748" xr:uid="{00000000-0005-0000-0000-0000C7000000}"/>
    <cellStyle name="20% - Accent4 3 4" xfId="2747" xr:uid="{00000000-0005-0000-0000-0000C8000000}"/>
    <cellStyle name="20% - Accent4 3 5" xfId="2746" xr:uid="{00000000-0005-0000-0000-0000C9000000}"/>
    <cellStyle name="20% - Accent4 3 6" xfId="2745" xr:uid="{00000000-0005-0000-0000-0000CA000000}"/>
    <cellStyle name="20% - Accent4 3 7" xfId="2744" xr:uid="{00000000-0005-0000-0000-0000CB000000}"/>
    <cellStyle name="20% - Accent4 3 8" xfId="2743" xr:uid="{00000000-0005-0000-0000-0000CC000000}"/>
    <cellStyle name="20% - Accent4 3 9" xfId="2742" xr:uid="{00000000-0005-0000-0000-0000CD000000}"/>
    <cellStyle name="20% - Accent4 4" xfId="2741" xr:uid="{00000000-0005-0000-0000-0000CE000000}"/>
    <cellStyle name="20% - Accent4 4 10" xfId="2740" xr:uid="{00000000-0005-0000-0000-0000CF000000}"/>
    <cellStyle name="20% - Accent4 4 11" xfId="2739" xr:uid="{00000000-0005-0000-0000-0000D0000000}"/>
    <cellStyle name="20% - Accent4 4 2" xfId="2738" xr:uid="{00000000-0005-0000-0000-0000D1000000}"/>
    <cellStyle name="20% - Accent4 4 3" xfId="2737" xr:uid="{00000000-0005-0000-0000-0000D2000000}"/>
    <cellStyle name="20% - Accent4 4 4" xfId="2736" xr:uid="{00000000-0005-0000-0000-0000D3000000}"/>
    <cellStyle name="20% - Accent4 4 5" xfId="2735" xr:uid="{00000000-0005-0000-0000-0000D4000000}"/>
    <cellStyle name="20% - Accent4 4 6" xfId="2734" xr:uid="{00000000-0005-0000-0000-0000D5000000}"/>
    <cellStyle name="20% - Accent4 4 7" xfId="2733" xr:uid="{00000000-0005-0000-0000-0000D6000000}"/>
    <cellStyle name="20% - Accent4 4 8" xfId="2732" xr:uid="{00000000-0005-0000-0000-0000D7000000}"/>
    <cellStyle name="20% - Accent4 4 9" xfId="2731" xr:uid="{00000000-0005-0000-0000-0000D8000000}"/>
    <cellStyle name="20% - Accent4 5" xfId="2730" xr:uid="{00000000-0005-0000-0000-0000D9000000}"/>
    <cellStyle name="20% - Accent4 5 10" xfId="2729" xr:uid="{00000000-0005-0000-0000-0000DA000000}"/>
    <cellStyle name="20% - Accent4 5 11" xfId="2728" xr:uid="{00000000-0005-0000-0000-0000DB000000}"/>
    <cellStyle name="20% - Accent4 5 2" xfId="2727" xr:uid="{00000000-0005-0000-0000-0000DC000000}"/>
    <cellStyle name="20% - Accent4 5 3" xfId="2726" xr:uid="{00000000-0005-0000-0000-0000DD000000}"/>
    <cellStyle name="20% - Accent4 5 4" xfId="2725" xr:uid="{00000000-0005-0000-0000-0000DE000000}"/>
    <cellStyle name="20% - Accent4 5 5" xfId="2724" xr:uid="{00000000-0005-0000-0000-0000DF000000}"/>
    <cellStyle name="20% - Accent4 5 6" xfId="2723" xr:uid="{00000000-0005-0000-0000-0000E0000000}"/>
    <cellStyle name="20% - Accent4 5 7" xfId="2722" xr:uid="{00000000-0005-0000-0000-0000E1000000}"/>
    <cellStyle name="20% - Accent4 5 8" xfId="2721" xr:uid="{00000000-0005-0000-0000-0000E2000000}"/>
    <cellStyle name="20% - Accent4 5 9" xfId="2720" xr:uid="{00000000-0005-0000-0000-0000E3000000}"/>
    <cellStyle name="20% - Accent4 6" xfId="2719" xr:uid="{00000000-0005-0000-0000-0000E4000000}"/>
    <cellStyle name="20% - Accent4 7" xfId="2718" xr:uid="{00000000-0005-0000-0000-0000E5000000}"/>
    <cellStyle name="20% - Accent4 8" xfId="2717" xr:uid="{00000000-0005-0000-0000-0000E6000000}"/>
    <cellStyle name="20% - Accent4 9" xfId="2716" xr:uid="{00000000-0005-0000-0000-0000E7000000}"/>
    <cellStyle name="20% - Accent5 10" xfId="2715" xr:uid="{00000000-0005-0000-0000-0000E8000000}"/>
    <cellStyle name="20% - Accent5 11" xfId="2714" xr:uid="{00000000-0005-0000-0000-0000E9000000}"/>
    <cellStyle name="20% - Accent5 12" xfId="2713" xr:uid="{00000000-0005-0000-0000-0000EA000000}"/>
    <cellStyle name="20% - Accent5 13" xfId="2712" xr:uid="{00000000-0005-0000-0000-0000EB000000}"/>
    <cellStyle name="20% - Accent5 14" xfId="2711" xr:uid="{00000000-0005-0000-0000-0000EC000000}"/>
    <cellStyle name="20% - Accent5 15" xfId="2710" xr:uid="{00000000-0005-0000-0000-0000ED000000}"/>
    <cellStyle name="20% - Accent5 16" xfId="20" xr:uid="{00000000-0005-0000-0000-0000EE000000}"/>
    <cellStyle name="20% - Accent5 2" xfId="21" xr:uid="{00000000-0005-0000-0000-0000EF000000}"/>
    <cellStyle name="20% - Accent5 2 10" xfId="2708" xr:uid="{00000000-0005-0000-0000-0000F0000000}"/>
    <cellStyle name="20% - Accent5 2 11" xfId="2707" xr:uid="{00000000-0005-0000-0000-0000F1000000}"/>
    <cellStyle name="20% - Accent5 2 12" xfId="2709" xr:uid="{00000000-0005-0000-0000-0000F2000000}"/>
    <cellStyle name="20% - Accent5 2 2" xfId="449" xr:uid="{00000000-0005-0000-0000-0000F3000000}"/>
    <cellStyle name="20% - Accent5 2 2 2" xfId="2706" xr:uid="{00000000-0005-0000-0000-0000F4000000}"/>
    <cellStyle name="20% - Accent5 2 3" xfId="2705" xr:uid="{00000000-0005-0000-0000-0000F5000000}"/>
    <cellStyle name="20% - Accent5 2 4" xfId="2704" xr:uid="{00000000-0005-0000-0000-0000F6000000}"/>
    <cellStyle name="20% - Accent5 2 5" xfId="2703" xr:uid="{00000000-0005-0000-0000-0000F7000000}"/>
    <cellStyle name="20% - Accent5 2 6" xfId="2702" xr:uid="{00000000-0005-0000-0000-0000F8000000}"/>
    <cellStyle name="20% - Accent5 2 7" xfId="2701" xr:uid="{00000000-0005-0000-0000-0000F9000000}"/>
    <cellStyle name="20% - Accent5 2 8" xfId="2700" xr:uid="{00000000-0005-0000-0000-0000FA000000}"/>
    <cellStyle name="20% - Accent5 2 9" xfId="2699" xr:uid="{00000000-0005-0000-0000-0000FB000000}"/>
    <cellStyle name="20% - Accent5 3" xfId="22" xr:uid="{00000000-0005-0000-0000-0000FC000000}"/>
    <cellStyle name="20% - Accent5 3 10" xfId="2697" xr:uid="{00000000-0005-0000-0000-0000FD000000}"/>
    <cellStyle name="20% - Accent5 3 11" xfId="2696" xr:uid="{00000000-0005-0000-0000-0000FE000000}"/>
    <cellStyle name="20% - Accent5 3 12" xfId="2698" xr:uid="{00000000-0005-0000-0000-0000FF000000}"/>
    <cellStyle name="20% - Accent5 3 2" xfId="2695" xr:uid="{00000000-0005-0000-0000-000000010000}"/>
    <cellStyle name="20% - Accent5 3 3" xfId="2694" xr:uid="{00000000-0005-0000-0000-000001010000}"/>
    <cellStyle name="20% - Accent5 3 4" xfId="2693" xr:uid="{00000000-0005-0000-0000-000002010000}"/>
    <cellStyle name="20% - Accent5 3 5" xfId="2692" xr:uid="{00000000-0005-0000-0000-000003010000}"/>
    <cellStyle name="20% - Accent5 3 6" xfId="2691" xr:uid="{00000000-0005-0000-0000-000004010000}"/>
    <cellStyle name="20% - Accent5 3 7" xfId="2690" xr:uid="{00000000-0005-0000-0000-000005010000}"/>
    <cellStyle name="20% - Accent5 3 8" xfId="2689" xr:uid="{00000000-0005-0000-0000-000006010000}"/>
    <cellStyle name="20% - Accent5 3 9" xfId="2688" xr:uid="{00000000-0005-0000-0000-000007010000}"/>
    <cellStyle name="20% - Accent5 4" xfId="2687" xr:uid="{00000000-0005-0000-0000-000008010000}"/>
    <cellStyle name="20% - Accent5 4 10" xfId="2686" xr:uid="{00000000-0005-0000-0000-000009010000}"/>
    <cellStyle name="20% - Accent5 4 11" xfId="2685" xr:uid="{00000000-0005-0000-0000-00000A010000}"/>
    <cellStyle name="20% - Accent5 4 2" xfId="2684" xr:uid="{00000000-0005-0000-0000-00000B010000}"/>
    <cellStyle name="20% - Accent5 4 3" xfId="2683" xr:uid="{00000000-0005-0000-0000-00000C010000}"/>
    <cellStyle name="20% - Accent5 4 4" xfId="2682" xr:uid="{00000000-0005-0000-0000-00000D010000}"/>
    <cellStyle name="20% - Accent5 4 5" xfId="2681" xr:uid="{00000000-0005-0000-0000-00000E010000}"/>
    <cellStyle name="20% - Accent5 4 6" xfId="2680" xr:uid="{00000000-0005-0000-0000-00000F010000}"/>
    <cellStyle name="20% - Accent5 4 7" xfId="2679" xr:uid="{00000000-0005-0000-0000-000010010000}"/>
    <cellStyle name="20% - Accent5 4 8" xfId="2678" xr:uid="{00000000-0005-0000-0000-000011010000}"/>
    <cellStyle name="20% - Accent5 4 9" xfId="2677" xr:uid="{00000000-0005-0000-0000-000012010000}"/>
    <cellStyle name="20% - Accent5 5" xfId="2676" xr:uid="{00000000-0005-0000-0000-000013010000}"/>
    <cellStyle name="20% - Accent5 5 10" xfId="2675" xr:uid="{00000000-0005-0000-0000-000014010000}"/>
    <cellStyle name="20% - Accent5 5 11" xfId="2674" xr:uid="{00000000-0005-0000-0000-000015010000}"/>
    <cellStyle name="20% - Accent5 5 2" xfId="2673" xr:uid="{00000000-0005-0000-0000-000016010000}"/>
    <cellStyle name="20% - Accent5 5 3" xfId="2672" xr:uid="{00000000-0005-0000-0000-000017010000}"/>
    <cellStyle name="20% - Accent5 5 4" xfId="2671" xr:uid="{00000000-0005-0000-0000-000018010000}"/>
    <cellStyle name="20% - Accent5 5 5" xfId="2670" xr:uid="{00000000-0005-0000-0000-000019010000}"/>
    <cellStyle name="20% - Accent5 5 6" xfId="2669" xr:uid="{00000000-0005-0000-0000-00001A010000}"/>
    <cellStyle name="20% - Accent5 5 7" xfId="2668" xr:uid="{00000000-0005-0000-0000-00001B010000}"/>
    <cellStyle name="20% - Accent5 5 8" xfId="2667" xr:uid="{00000000-0005-0000-0000-00001C010000}"/>
    <cellStyle name="20% - Accent5 5 9" xfId="2666" xr:uid="{00000000-0005-0000-0000-00001D010000}"/>
    <cellStyle name="20% - Accent5 6" xfId="2665" xr:uid="{00000000-0005-0000-0000-00001E010000}"/>
    <cellStyle name="20% - Accent5 7" xfId="2664" xr:uid="{00000000-0005-0000-0000-00001F010000}"/>
    <cellStyle name="20% - Accent5 8" xfId="2663" xr:uid="{00000000-0005-0000-0000-000020010000}"/>
    <cellStyle name="20% - Accent5 9" xfId="2662" xr:uid="{00000000-0005-0000-0000-000021010000}"/>
    <cellStyle name="20% - Accent6 10" xfId="2661" xr:uid="{00000000-0005-0000-0000-000022010000}"/>
    <cellStyle name="20% - Accent6 11" xfId="2660" xr:uid="{00000000-0005-0000-0000-000023010000}"/>
    <cellStyle name="20% - Accent6 12" xfId="2659" xr:uid="{00000000-0005-0000-0000-000024010000}"/>
    <cellStyle name="20% - Accent6 13" xfId="2658" xr:uid="{00000000-0005-0000-0000-000025010000}"/>
    <cellStyle name="20% - Accent6 14" xfId="2657" xr:uid="{00000000-0005-0000-0000-000026010000}"/>
    <cellStyle name="20% - Accent6 15" xfId="2656" xr:uid="{00000000-0005-0000-0000-000027010000}"/>
    <cellStyle name="20% - Accent6 16" xfId="23" xr:uid="{00000000-0005-0000-0000-000028010000}"/>
    <cellStyle name="20% - Accent6 2" xfId="24" xr:uid="{00000000-0005-0000-0000-000029010000}"/>
    <cellStyle name="20% - Accent6 2 10" xfId="2654" xr:uid="{00000000-0005-0000-0000-00002A010000}"/>
    <cellStyle name="20% - Accent6 2 11" xfId="2653" xr:uid="{00000000-0005-0000-0000-00002B010000}"/>
    <cellStyle name="20% - Accent6 2 12" xfId="2655" xr:uid="{00000000-0005-0000-0000-00002C010000}"/>
    <cellStyle name="20% - Accent6 2 2" xfId="451" xr:uid="{00000000-0005-0000-0000-00002D010000}"/>
    <cellStyle name="20% - Accent6 2 2 2" xfId="2652" xr:uid="{00000000-0005-0000-0000-00002E010000}"/>
    <cellStyle name="20% - Accent6 2 3" xfId="2651" xr:uid="{00000000-0005-0000-0000-00002F010000}"/>
    <cellStyle name="20% - Accent6 2 4" xfId="2650" xr:uid="{00000000-0005-0000-0000-000030010000}"/>
    <cellStyle name="20% - Accent6 2 5" xfId="2649" xr:uid="{00000000-0005-0000-0000-000031010000}"/>
    <cellStyle name="20% - Accent6 2 6" xfId="2648" xr:uid="{00000000-0005-0000-0000-000032010000}"/>
    <cellStyle name="20% - Accent6 2 7" xfId="2647" xr:uid="{00000000-0005-0000-0000-000033010000}"/>
    <cellStyle name="20% - Accent6 2 8" xfId="2646" xr:uid="{00000000-0005-0000-0000-000034010000}"/>
    <cellStyle name="20% - Accent6 2 9" xfId="2645" xr:uid="{00000000-0005-0000-0000-000035010000}"/>
    <cellStyle name="20% - Accent6 3" xfId="25" xr:uid="{00000000-0005-0000-0000-000036010000}"/>
    <cellStyle name="20% - Accent6 3 10" xfId="2643" xr:uid="{00000000-0005-0000-0000-000037010000}"/>
    <cellStyle name="20% - Accent6 3 11" xfId="2642" xr:uid="{00000000-0005-0000-0000-000038010000}"/>
    <cellStyle name="20% - Accent6 3 12" xfId="2644" xr:uid="{00000000-0005-0000-0000-000039010000}"/>
    <cellStyle name="20% - Accent6 3 2" xfId="2641" xr:uid="{00000000-0005-0000-0000-00003A010000}"/>
    <cellStyle name="20% - Accent6 3 3" xfId="2640" xr:uid="{00000000-0005-0000-0000-00003B010000}"/>
    <cellStyle name="20% - Accent6 3 4" xfId="2639" xr:uid="{00000000-0005-0000-0000-00003C010000}"/>
    <cellStyle name="20% - Accent6 3 5" xfId="2638" xr:uid="{00000000-0005-0000-0000-00003D010000}"/>
    <cellStyle name="20% - Accent6 3 6" xfId="2637" xr:uid="{00000000-0005-0000-0000-00003E010000}"/>
    <cellStyle name="20% - Accent6 3 7" xfId="2636" xr:uid="{00000000-0005-0000-0000-00003F010000}"/>
    <cellStyle name="20% - Accent6 3 8" xfId="2635" xr:uid="{00000000-0005-0000-0000-000040010000}"/>
    <cellStyle name="20% - Accent6 3 9" xfId="2634" xr:uid="{00000000-0005-0000-0000-000041010000}"/>
    <cellStyle name="20% - Accent6 4" xfId="2633" xr:uid="{00000000-0005-0000-0000-000042010000}"/>
    <cellStyle name="20% - Accent6 4 10" xfId="2632" xr:uid="{00000000-0005-0000-0000-000043010000}"/>
    <cellStyle name="20% - Accent6 4 11" xfId="2631" xr:uid="{00000000-0005-0000-0000-000044010000}"/>
    <cellStyle name="20% - Accent6 4 2" xfId="2630" xr:uid="{00000000-0005-0000-0000-000045010000}"/>
    <cellStyle name="20% - Accent6 4 3" xfId="2629" xr:uid="{00000000-0005-0000-0000-000046010000}"/>
    <cellStyle name="20% - Accent6 4 4" xfId="2628" xr:uid="{00000000-0005-0000-0000-000047010000}"/>
    <cellStyle name="20% - Accent6 4 5" xfId="2627" xr:uid="{00000000-0005-0000-0000-000048010000}"/>
    <cellStyle name="20% - Accent6 4 6" xfId="2626" xr:uid="{00000000-0005-0000-0000-000049010000}"/>
    <cellStyle name="20% - Accent6 4 7" xfId="2625" xr:uid="{00000000-0005-0000-0000-00004A010000}"/>
    <cellStyle name="20% - Accent6 4 8" xfId="2624" xr:uid="{00000000-0005-0000-0000-00004B010000}"/>
    <cellStyle name="20% - Accent6 4 9" xfId="2623" xr:uid="{00000000-0005-0000-0000-00004C010000}"/>
    <cellStyle name="20% - Accent6 5" xfId="2622" xr:uid="{00000000-0005-0000-0000-00004D010000}"/>
    <cellStyle name="20% - Accent6 5 10" xfId="2621" xr:uid="{00000000-0005-0000-0000-00004E010000}"/>
    <cellStyle name="20% - Accent6 5 11" xfId="2620" xr:uid="{00000000-0005-0000-0000-00004F010000}"/>
    <cellStyle name="20% - Accent6 5 2" xfId="2619" xr:uid="{00000000-0005-0000-0000-000050010000}"/>
    <cellStyle name="20% - Accent6 5 3" xfId="2618" xr:uid="{00000000-0005-0000-0000-000051010000}"/>
    <cellStyle name="20% - Accent6 5 4" xfId="2617" xr:uid="{00000000-0005-0000-0000-000052010000}"/>
    <cellStyle name="20% - Accent6 5 5" xfId="2616" xr:uid="{00000000-0005-0000-0000-000053010000}"/>
    <cellStyle name="20% - Accent6 5 6" xfId="2615" xr:uid="{00000000-0005-0000-0000-000054010000}"/>
    <cellStyle name="20% - Accent6 5 7" xfId="2614" xr:uid="{00000000-0005-0000-0000-000055010000}"/>
    <cellStyle name="20% - Accent6 5 8" xfId="2613" xr:uid="{00000000-0005-0000-0000-000056010000}"/>
    <cellStyle name="20% - Accent6 5 9" xfId="2612" xr:uid="{00000000-0005-0000-0000-000057010000}"/>
    <cellStyle name="20% - Accent6 6" xfId="2611" xr:uid="{00000000-0005-0000-0000-000058010000}"/>
    <cellStyle name="20% - Accent6 7" xfId="2610" xr:uid="{00000000-0005-0000-0000-000059010000}"/>
    <cellStyle name="20% - Accent6 8" xfId="2609" xr:uid="{00000000-0005-0000-0000-00005A010000}"/>
    <cellStyle name="20% - Accent6 9" xfId="2608" xr:uid="{00000000-0005-0000-0000-00005B010000}"/>
    <cellStyle name="20% - ส่วนที่ถูกเน้น1" xfId="2607" xr:uid="{00000000-0005-0000-0000-00005C010000}"/>
    <cellStyle name="20% - ส่วนที่ถูกเน้น2" xfId="2606" xr:uid="{00000000-0005-0000-0000-00005D010000}"/>
    <cellStyle name="20% - ส่วนที่ถูกเน้น3" xfId="2605" xr:uid="{00000000-0005-0000-0000-00005E010000}"/>
    <cellStyle name="20% - ส่วนที่ถูกเน้น4" xfId="2604" xr:uid="{00000000-0005-0000-0000-00005F010000}"/>
    <cellStyle name="20% - ส่วนที่ถูกเน้น5" xfId="2603" xr:uid="{00000000-0005-0000-0000-000060010000}"/>
    <cellStyle name="20% - ส่วนที่ถูกเน้น6" xfId="2602" xr:uid="{00000000-0005-0000-0000-000061010000}"/>
    <cellStyle name="40% - Accent1 10" xfId="2601" xr:uid="{00000000-0005-0000-0000-000062010000}"/>
    <cellStyle name="40% - Accent1 11" xfId="2600" xr:uid="{00000000-0005-0000-0000-000063010000}"/>
    <cellStyle name="40% - Accent1 12" xfId="2599" xr:uid="{00000000-0005-0000-0000-000064010000}"/>
    <cellStyle name="40% - Accent1 13" xfId="2598" xr:uid="{00000000-0005-0000-0000-000065010000}"/>
    <cellStyle name="40% - Accent1 14" xfId="2597" xr:uid="{00000000-0005-0000-0000-000066010000}"/>
    <cellStyle name="40% - Accent1 15" xfId="2596" xr:uid="{00000000-0005-0000-0000-000067010000}"/>
    <cellStyle name="40% - Accent1 16" xfId="26" xr:uid="{00000000-0005-0000-0000-000068010000}"/>
    <cellStyle name="40% - Accent1 2" xfId="27" xr:uid="{00000000-0005-0000-0000-000069010000}"/>
    <cellStyle name="40% - Accent1 2 10" xfId="2594" xr:uid="{00000000-0005-0000-0000-00006A010000}"/>
    <cellStyle name="40% - Accent1 2 11" xfId="2593" xr:uid="{00000000-0005-0000-0000-00006B010000}"/>
    <cellStyle name="40% - Accent1 2 12" xfId="2595" xr:uid="{00000000-0005-0000-0000-00006C010000}"/>
    <cellStyle name="40% - Accent1 2 2" xfId="453" xr:uid="{00000000-0005-0000-0000-00006D010000}"/>
    <cellStyle name="40% - Accent1 2 2 2" xfId="2592" xr:uid="{00000000-0005-0000-0000-00006E010000}"/>
    <cellStyle name="40% - Accent1 2 3" xfId="2591" xr:uid="{00000000-0005-0000-0000-00006F010000}"/>
    <cellStyle name="40% - Accent1 2 4" xfId="2590" xr:uid="{00000000-0005-0000-0000-000070010000}"/>
    <cellStyle name="40% - Accent1 2 5" xfId="2589" xr:uid="{00000000-0005-0000-0000-000071010000}"/>
    <cellStyle name="40% - Accent1 2 6" xfId="2588" xr:uid="{00000000-0005-0000-0000-000072010000}"/>
    <cellStyle name="40% - Accent1 2 7" xfId="2587" xr:uid="{00000000-0005-0000-0000-000073010000}"/>
    <cellStyle name="40% - Accent1 2 8" xfId="2586" xr:uid="{00000000-0005-0000-0000-000074010000}"/>
    <cellStyle name="40% - Accent1 2 9" xfId="2585" xr:uid="{00000000-0005-0000-0000-000075010000}"/>
    <cellStyle name="40% - Accent1 3" xfId="28" xr:uid="{00000000-0005-0000-0000-000076010000}"/>
    <cellStyle name="40% - Accent1 3 10" xfId="2583" xr:uid="{00000000-0005-0000-0000-000077010000}"/>
    <cellStyle name="40% - Accent1 3 11" xfId="2582" xr:uid="{00000000-0005-0000-0000-000078010000}"/>
    <cellStyle name="40% - Accent1 3 12" xfId="2584" xr:uid="{00000000-0005-0000-0000-000079010000}"/>
    <cellStyle name="40% - Accent1 3 2" xfId="2581" xr:uid="{00000000-0005-0000-0000-00007A010000}"/>
    <cellStyle name="40% - Accent1 3 3" xfId="2580" xr:uid="{00000000-0005-0000-0000-00007B010000}"/>
    <cellStyle name="40% - Accent1 3 4" xfId="2579" xr:uid="{00000000-0005-0000-0000-00007C010000}"/>
    <cellStyle name="40% - Accent1 3 5" xfId="2578" xr:uid="{00000000-0005-0000-0000-00007D010000}"/>
    <cellStyle name="40% - Accent1 3 6" xfId="2577" xr:uid="{00000000-0005-0000-0000-00007E010000}"/>
    <cellStyle name="40% - Accent1 3 7" xfId="2576" xr:uid="{00000000-0005-0000-0000-00007F010000}"/>
    <cellStyle name="40% - Accent1 3 8" xfId="2575" xr:uid="{00000000-0005-0000-0000-000080010000}"/>
    <cellStyle name="40% - Accent1 3 9" xfId="2574" xr:uid="{00000000-0005-0000-0000-000081010000}"/>
    <cellStyle name="40% - Accent1 4" xfId="2573" xr:uid="{00000000-0005-0000-0000-000082010000}"/>
    <cellStyle name="40% - Accent1 4 10" xfId="2572" xr:uid="{00000000-0005-0000-0000-000083010000}"/>
    <cellStyle name="40% - Accent1 4 11" xfId="2571" xr:uid="{00000000-0005-0000-0000-000084010000}"/>
    <cellStyle name="40% - Accent1 4 2" xfId="2570" xr:uid="{00000000-0005-0000-0000-000085010000}"/>
    <cellStyle name="40% - Accent1 4 3" xfId="2569" xr:uid="{00000000-0005-0000-0000-000086010000}"/>
    <cellStyle name="40% - Accent1 4 4" xfId="2568" xr:uid="{00000000-0005-0000-0000-000087010000}"/>
    <cellStyle name="40% - Accent1 4 5" xfId="2567" xr:uid="{00000000-0005-0000-0000-000088010000}"/>
    <cellStyle name="40% - Accent1 4 6" xfId="2566" xr:uid="{00000000-0005-0000-0000-000089010000}"/>
    <cellStyle name="40% - Accent1 4 7" xfId="2565" xr:uid="{00000000-0005-0000-0000-00008A010000}"/>
    <cellStyle name="40% - Accent1 4 8" xfId="2564" xr:uid="{00000000-0005-0000-0000-00008B010000}"/>
    <cellStyle name="40% - Accent1 4 9" xfId="2563" xr:uid="{00000000-0005-0000-0000-00008C010000}"/>
    <cellStyle name="40% - Accent1 5" xfId="2562" xr:uid="{00000000-0005-0000-0000-00008D010000}"/>
    <cellStyle name="40% - Accent1 5 10" xfId="2561" xr:uid="{00000000-0005-0000-0000-00008E010000}"/>
    <cellStyle name="40% - Accent1 5 11" xfId="2560" xr:uid="{00000000-0005-0000-0000-00008F010000}"/>
    <cellStyle name="40% - Accent1 5 2" xfId="2559" xr:uid="{00000000-0005-0000-0000-000090010000}"/>
    <cellStyle name="40% - Accent1 5 3" xfId="2558" xr:uid="{00000000-0005-0000-0000-000091010000}"/>
    <cellStyle name="40% - Accent1 5 4" xfId="2557" xr:uid="{00000000-0005-0000-0000-000092010000}"/>
    <cellStyle name="40% - Accent1 5 5" xfId="2556" xr:uid="{00000000-0005-0000-0000-000093010000}"/>
    <cellStyle name="40% - Accent1 5 6" xfId="2555" xr:uid="{00000000-0005-0000-0000-000094010000}"/>
    <cellStyle name="40% - Accent1 5 7" xfId="2554" xr:uid="{00000000-0005-0000-0000-000095010000}"/>
    <cellStyle name="40% - Accent1 5 8" xfId="2553" xr:uid="{00000000-0005-0000-0000-000096010000}"/>
    <cellStyle name="40% - Accent1 5 9" xfId="2552" xr:uid="{00000000-0005-0000-0000-000097010000}"/>
    <cellStyle name="40% - Accent1 6" xfId="2551" xr:uid="{00000000-0005-0000-0000-000098010000}"/>
    <cellStyle name="40% - Accent1 7" xfId="2550" xr:uid="{00000000-0005-0000-0000-000099010000}"/>
    <cellStyle name="40% - Accent1 8" xfId="2549" xr:uid="{00000000-0005-0000-0000-00009A010000}"/>
    <cellStyle name="40% - Accent1 9" xfId="2548" xr:uid="{00000000-0005-0000-0000-00009B010000}"/>
    <cellStyle name="40% - Accent2 10" xfId="2547" xr:uid="{00000000-0005-0000-0000-00009C010000}"/>
    <cellStyle name="40% - Accent2 11" xfId="2546" xr:uid="{00000000-0005-0000-0000-00009D010000}"/>
    <cellStyle name="40% - Accent2 12" xfId="2545" xr:uid="{00000000-0005-0000-0000-00009E010000}"/>
    <cellStyle name="40% - Accent2 13" xfId="2544" xr:uid="{00000000-0005-0000-0000-00009F010000}"/>
    <cellStyle name="40% - Accent2 14" xfId="2543" xr:uid="{00000000-0005-0000-0000-0000A0010000}"/>
    <cellStyle name="40% - Accent2 15" xfId="2542" xr:uid="{00000000-0005-0000-0000-0000A1010000}"/>
    <cellStyle name="40% - Accent2 16" xfId="29" xr:uid="{00000000-0005-0000-0000-0000A2010000}"/>
    <cellStyle name="40% - Accent2 2" xfId="30" xr:uid="{00000000-0005-0000-0000-0000A3010000}"/>
    <cellStyle name="40% - Accent2 2 10" xfId="2540" xr:uid="{00000000-0005-0000-0000-0000A4010000}"/>
    <cellStyle name="40% - Accent2 2 11" xfId="2539" xr:uid="{00000000-0005-0000-0000-0000A5010000}"/>
    <cellStyle name="40% - Accent2 2 12" xfId="2541" xr:uid="{00000000-0005-0000-0000-0000A6010000}"/>
    <cellStyle name="40% - Accent2 2 2" xfId="455" xr:uid="{00000000-0005-0000-0000-0000A7010000}"/>
    <cellStyle name="40% - Accent2 2 2 2" xfId="2538" xr:uid="{00000000-0005-0000-0000-0000A8010000}"/>
    <cellStyle name="40% - Accent2 2 3" xfId="2537" xr:uid="{00000000-0005-0000-0000-0000A9010000}"/>
    <cellStyle name="40% - Accent2 2 4" xfId="2536" xr:uid="{00000000-0005-0000-0000-0000AA010000}"/>
    <cellStyle name="40% - Accent2 2 5" xfId="2535" xr:uid="{00000000-0005-0000-0000-0000AB010000}"/>
    <cellStyle name="40% - Accent2 2 6" xfId="2534" xr:uid="{00000000-0005-0000-0000-0000AC010000}"/>
    <cellStyle name="40% - Accent2 2 7" xfId="2533" xr:uid="{00000000-0005-0000-0000-0000AD010000}"/>
    <cellStyle name="40% - Accent2 2 8" xfId="2532" xr:uid="{00000000-0005-0000-0000-0000AE010000}"/>
    <cellStyle name="40% - Accent2 2 9" xfId="2531" xr:uid="{00000000-0005-0000-0000-0000AF010000}"/>
    <cellStyle name="40% - Accent2 3" xfId="31" xr:uid="{00000000-0005-0000-0000-0000B0010000}"/>
    <cellStyle name="40% - Accent2 3 10" xfId="2529" xr:uid="{00000000-0005-0000-0000-0000B1010000}"/>
    <cellStyle name="40% - Accent2 3 11" xfId="2528" xr:uid="{00000000-0005-0000-0000-0000B2010000}"/>
    <cellStyle name="40% - Accent2 3 12" xfId="2530" xr:uid="{00000000-0005-0000-0000-0000B3010000}"/>
    <cellStyle name="40% - Accent2 3 2" xfId="2527" xr:uid="{00000000-0005-0000-0000-0000B4010000}"/>
    <cellStyle name="40% - Accent2 3 3" xfId="2526" xr:uid="{00000000-0005-0000-0000-0000B5010000}"/>
    <cellStyle name="40% - Accent2 3 4" xfId="2525" xr:uid="{00000000-0005-0000-0000-0000B6010000}"/>
    <cellStyle name="40% - Accent2 3 5" xfId="2524" xr:uid="{00000000-0005-0000-0000-0000B7010000}"/>
    <cellStyle name="40% - Accent2 3 6" xfId="2523" xr:uid="{00000000-0005-0000-0000-0000B8010000}"/>
    <cellStyle name="40% - Accent2 3 7" xfId="2522" xr:uid="{00000000-0005-0000-0000-0000B9010000}"/>
    <cellStyle name="40% - Accent2 3 8" xfId="2521" xr:uid="{00000000-0005-0000-0000-0000BA010000}"/>
    <cellStyle name="40% - Accent2 3 9" xfId="2520" xr:uid="{00000000-0005-0000-0000-0000BB010000}"/>
    <cellStyle name="40% - Accent2 4" xfId="2519" xr:uid="{00000000-0005-0000-0000-0000BC010000}"/>
    <cellStyle name="40% - Accent2 4 10" xfId="2518" xr:uid="{00000000-0005-0000-0000-0000BD010000}"/>
    <cellStyle name="40% - Accent2 4 11" xfId="2517" xr:uid="{00000000-0005-0000-0000-0000BE010000}"/>
    <cellStyle name="40% - Accent2 4 2" xfId="2516" xr:uid="{00000000-0005-0000-0000-0000BF010000}"/>
    <cellStyle name="40% - Accent2 4 3" xfId="2515" xr:uid="{00000000-0005-0000-0000-0000C0010000}"/>
    <cellStyle name="40% - Accent2 4 4" xfId="2514" xr:uid="{00000000-0005-0000-0000-0000C1010000}"/>
    <cellStyle name="40% - Accent2 4 5" xfId="2513" xr:uid="{00000000-0005-0000-0000-0000C2010000}"/>
    <cellStyle name="40% - Accent2 4 6" xfId="2512" xr:uid="{00000000-0005-0000-0000-0000C3010000}"/>
    <cellStyle name="40% - Accent2 4 7" xfId="2511" xr:uid="{00000000-0005-0000-0000-0000C4010000}"/>
    <cellStyle name="40% - Accent2 4 8" xfId="2510" xr:uid="{00000000-0005-0000-0000-0000C5010000}"/>
    <cellStyle name="40% - Accent2 4 9" xfId="2509" xr:uid="{00000000-0005-0000-0000-0000C6010000}"/>
    <cellStyle name="40% - Accent2 5" xfId="2508" xr:uid="{00000000-0005-0000-0000-0000C7010000}"/>
    <cellStyle name="40% - Accent2 5 10" xfId="2507" xr:uid="{00000000-0005-0000-0000-0000C8010000}"/>
    <cellStyle name="40% - Accent2 5 11" xfId="2506" xr:uid="{00000000-0005-0000-0000-0000C9010000}"/>
    <cellStyle name="40% - Accent2 5 2" xfId="2505" xr:uid="{00000000-0005-0000-0000-0000CA010000}"/>
    <cellStyle name="40% - Accent2 5 3" xfId="2504" xr:uid="{00000000-0005-0000-0000-0000CB010000}"/>
    <cellStyle name="40% - Accent2 5 4" xfId="2503" xr:uid="{00000000-0005-0000-0000-0000CC010000}"/>
    <cellStyle name="40% - Accent2 5 5" xfId="2502" xr:uid="{00000000-0005-0000-0000-0000CD010000}"/>
    <cellStyle name="40% - Accent2 5 6" xfId="2501" xr:uid="{00000000-0005-0000-0000-0000CE010000}"/>
    <cellStyle name="40% - Accent2 5 7" xfId="2500" xr:uid="{00000000-0005-0000-0000-0000CF010000}"/>
    <cellStyle name="40% - Accent2 5 8" xfId="2499" xr:uid="{00000000-0005-0000-0000-0000D0010000}"/>
    <cellStyle name="40% - Accent2 5 9" xfId="2498" xr:uid="{00000000-0005-0000-0000-0000D1010000}"/>
    <cellStyle name="40% - Accent2 6" xfId="2497" xr:uid="{00000000-0005-0000-0000-0000D2010000}"/>
    <cellStyle name="40% - Accent2 7" xfId="2496" xr:uid="{00000000-0005-0000-0000-0000D3010000}"/>
    <cellStyle name="40% - Accent2 8" xfId="2495" xr:uid="{00000000-0005-0000-0000-0000D4010000}"/>
    <cellStyle name="40% - Accent2 9" xfId="2494" xr:uid="{00000000-0005-0000-0000-0000D5010000}"/>
    <cellStyle name="40% - Accent3 10" xfId="2493" xr:uid="{00000000-0005-0000-0000-0000D6010000}"/>
    <cellStyle name="40% - Accent3 11" xfId="2492" xr:uid="{00000000-0005-0000-0000-0000D7010000}"/>
    <cellStyle name="40% - Accent3 12" xfId="2491" xr:uid="{00000000-0005-0000-0000-0000D8010000}"/>
    <cellStyle name="40% - Accent3 13" xfId="2490" xr:uid="{00000000-0005-0000-0000-0000D9010000}"/>
    <cellStyle name="40% - Accent3 14" xfId="2489" xr:uid="{00000000-0005-0000-0000-0000DA010000}"/>
    <cellStyle name="40% - Accent3 15" xfId="2488" xr:uid="{00000000-0005-0000-0000-0000DB010000}"/>
    <cellStyle name="40% - Accent3 16" xfId="32" xr:uid="{00000000-0005-0000-0000-0000DC010000}"/>
    <cellStyle name="40% - Accent3 2" xfId="33" xr:uid="{00000000-0005-0000-0000-0000DD010000}"/>
    <cellStyle name="40% - Accent3 2 10" xfId="2486" xr:uid="{00000000-0005-0000-0000-0000DE010000}"/>
    <cellStyle name="40% - Accent3 2 11" xfId="2485" xr:uid="{00000000-0005-0000-0000-0000DF010000}"/>
    <cellStyle name="40% - Accent3 2 12" xfId="2487" xr:uid="{00000000-0005-0000-0000-0000E0010000}"/>
    <cellStyle name="40% - Accent3 2 2" xfId="457" xr:uid="{00000000-0005-0000-0000-0000E1010000}"/>
    <cellStyle name="40% - Accent3 2 2 2" xfId="2484" xr:uid="{00000000-0005-0000-0000-0000E2010000}"/>
    <cellStyle name="40% - Accent3 2 3" xfId="2483" xr:uid="{00000000-0005-0000-0000-0000E3010000}"/>
    <cellStyle name="40% - Accent3 2 4" xfId="2482" xr:uid="{00000000-0005-0000-0000-0000E4010000}"/>
    <cellStyle name="40% - Accent3 2 5" xfId="2481" xr:uid="{00000000-0005-0000-0000-0000E5010000}"/>
    <cellStyle name="40% - Accent3 2 6" xfId="2480" xr:uid="{00000000-0005-0000-0000-0000E6010000}"/>
    <cellStyle name="40% - Accent3 2 7" xfId="2479" xr:uid="{00000000-0005-0000-0000-0000E7010000}"/>
    <cellStyle name="40% - Accent3 2 8" xfId="2478" xr:uid="{00000000-0005-0000-0000-0000E8010000}"/>
    <cellStyle name="40% - Accent3 2 9" xfId="2477" xr:uid="{00000000-0005-0000-0000-0000E9010000}"/>
    <cellStyle name="40% - Accent3 3" xfId="34" xr:uid="{00000000-0005-0000-0000-0000EA010000}"/>
    <cellStyle name="40% - Accent3 3 10" xfId="2475" xr:uid="{00000000-0005-0000-0000-0000EB010000}"/>
    <cellStyle name="40% - Accent3 3 11" xfId="2474" xr:uid="{00000000-0005-0000-0000-0000EC010000}"/>
    <cellStyle name="40% - Accent3 3 12" xfId="2476" xr:uid="{00000000-0005-0000-0000-0000ED010000}"/>
    <cellStyle name="40% - Accent3 3 2" xfId="2473" xr:uid="{00000000-0005-0000-0000-0000EE010000}"/>
    <cellStyle name="40% - Accent3 3 3" xfId="2472" xr:uid="{00000000-0005-0000-0000-0000EF010000}"/>
    <cellStyle name="40% - Accent3 3 4" xfId="2471" xr:uid="{00000000-0005-0000-0000-0000F0010000}"/>
    <cellStyle name="40% - Accent3 3 5" xfId="2470" xr:uid="{00000000-0005-0000-0000-0000F1010000}"/>
    <cellStyle name="40% - Accent3 3 6" xfId="2469" xr:uid="{00000000-0005-0000-0000-0000F2010000}"/>
    <cellStyle name="40% - Accent3 3 7" xfId="2468" xr:uid="{00000000-0005-0000-0000-0000F3010000}"/>
    <cellStyle name="40% - Accent3 3 8" xfId="2467" xr:uid="{00000000-0005-0000-0000-0000F4010000}"/>
    <cellStyle name="40% - Accent3 3 9" xfId="2466" xr:uid="{00000000-0005-0000-0000-0000F5010000}"/>
    <cellStyle name="40% - Accent3 4" xfId="2465" xr:uid="{00000000-0005-0000-0000-0000F6010000}"/>
    <cellStyle name="40% - Accent3 4 10" xfId="2464" xr:uid="{00000000-0005-0000-0000-0000F7010000}"/>
    <cellStyle name="40% - Accent3 4 11" xfId="2463" xr:uid="{00000000-0005-0000-0000-0000F8010000}"/>
    <cellStyle name="40% - Accent3 4 2" xfId="2462" xr:uid="{00000000-0005-0000-0000-0000F9010000}"/>
    <cellStyle name="40% - Accent3 4 3" xfId="2461" xr:uid="{00000000-0005-0000-0000-0000FA010000}"/>
    <cellStyle name="40% - Accent3 4 4" xfId="2460" xr:uid="{00000000-0005-0000-0000-0000FB010000}"/>
    <cellStyle name="40% - Accent3 4 5" xfId="2459" xr:uid="{00000000-0005-0000-0000-0000FC010000}"/>
    <cellStyle name="40% - Accent3 4 6" xfId="2458" xr:uid="{00000000-0005-0000-0000-0000FD010000}"/>
    <cellStyle name="40% - Accent3 4 7" xfId="2457" xr:uid="{00000000-0005-0000-0000-0000FE010000}"/>
    <cellStyle name="40% - Accent3 4 8" xfId="2456" xr:uid="{00000000-0005-0000-0000-0000FF010000}"/>
    <cellStyle name="40% - Accent3 4 9" xfId="2455" xr:uid="{00000000-0005-0000-0000-000000020000}"/>
    <cellStyle name="40% - Accent3 5" xfId="2454" xr:uid="{00000000-0005-0000-0000-000001020000}"/>
    <cellStyle name="40% - Accent3 5 10" xfId="2453" xr:uid="{00000000-0005-0000-0000-000002020000}"/>
    <cellStyle name="40% - Accent3 5 11" xfId="2452" xr:uid="{00000000-0005-0000-0000-000003020000}"/>
    <cellStyle name="40% - Accent3 5 2" xfId="2451" xr:uid="{00000000-0005-0000-0000-000004020000}"/>
    <cellStyle name="40% - Accent3 5 3" xfId="2450" xr:uid="{00000000-0005-0000-0000-000005020000}"/>
    <cellStyle name="40% - Accent3 5 4" xfId="2449" xr:uid="{00000000-0005-0000-0000-000006020000}"/>
    <cellStyle name="40% - Accent3 5 5" xfId="2448" xr:uid="{00000000-0005-0000-0000-000007020000}"/>
    <cellStyle name="40% - Accent3 5 6" xfId="2447" xr:uid="{00000000-0005-0000-0000-000008020000}"/>
    <cellStyle name="40% - Accent3 5 7" xfId="2446" xr:uid="{00000000-0005-0000-0000-000009020000}"/>
    <cellStyle name="40% - Accent3 5 8" xfId="2445" xr:uid="{00000000-0005-0000-0000-00000A020000}"/>
    <cellStyle name="40% - Accent3 5 9" xfId="2444" xr:uid="{00000000-0005-0000-0000-00000B020000}"/>
    <cellStyle name="40% - Accent3 6" xfId="2443" xr:uid="{00000000-0005-0000-0000-00000C020000}"/>
    <cellStyle name="40% - Accent3 7" xfId="2442" xr:uid="{00000000-0005-0000-0000-00000D020000}"/>
    <cellStyle name="40% - Accent3 8" xfId="2441" xr:uid="{00000000-0005-0000-0000-00000E020000}"/>
    <cellStyle name="40% - Accent3 9" xfId="2440" xr:uid="{00000000-0005-0000-0000-00000F020000}"/>
    <cellStyle name="40% - Accent4 10" xfId="2439" xr:uid="{00000000-0005-0000-0000-000010020000}"/>
    <cellStyle name="40% - Accent4 11" xfId="2438" xr:uid="{00000000-0005-0000-0000-000011020000}"/>
    <cellStyle name="40% - Accent4 12" xfId="2437" xr:uid="{00000000-0005-0000-0000-000012020000}"/>
    <cellStyle name="40% - Accent4 13" xfId="2436" xr:uid="{00000000-0005-0000-0000-000013020000}"/>
    <cellStyle name="40% - Accent4 14" xfId="2435" xr:uid="{00000000-0005-0000-0000-000014020000}"/>
    <cellStyle name="40% - Accent4 15" xfId="2434" xr:uid="{00000000-0005-0000-0000-000015020000}"/>
    <cellStyle name="40% - Accent4 16" xfId="35" xr:uid="{00000000-0005-0000-0000-000016020000}"/>
    <cellStyle name="40% - Accent4 2" xfId="36" xr:uid="{00000000-0005-0000-0000-000017020000}"/>
    <cellStyle name="40% - Accent4 2 10" xfId="2432" xr:uid="{00000000-0005-0000-0000-000018020000}"/>
    <cellStyle name="40% - Accent4 2 11" xfId="2431" xr:uid="{00000000-0005-0000-0000-000019020000}"/>
    <cellStyle name="40% - Accent4 2 12" xfId="2433" xr:uid="{00000000-0005-0000-0000-00001A020000}"/>
    <cellStyle name="40% - Accent4 2 2" xfId="459" xr:uid="{00000000-0005-0000-0000-00001B020000}"/>
    <cellStyle name="40% - Accent4 2 2 2" xfId="2430" xr:uid="{00000000-0005-0000-0000-00001C020000}"/>
    <cellStyle name="40% - Accent4 2 3" xfId="2429" xr:uid="{00000000-0005-0000-0000-00001D020000}"/>
    <cellStyle name="40% - Accent4 2 4" xfId="2428" xr:uid="{00000000-0005-0000-0000-00001E020000}"/>
    <cellStyle name="40% - Accent4 2 5" xfId="2427" xr:uid="{00000000-0005-0000-0000-00001F020000}"/>
    <cellStyle name="40% - Accent4 2 6" xfId="2426" xr:uid="{00000000-0005-0000-0000-000020020000}"/>
    <cellStyle name="40% - Accent4 2 7" xfId="2425" xr:uid="{00000000-0005-0000-0000-000021020000}"/>
    <cellStyle name="40% - Accent4 2 8" xfId="2424" xr:uid="{00000000-0005-0000-0000-000022020000}"/>
    <cellStyle name="40% - Accent4 2 9" xfId="2423" xr:uid="{00000000-0005-0000-0000-000023020000}"/>
    <cellStyle name="40% - Accent4 3" xfId="37" xr:uid="{00000000-0005-0000-0000-000024020000}"/>
    <cellStyle name="40% - Accent4 3 10" xfId="2421" xr:uid="{00000000-0005-0000-0000-000025020000}"/>
    <cellStyle name="40% - Accent4 3 11" xfId="2420" xr:uid="{00000000-0005-0000-0000-000026020000}"/>
    <cellStyle name="40% - Accent4 3 12" xfId="2422" xr:uid="{00000000-0005-0000-0000-000027020000}"/>
    <cellStyle name="40% - Accent4 3 2" xfId="2419" xr:uid="{00000000-0005-0000-0000-000028020000}"/>
    <cellStyle name="40% - Accent4 3 3" xfId="2418" xr:uid="{00000000-0005-0000-0000-000029020000}"/>
    <cellStyle name="40% - Accent4 3 4" xfId="2417" xr:uid="{00000000-0005-0000-0000-00002A020000}"/>
    <cellStyle name="40% - Accent4 3 5" xfId="2416" xr:uid="{00000000-0005-0000-0000-00002B020000}"/>
    <cellStyle name="40% - Accent4 3 6" xfId="2415" xr:uid="{00000000-0005-0000-0000-00002C020000}"/>
    <cellStyle name="40% - Accent4 3 7" xfId="2414" xr:uid="{00000000-0005-0000-0000-00002D020000}"/>
    <cellStyle name="40% - Accent4 3 8" xfId="2413" xr:uid="{00000000-0005-0000-0000-00002E020000}"/>
    <cellStyle name="40% - Accent4 3 9" xfId="2412" xr:uid="{00000000-0005-0000-0000-00002F020000}"/>
    <cellStyle name="40% - Accent4 4" xfId="2411" xr:uid="{00000000-0005-0000-0000-000030020000}"/>
    <cellStyle name="40% - Accent4 4 10" xfId="2410" xr:uid="{00000000-0005-0000-0000-000031020000}"/>
    <cellStyle name="40% - Accent4 4 11" xfId="2409" xr:uid="{00000000-0005-0000-0000-000032020000}"/>
    <cellStyle name="40% - Accent4 4 2" xfId="2408" xr:uid="{00000000-0005-0000-0000-000033020000}"/>
    <cellStyle name="40% - Accent4 4 3" xfId="2407" xr:uid="{00000000-0005-0000-0000-000034020000}"/>
    <cellStyle name="40% - Accent4 4 4" xfId="2406" xr:uid="{00000000-0005-0000-0000-000035020000}"/>
    <cellStyle name="40% - Accent4 4 5" xfId="2405" xr:uid="{00000000-0005-0000-0000-000036020000}"/>
    <cellStyle name="40% - Accent4 4 6" xfId="2404" xr:uid="{00000000-0005-0000-0000-000037020000}"/>
    <cellStyle name="40% - Accent4 4 7" xfId="2403" xr:uid="{00000000-0005-0000-0000-000038020000}"/>
    <cellStyle name="40% - Accent4 4 8" xfId="2402" xr:uid="{00000000-0005-0000-0000-000039020000}"/>
    <cellStyle name="40% - Accent4 4 9" xfId="2401" xr:uid="{00000000-0005-0000-0000-00003A020000}"/>
    <cellStyle name="40% - Accent4 5" xfId="2400" xr:uid="{00000000-0005-0000-0000-00003B020000}"/>
    <cellStyle name="40% - Accent4 5 10" xfId="2399" xr:uid="{00000000-0005-0000-0000-00003C020000}"/>
    <cellStyle name="40% - Accent4 5 11" xfId="2398" xr:uid="{00000000-0005-0000-0000-00003D020000}"/>
    <cellStyle name="40% - Accent4 5 2" xfId="2397" xr:uid="{00000000-0005-0000-0000-00003E020000}"/>
    <cellStyle name="40% - Accent4 5 3" xfId="2396" xr:uid="{00000000-0005-0000-0000-00003F020000}"/>
    <cellStyle name="40% - Accent4 5 4" xfId="2395" xr:uid="{00000000-0005-0000-0000-000040020000}"/>
    <cellStyle name="40% - Accent4 5 5" xfId="2394" xr:uid="{00000000-0005-0000-0000-000041020000}"/>
    <cellStyle name="40% - Accent4 5 6" xfId="2393" xr:uid="{00000000-0005-0000-0000-000042020000}"/>
    <cellStyle name="40% - Accent4 5 7" xfId="2392" xr:uid="{00000000-0005-0000-0000-000043020000}"/>
    <cellStyle name="40% - Accent4 5 8" xfId="2391" xr:uid="{00000000-0005-0000-0000-000044020000}"/>
    <cellStyle name="40% - Accent4 5 9" xfId="2390" xr:uid="{00000000-0005-0000-0000-000045020000}"/>
    <cellStyle name="40% - Accent4 6" xfId="2389" xr:uid="{00000000-0005-0000-0000-000046020000}"/>
    <cellStyle name="40% - Accent4 7" xfId="2388" xr:uid="{00000000-0005-0000-0000-000047020000}"/>
    <cellStyle name="40% - Accent4 8" xfId="2387" xr:uid="{00000000-0005-0000-0000-000048020000}"/>
    <cellStyle name="40% - Accent4 9" xfId="2386" xr:uid="{00000000-0005-0000-0000-000049020000}"/>
    <cellStyle name="40% - Accent5 10" xfId="2385" xr:uid="{00000000-0005-0000-0000-00004A020000}"/>
    <cellStyle name="40% - Accent5 11" xfId="2384" xr:uid="{00000000-0005-0000-0000-00004B020000}"/>
    <cellStyle name="40% - Accent5 12" xfId="2383" xr:uid="{00000000-0005-0000-0000-00004C020000}"/>
    <cellStyle name="40% - Accent5 13" xfId="2382" xr:uid="{00000000-0005-0000-0000-00004D020000}"/>
    <cellStyle name="40% - Accent5 14" xfId="2381" xr:uid="{00000000-0005-0000-0000-00004E020000}"/>
    <cellStyle name="40% - Accent5 15" xfId="2380" xr:uid="{00000000-0005-0000-0000-00004F020000}"/>
    <cellStyle name="40% - Accent5 16" xfId="38" xr:uid="{00000000-0005-0000-0000-000050020000}"/>
    <cellStyle name="40% - Accent5 2" xfId="39" xr:uid="{00000000-0005-0000-0000-000051020000}"/>
    <cellStyle name="40% - Accent5 2 10" xfId="2378" xr:uid="{00000000-0005-0000-0000-000052020000}"/>
    <cellStyle name="40% - Accent5 2 11" xfId="2377" xr:uid="{00000000-0005-0000-0000-000053020000}"/>
    <cellStyle name="40% - Accent5 2 12" xfId="2379" xr:uid="{00000000-0005-0000-0000-000054020000}"/>
    <cellStyle name="40% - Accent5 2 2" xfId="461" xr:uid="{00000000-0005-0000-0000-000055020000}"/>
    <cellStyle name="40% - Accent5 2 2 2" xfId="2376" xr:uid="{00000000-0005-0000-0000-000056020000}"/>
    <cellStyle name="40% - Accent5 2 3" xfId="2375" xr:uid="{00000000-0005-0000-0000-000057020000}"/>
    <cellStyle name="40% - Accent5 2 4" xfId="2374" xr:uid="{00000000-0005-0000-0000-000058020000}"/>
    <cellStyle name="40% - Accent5 2 5" xfId="2373" xr:uid="{00000000-0005-0000-0000-000059020000}"/>
    <cellStyle name="40% - Accent5 2 6" xfId="2372" xr:uid="{00000000-0005-0000-0000-00005A020000}"/>
    <cellStyle name="40% - Accent5 2 7" xfId="2371" xr:uid="{00000000-0005-0000-0000-00005B020000}"/>
    <cellStyle name="40% - Accent5 2 8" xfId="2370" xr:uid="{00000000-0005-0000-0000-00005C020000}"/>
    <cellStyle name="40% - Accent5 2 9" xfId="2369" xr:uid="{00000000-0005-0000-0000-00005D020000}"/>
    <cellStyle name="40% - Accent5 3" xfId="40" xr:uid="{00000000-0005-0000-0000-00005E020000}"/>
    <cellStyle name="40% - Accent5 3 10" xfId="2367" xr:uid="{00000000-0005-0000-0000-00005F020000}"/>
    <cellStyle name="40% - Accent5 3 11" xfId="2366" xr:uid="{00000000-0005-0000-0000-000060020000}"/>
    <cellStyle name="40% - Accent5 3 12" xfId="2368" xr:uid="{00000000-0005-0000-0000-000061020000}"/>
    <cellStyle name="40% - Accent5 3 2" xfId="2365" xr:uid="{00000000-0005-0000-0000-000062020000}"/>
    <cellStyle name="40% - Accent5 3 3" xfId="2364" xr:uid="{00000000-0005-0000-0000-000063020000}"/>
    <cellStyle name="40% - Accent5 3 4" xfId="2363" xr:uid="{00000000-0005-0000-0000-000064020000}"/>
    <cellStyle name="40% - Accent5 3 5" xfId="2362" xr:uid="{00000000-0005-0000-0000-000065020000}"/>
    <cellStyle name="40% - Accent5 3 6" xfId="2361" xr:uid="{00000000-0005-0000-0000-000066020000}"/>
    <cellStyle name="40% - Accent5 3 7" xfId="2360" xr:uid="{00000000-0005-0000-0000-000067020000}"/>
    <cellStyle name="40% - Accent5 3 8" xfId="2359" xr:uid="{00000000-0005-0000-0000-000068020000}"/>
    <cellStyle name="40% - Accent5 3 9" xfId="2358" xr:uid="{00000000-0005-0000-0000-000069020000}"/>
    <cellStyle name="40% - Accent5 4" xfId="2357" xr:uid="{00000000-0005-0000-0000-00006A020000}"/>
    <cellStyle name="40% - Accent5 4 10" xfId="2356" xr:uid="{00000000-0005-0000-0000-00006B020000}"/>
    <cellStyle name="40% - Accent5 4 11" xfId="2355" xr:uid="{00000000-0005-0000-0000-00006C020000}"/>
    <cellStyle name="40% - Accent5 4 2" xfId="2354" xr:uid="{00000000-0005-0000-0000-00006D020000}"/>
    <cellStyle name="40% - Accent5 4 3" xfId="2353" xr:uid="{00000000-0005-0000-0000-00006E020000}"/>
    <cellStyle name="40% - Accent5 4 4" xfId="2352" xr:uid="{00000000-0005-0000-0000-00006F020000}"/>
    <cellStyle name="40% - Accent5 4 5" xfId="2351" xr:uid="{00000000-0005-0000-0000-000070020000}"/>
    <cellStyle name="40% - Accent5 4 6" xfId="2350" xr:uid="{00000000-0005-0000-0000-000071020000}"/>
    <cellStyle name="40% - Accent5 4 7" xfId="2349" xr:uid="{00000000-0005-0000-0000-000072020000}"/>
    <cellStyle name="40% - Accent5 4 8" xfId="2348" xr:uid="{00000000-0005-0000-0000-000073020000}"/>
    <cellStyle name="40% - Accent5 4 9" xfId="2347" xr:uid="{00000000-0005-0000-0000-000074020000}"/>
    <cellStyle name="40% - Accent5 5" xfId="2346" xr:uid="{00000000-0005-0000-0000-000075020000}"/>
    <cellStyle name="40% - Accent5 5 10" xfId="2345" xr:uid="{00000000-0005-0000-0000-000076020000}"/>
    <cellStyle name="40% - Accent5 5 11" xfId="2344" xr:uid="{00000000-0005-0000-0000-000077020000}"/>
    <cellStyle name="40% - Accent5 5 2" xfId="2343" xr:uid="{00000000-0005-0000-0000-000078020000}"/>
    <cellStyle name="40% - Accent5 5 3" xfId="2342" xr:uid="{00000000-0005-0000-0000-000079020000}"/>
    <cellStyle name="40% - Accent5 5 4" xfId="2341" xr:uid="{00000000-0005-0000-0000-00007A020000}"/>
    <cellStyle name="40% - Accent5 5 5" xfId="2340" xr:uid="{00000000-0005-0000-0000-00007B020000}"/>
    <cellStyle name="40% - Accent5 5 6" xfId="2339" xr:uid="{00000000-0005-0000-0000-00007C020000}"/>
    <cellStyle name="40% - Accent5 5 7" xfId="2338" xr:uid="{00000000-0005-0000-0000-00007D020000}"/>
    <cellStyle name="40% - Accent5 5 8" xfId="2337" xr:uid="{00000000-0005-0000-0000-00007E020000}"/>
    <cellStyle name="40% - Accent5 5 9" xfId="2336" xr:uid="{00000000-0005-0000-0000-00007F020000}"/>
    <cellStyle name="40% - Accent5 6" xfId="2335" xr:uid="{00000000-0005-0000-0000-000080020000}"/>
    <cellStyle name="40% - Accent5 7" xfId="2334" xr:uid="{00000000-0005-0000-0000-000081020000}"/>
    <cellStyle name="40% - Accent5 8" xfId="2333" xr:uid="{00000000-0005-0000-0000-000082020000}"/>
    <cellStyle name="40% - Accent5 9" xfId="2332" xr:uid="{00000000-0005-0000-0000-000083020000}"/>
    <cellStyle name="40% - Accent6 10" xfId="2331" xr:uid="{00000000-0005-0000-0000-000084020000}"/>
    <cellStyle name="40% - Accent6 11" xfId="2330" xr:uid="{00000000-0005-0000-0000-000085020000}"/>
    <cellStyle name="40% - Accent6 12" xfId="2329" xr:uid="{00000000-0005-0000-0000-000086020000}"/>
    <cellStyle name="40% - Accent6 13" xfId="2328" xr:uid="{00000000-0005-0000-0000-000087020000}"/>
    <cellStyle name="40% - Accent6 14" xfId="2327" xr:uid="{00000000-0005-0000-0000-000088020000}"/>
    <cellStyle name="40% - Accent6 15" xfId="2326" xr:uid="{00000000-0005-0000-0000-000089020000}"/>
    <cellStyle name="40% - Accent6 16" xfId="41" xr:uid="{00000000-0005-0000-0000-00008A020000}"/>
    <cellStyle name="40% - Accent6 2" xfId="42" xr:uid="{00000000-0005-0000-0000-00008B020000}"/>
    <cellStyle name="40% - Accent6 2 10" xfId="2324" xr:uid="{00000000-0005-0000-0000-00008C020000}"/>
    <cellStyle name="40% - Accent6 2 11" xfId="2323" xr:uid="{00000000-0005-0000-0000-00008D020000}"/>
    <cellStyle name="40% - Accent6 2 12" xfId="2325" xr:uid="{00000000-0005-0000-0000-00008E020000}"/>
    <cellStyle name="40% - Accent6 2 2" xfId="463" xr:uid="{00000000-0005-0000-0000-00008F020000}"/>
    <cellStyle name="40% - Accent6 2 2 2" xfId="2322" xr:uid="{00000000-0005-0000-0000-000090020000}"/>
    <cellStyle name="40% - Accent6 2 3" xfId="2321" xr:uid="{00000000-0005-0000-0000-000091020000}"/>
    <cellStyle name="40% - Accent6 2 4" xfId="2320" xr:uid="{00000000-0005-0000-0000-000092020000}"/>
    <cellStyle name="40% - Accent6 2 5" xfId="2319" xr:uid="{00000000-0005-0000-0000-000093020000}"/>
    <cellStyle name="40% - Accent6 2 6" xfId="2318" xr:uid="{00000000-0005-0000-0000-000094020000}"/>
    <cellStyle name="40% - Accent6 2 7" xfId="2317" xr:uid="{00000000-0005-0000-0000-000095020000}"/>
    <cellStyle name="40% - Accent6 2 8" xfId="2316" xr:uid="{00000000-0005-0000-0000-000096020000}"/>
    <cellStyle name="40% - Accent6 2 9" xfId="2315" xr:uid="{00000000-0005-0000-0000-000097020000}"/>
    <cellStyle name="40% - Accent6 3" xfId="43" xr:uid="{00000000-0005-0000-0000-000098020000}"/>
    <cellStyle name="40% - Accent6 3 10" xfId="2313" xr:uid="{00000000-0005-0000-0000-000099020000}"/>
    <cellStyle name="40% - Accent6 3 11" xfId="2312" xr:uid="{00000000-0005-0000-0000-00009A020000}"/>
    <cellStyle name="40% - Accent6 3 12" xfId="2314" xr:uid="{00000000-0005-0000-0000-00009B020000}"/>
    <cellStyle name="40% - Accent6 3 2" xfId="2311" xr:uid="{00000000-0005-0000-0000-00009C020000}"/>
    <cellStyle name="40% - Accent6 3 3" xfId="2310" xr:uid="{00000000-0005-0000-0000-00009D020000}"/>
    <cellStyle name="40% - Accent6 3 4" xfId="2309" xr:uid="{00000000-0005-0000-0000-00009E020000}"/>
    <cellStyle name="40% - Accent6 3 5" xfId="2308" xr:uid="{00000000-0005-0000-0000-00009F020000}"/>
    <cellStyle name="40% - Accent6 3 6" xfId="2307" xr:uid="{00000000-0005-0000-0000-0000A0020000}"/>
    <cellStyle name="40% - Accent6 3 7" xfId="2306" xr:uid="{00000000-0005-0000-0000-0000A1020000}"/>
    <cellStyle name="40% - Accent6 3 8" xfId="2305" xr:uid="{00000000-0005-0000-0000-0000A2020000}"/>
    <cellStyle name="40% - Accent6 3 9" xfId="2304" xr:uid="{00000000-0005-0000-0000-0000A3020000}"/>
    <cellStyle name="40% - Accent6 4" xfId="2303" xr:uid="{00000000-0005-0000-0000-0000A4020000}"/>
    <cellStyle name="40% - Accent6 4 10" xfId="2302" xr:uid="{00000000-0005-0000-0000-0000A5020000}"/>
    <cellStyle name="40% - Accent6 4 11" xfId="2301" xr:uid="{00000000-0005-0000-0000-0000A6020000}"/>
    <cellStyle name="40% - Accent6 4 2" xfId="2300" xr:uid="{00000000-0005-0000-0000-0000A7020000}"/>
    <cellStyle name="40% - Accent6 4 3" xfId="2299" xr:uid="{00000000-0005-0000-0000-0000A8020000}"/>
    <cellStyle name="40% - Accent6 4 4" xfId="2298" xr:uid="{00000000-0005-0000-0000-0000A9020000}"/>
    <cellStyle name="40% - Accent6 4 5" xfId="2297" xr:uid="{00000000-0005-0000-0000-0000AA020000}"/>
    <cellStyle name="40% - Accent6 4 6" xfId="2296" xr:uid="{00000000-0005-0000-0000-0000AB020000}"/>
    <cellStyle name="40% - Accent6 4 7" xfId="2295" xr:uid="{00000000-0005-0000-0000-0000AC020000}"/>
    <cellStyle name="40% - Accent6 4 8" xfId="2294" xr:uid="{00000000-0005-0000-0000-0000AD020000}"/>
    <cellStyle name="40% - Accent6 4 9" xfId="2293" xr:uid="{00000000-0005-0000-0000-0000AE020000}"/>
    <cellStyle name="40% - Accent6 5" xfId="2292" xr:uid="{00000000-0005-0000-0000-0000AF020000}"/>
    <cellStyle name="40% - Accent6 5 10" xfId="2291" xr:uid="{00000000-0005-0000-0000-0000B0020000}"/>
    <cellStyle name="40% - Accent6 5 11" xfId="2290" xr:uid="{00000000-0005-0000-0000-0000B1020000}"/>
    <cellStyle name="40% - Accent6 5 2" xfId="2289" xr:uid="{00000000-0005-0000-0000-0000B2020000}"/>
    <cellStyle name="40% - Accent6 5 3" xfId="2288" xr:uid="{00000000-0005-0000-0000-0000B3020000}"/>
    <cellStyle name="40% - Accent6 5 4" xfId="2287" xr:uid="{00000000-0005-0000-0000-0000B4020000}"/>
    <cellStyle name="40% - Accent6 5 5" xfId="2286" xr:uid="{00000000-0005-0000-0000-0000B5020000}"/>
    <cellStyle name="40% - Accent6 5 6" xfId="2285" xr:uid="{00000000-0005-0000-0000-0000B6020000}"/>
    <cellStyle name="40% - Accent6 5 7" xfId="2284" xr:uid="{00000000-0005-0000-0000-0000B7020000}"/>
    <cellStyle name="40% - Accent6 5 8" xfId="2283" xr:uid="{00000000-0005-0000-0000-0000B8020000}"/>
    <cellStyle name="40% - Accent6 5 9" xfId="2282" xr:uid="{00000000-0005-0000-0000-0000B9020000}"/>
    <cellStyle name="40% - Accent6 6" xfId="2281" xr:uid="{00000000-0005-0000-0000-0000BA020000}"/>
    <cellStyle name="40% - Accent6 7" xfId="2280" xr:uid="{00000000-0005-0000-0000-0000BB020000}"/>
    <cellStyle name="40% - Accent6 8" xfId="2279" xr:uid="{00000000-0005-0000-0000-0000BC020000}"/>
    <cellStyle name="40% - Accent6 9" xfId="2278" xr:uid="{00000000-0005-0000-0000-0000BD020000}"/>
    <cellStyle name="40% - ส่วนที่ถูกเน้น1" xfId="2277" xr:uid="{00000000-0005-0000-0000-0000BE020000}"/>
    <cellStyle name="40% - ส่วนที่ถูกเน้น2" xfId="2276" xr:uid="{00000000-0005-0000-0000-0000BF020000}"/>
    <cellStyle name="40% - ส่วนที่ถูกเน้น3" xfId="2275" xr:uid="{00000000-0005-0000-0000-0000C0020000}"/>
    <cellStyle name="40% - ส่วนที่ถูกเน้น4" xfId="2274" xr:uid="{00000000-0005-0000-0000-0000C1020000}"/>
    <cellStyle name="40% - ส่วนที่ถูกเน้น5" xfId="2273" xr:uid="{00000000-0005-0000-0000-0000C2020000}"/>
    <cellStyle name="40% - ส่วนที่ถูกเน้น6" xfId="2272" xr:uid="{00000000-0005-0000-0000-0000C3020000}"/>
    <cellStyle name="60% - Accent1 10" xfId="2271" xr:uid="{00000000-0005-0000-0000-0000C4020000}"/>
    <cellStyle name="60% - Accent1 11" xfId="2270" xr:uid="{00000000-0005-0000-0000-0000C5020000}"/>
    <cellStyle name="60% - Accent1 12" xfId="2269" xr:uid="{00000000-0005-0000-0000-0000C6020000}"/>
    <cellStyle name="60% - Accent1 13" xfId="2268" xr:uid="{00000000-0005-0000-0000-0000C7020000}"/>
    <cellStyle name="60% - Accent1 14" xfId="2267" xr:uid="{00000000-0005-0000-0000-0000C8020000}"/>
    <cellStyle name="60% - Accent1 15" xfId="2266" xr:uid="{00000000-0005-0000-0000-0000C9020000}"/>
    <cellStyle name="60% - Accent1 16" xfId="44" xr:uid="{00000000-0005-0000-0000-0000CA020000}"/>
    <cellStyle name="60% - Accent1 2" xfId="45" xr:uid="{00000000-0005-0000-0000-0000CB020000}"/>
    <cellStyle name="60% - Accent1 2 10" xfId="2264" xr:uid="{00000000-0005-0000-0000-0000CC020000}"/>
    <cellStyle name="60% - Accent1 2 11" xfId="2263" xr:uid="{00000000-0005-0000-0000-0000CD020000}"/>
    <cellStyle name="60% - Accent1 2 12" xfId="2265" xr:uid="{00000000-0005-0000-0000-0000CE020000}"/>
    <cellStyle name="60% - Accent1 2 2" xfId="465" xr:uid="{00000000-0005-0000-0000-0000CF020000}"/>
    <cellStyle name="60% - Accent1 2 2 2" xfId="2262" xr:uid="{00000000-0005-0000-0000-0000D0020000}"/>
    <cellStyle name="60% - Accent1 2 3" xfId="2261" xr:uid="{00000000-0005-0000-0000-0000D1020000}"/>
    <cellStyle name="60% - Accent1 2 4" xfId="2260" xr:uid="{00000000-0005-0000-0000-0000D2020000}"/>
    <cellStyle name="60% - Accent1 2 5" xfId="2259" xr:uid="{00000000-0005-0000-0000-0000D3020000}"/>
    <cellStyle name="60% - Accent1 2 6" xfId="2258" xr:uid="{00000000-0005-0000-0000-0000D4020000}"/>
    <cellStyle name="60% - Accent1 2 7" xfId="2257" xr:uid="{00000000-0005-0000-0000-0000D5020000}"/>
    <cellStyle name="60% - Accent1 2 8" xfId="2256" xr:uid="{00000000-0005-0000-0000-0000D6020000}"/>
    <cellStyle name="60% - Accent1 2 9" xfId="2255" xr:uid="{00000000-0005-0000-0000-0000D7020000}"/>
    <cellStyle name="60% - Accent1 3" xfId="46" xr:uid="{00000000-0005-0000-0000-0000D8020000}"/>
    <cellStyle name="60% - Accent1 3 10" xfId="2253" xr:uid="{00000000-0005-0000-0000-0000D9020000}"/>
    <cellStyle name="60% - Accent1 3 11" xfId="2252" xr:uid="{00000000-0005-0000-0000-0000DA020000}"/>
    <cellStyle name="60% - Accent1 3 12" xfId="2254" xr:uid="{00000000-0005-0000-0000-0000DB020000}"/>
    <cellStyle name="60% - Accent1 3 2" xfId="2251" xr:uid="{00000000-0005-0000-0000-0000DC020000}"/>
    <cellStyle name="60% - Accent1 3 3" xfId="2250" xr:uid="{00000000-0005-0000-0000-0000DD020000}"/>
    <cellStyle name="60% - Accent1 3 4" xfId="2249" xr:uid="{00000000-0005-0000-0000-0000DE020000}"/>
    <cellStyle name="60% - Accent1 3 5" xfId="2248" xr:uid="{00000000-0005-0000-0000-0000DF020000}"/>
    <cellStyle name="60% - Accent1 3 6" xfId="2247" xr:uid="{00000000-0005-0000-0000-0000E0020000}"/>
    <cellStyle name="60% - Accent1 3 7" xfId="2246" xr:uid="{00000000-0005-0000-0000-0000E1020000}"/>
    <cellStyle name="60% - Accent1 3 8" xfId="2245" xr:uid="{00000000-0005-0000-0000-0000E2020000}"/>
    <cellStyle name="60% - Accent1 3 9" xfId="2244" xr:uid="{00000000-0005-0000-0000-0000E3020000}"/>
    <cellStyle name="60% - Accent1 4" xfId="2243" xr:uid="{00000000-0005-0000-0000-0000E4020000}"/>
    <cellStyle name="60% - Accent1 4 10" xfId="2242" xr:uid="{00000000-0005-0000-0000-0000E5020000}"/>
    <cellStyle name="60% - Accent1 4 11" xfId="2241" xr:uid="{00000000-0005-0000-0000-0000E6020000}"/>
    <cellStyle name="60% - Accent1 4 2" xfId="2240" xr:uid="{00000000-0005-0000-0000-0000E7020000}"/>
    <cellStyle name="60% - Accent1 4 3" xfId="2239" xr:uid="{00000000-0005-0000-0000-0000E8020000}"/>
    <cellStyle name="60% - Accent1 4 4" xfId="2238" xr:uid="{00000000-0005-0000-0000-0000E9020000}"/>
    <cellStyle name="60% - Accent1 4 5" xfId="2237" xr:uid="{00000000-0005-0000-0000-0000EA020000}"/>
    <cellStyle name="60% - Accent1 4 6" xfId="2236" xr:uid="{00000000-0005-0000-0000-0000EB020000}"/>
    <cellStyle name="60% - Accent1 4 7" xfId="2235" xr:uid="{00000000-0005-0000-0000-0000EC020000}"/>
    <cellStyle name="60% - Accent1 4 8" xfId="2234" xr:uid="{00000000-0005-0000-0000-0000ED020000}"/>
    <cellStyle name="60% - Accent1 4 9" xfId="2233" xr:uid="{00000000-0005-0000-0000-0000EE020000}"/>
    <cellStyle name="60% - Accent1 5" xfId="2232" xr:uid="{00000000-0005-0000-0000-0000EF020000}"/>
    <cellStyle name="60% - Accent1 5 10" xfId="2231" xr:uid="{00000000-0005-0000-0000-0000F0020000}"/>
    <cellStyle name="60% - Accent1 5 11" xfId="2230" xr:uid="{00000000-0005-0000-0000-0000F1020000}"/>
    <cellStyle name="60% - Accent1 5 2" xfId="2229" xr:uid="{00000000-0005-0000-0000-0000F2020000}"/>
    <cellStyle name="60% - Accent1 5 3" xfId="2228" xr:uid="{00000000-0005-0000-0000-0000F3020000}"/>
    <cellStyle name="60% - Accent1 5 4" xfId="2227" xr:uid="{00000000-0005-0000-0000-0000F4020000}"/>
    <cellStyle name="60% - Accent1 5 5" xfId="2226" xr:uid="{00000000-0005-0000-0000-0000F5020000}"/>
    <cellStyle name="60% - Accent1 5 6" xfId="2225" xr:uid="{00000000-0005-0000-0000-0000F6020000}"/>
    <cellStyle name="60% - Accent1 5 7" xfId="2224" xr:uid="{00000000-0005-0000-0000-0000F7020000}"/>
    <cellStyle name="60% - Accent1 5 8" xfId="2223" xr:uid="{00000000-0005-0000-0000-0000F8020000}"/>
    <cellStyle name="60% - Accent1 5 9" xfId="2222" xr:uid="{00000000-0005-0000-0000-0000F9020000}"/>
    <cellStyle name="60% - Accent1 6" xfId="2221" xr:uid="{00000000-0005-0000-0000-0000FA020000}"/>
    <cellStyle name="60% - Accent1 7" xfId="2220" xr:uid="{00000000-0005-0000-0000-0000FB020000}"/>
    <cellStyle name="60% - Accent1 8" xfId="2219" xr:uid="{00000000-0005-0000-0000-0000FC020000}"/>
    <cellStyle name="60% - Accent1 9" xfId="2218" xr:uid="{00000000-0005-0000-0000-0000FD020000}"/>
    <cellStyle name="60% - Accent2 10" xfId="2217" xr:uid="{00000000-0005-0000-0000-0000FE020000}"/>
    <cellStyle name="60% - Accent2 11" xfId="2216" xr:uid="{00000000-0005-0000-0000-0000FF020000}"/>
    <cellStyle name="60% - Accent2 12" xfId="2215" xr:uid="{00000000-0005-0000-0000-000000030000}"/>
    <cellStyle name="60% - Accent2 13" xfId="2214" xr:uid="{00000000-0005-0000-0000-000001030000}"/>
    <cellStyle name="60% - Accent2 14" xfId="2213" xr:uid="{00000000-0005-0000-0000-000002030000}"/>
    <cellStyle name="60% - Accent2 15" xfId="2212" xr:uid="{00000000-0005-0000-0000-000003030000}"/>
    <cellStyle name="60% - Accent2 16" xfId="47" xr:uid="{00000000-0005-0000-0000-000004030000}"/>
    <cellStyle name="60% - Accent2 2" xfId="48" xr:uid="{00000000-0005-0000-0000-000005030000}"/>
    <cellStyle name="60% - Accent2 2 10" xfId="2210" xr:uid="{00000000-0005-0000-0000-000006030000}"/>
    <cellStyle name="60% - Accent2 2 11" xfId="2209" xr:uid="{00000000-0005-0000-0000-000007030000}"/>
    <cellStyle name="60% - Accent2 2 12" xfId="2211" xr:uid="{00000000-0005-0000-0000-000008030000}"/>
    <cellStyle name="60% - Accent2 2 2" xfId="467" xr:uid="{00000000-0005-0000-0000-000009030000}"/>
    <cellStyle name="60% - Accent2 2 2 2" xfId="2208" xr:uid="{00000000-0005-0000-0000-00000A030000}"/>
    <cellStyle name="60% - Accent2 2 3" xfId="2207" xr:uid="{00000000-0005-0000-0000-00000B030000}"/>
    <cellStyle name="60% - Accent2 2 4" xfId="2206" xr:uid="{00000000-0005-0000-0000-00000C030000}"/>
    <cellStyle name="60% - Accent2 2 5" xfId="2205" xr:uid="{00000000-0005-0000-0000-00000D030000}"/>
    <cellStyle name="60% - Accent2 2 6" xfId="2204" xr:uid="{00000000-0005-0000-0000-00000E030000}"/>
    <cellStyle name="60% - Accent2 2 7" xfId="2203" xr:uid="{00000000-0005-0000-0000-00000F030000}"/>
    <cellStyle name="60% - Accent2 2 8" xfId="2202" xr:uid="{00000000-0005-0000-0000-000010030000}"/>
    <cellStyle name="60% - Accent2 2 9" xfId="2201" xr:uid="{00000000-0005-0000-0000-000011030000}"/>
    <cellStyle name="60% - Accent2 3" xfId="49" xr:uid="{00000000-0005-0000-0000-000012030000}"/>
    <cellStyle name="60% - Accent2 3 10" xfId="2199" xr:uid="{00000000-0005-0000-0000-000013030000}"/>
    <cellStyle name="60% - Accent2 3 11" xfId="2198" xr:uid="{00000000-0005-0000-0000-000014030000}"/>
    <cellStyle name="60% - Accent2 3 12" xfId="2200" xr:uid="{00000000-0005-0000-0000-000015030000}"/>
    <cellStyle name="60% - Accent2 3 2" xfId="2197" xr:uid="{00000000-0005-0000-0000-000016030000}"/>
    <cellStyle name="60% - Accent2 3 3" xfId="2196" xr:uid="{00000000-0005-0000-0000-000017030000}"/>
    <cellStyle name="60% - Accent2 3 4" xfId="2195" xr:uid="{00000000-0005-0000-0000-000018030000}"/>
    <cellStyle name="60% - Accent2 3 5" xfId="2194" xr:uid="{00000000-0005-0000-0000-000019030000}"/>
    <cellStyle name="60% - Accent2 3 6" xfId="2193" xr:uid="{00000000-0005-0000-0000-00001A030000}"/>
    <cellStyle name="60% - Accent2 3 7" xfId="2192" xr:uid="{00000000-0005-0000-0000-00001B030000}"/>
    <cellStyle name="60% - Accent2 3 8" xfId="2191" xr:uid="{00000000-0005-0000-0000-00001C030000}"/>
    <cellStyle name="60% - Accent2 3 9" xfId="2190" xr:uid="{00000000-0005-0000-0000-00001D030000}"/>
    <cellStyle name="60% - Accent2 4" xfId="2189" xr:uid="{00000000-0005-0000-0000-00001E030000}"/>
    <cellStyle name="60% - Accent2 4 10" xfId="2188" xr:uid="{00000000-0005-0000-0000-00001F030000}"/>
    <cellStyle name="60% - Accent2 4 11" xfId="2187" xr:uid="{00000000-0005-0000-0000-000020030000}"/>
    <cellStyle name="60% - Accent2 4 2" xfId="2186" xr:uid="{00000000-0005-0000-0000-000021030000}"/>
    <cellStyle name="60% - Accent2 4 3" xfId="2185" xr:uid="{00000000-0005-0000-0000-000022030000}"/>
    <cellStyle name="60% - Accent2 4 4" xfId="2184" xr:uid="{00000000-0005-0000-0000-000023030000}"/>
    <cellStyle name="60% - Accent2 4 5" xfId="2183" xr:uid="{00000000-0005-0000-0000-000024030000}"/>
    <cellStyle name="60% - Accent2 4 6" xfId="2182" xr:uid="{00000000-0005-0000-0000-000025030000}"/>
    <cellStyle name="60% - Accent2 4 7" xfId="2181" xr:uid="{00000000-0005-0000-0000-000026030000}"/>
    <cellStyle name="60% - Accent2 4 8" xfId="2180" xr:uid="{00000000-0005-0000-0000-000027030000}"/>
    <cellStyle name="60% - Accent2 4 9" xfId="2179" xr:uid="{00000000-0005-0000-0000-000028030000}"/>
    <cellStyle name="60% - Accent2 5" xfId="2178" xr:uid="{00000000-0005-0000-0000-000029030000}"/>
    <cellStyle name="60% - Accent2 5 10" xfId="2177" xr:uid="{00000000-0005-0000-0000-00002A030000}"/>
    <cellStyle name="60% - Accent2 5 11" xfId="2176" xr:uid="{00000000-0005-0000-0000-00002B030000}"/>
    <cellStyle name="60% - Accent2 5 2" xfId="2175" xr:uid="{00000000-0005-0000-0000-00002C030000}"/>
    <cellStyle name="60% - Accent2 5 3" xfId="2174" xr:uid="{00000000-0005-0000-0000-00002D030000}"/>
    <cellStyle name="60% - Accent2 5 4" xfId="2173" xr:uid="{00000000-0005-0000-0000-00002E030000}"/>
    <cellStyle name="60% - Accent2 5 5" xfId="2172" xr:uid="{00000000-0005-0000-0000-00002F030000}"/>
    <cellStyle name="60% - Accent2 5 6" xfId="2171" xr:uid="{00000000-0005-0000-0000-000030030000}"/>
    <cellStyle name="60% - Accent2 5 7" xfId="2170" xr:uid="{00000000-0005-0000-0000-000031030000}"/>
    <cellStyle name="60% - Accent2 5 8" xfId="2169" xr:uid="{00000000-0005-0000-0000-000032030000}"/>
    <cellStyle name="60% - Accent2 5 9" xfId="2168" xr:uid="{00000000-0005-0000-0000-000033030000}"/>
    <cellStyle name="60% - Accent2 6" xfId="2167" xr:uid="{00000000-0005-0000-0000-000034030000}"/>
    <cellStyle name="60% - Accent2 7" xfId="2166" xr:uid="{00000000-0005-0000-0000-000035030000}"/>
    <cellStyle name="60% - Accent2 8" xfId="2165" xr:uid="{00000000-0005-0000-0000-000036030000}"/>
    <cellStyle name="60% - Accent2 9" xfId="2164" xr:uid="{00000000-0005-0000-0000-000037030000}"/>
    <cellStyle name="60% - Accent3 10" xfId="2163" xr:uid="{00000000-0005-0000-0000-000038030000}"/>
    <cellStyle name="60% - Accent3 11" xfId="2162" xr:uid="{00000000-0005-0000-0000-000039030000}"/>
    <cellStyle name="60% - Accent3 12" xfId="2161" xr:uid="{00000000-0005-0000-0000-00003A030000}"/>
    <cellStyle name="60% - Accent3 13" xfId="2160" xr:uid="{00000000-0005-0000-0000-00003B030000}"/>
    <cellStyle name="60% - Accent3 14" xfId="2159" xr:uid="{00000000-0005-0000-0000-00003C030000}"/>
    <cellStyle name="60% - Accent3 15" xfId="2158" xr:uid="{00000000-0005-0000-0000-00003D030000}"/>
    <cellStyle name="60% - Accent3 16" xfId="50" xr:uid="{00000000-0005-0000-0000-00003E030000}"/>
    <cellStyle name="60% - Accent3 2" xfId="51" xr:uid="{00000000-0005-0000-0000-00003F030000}"/>
    <cellStyle name="60% - Accent3 2 10" xfId="2156" xr:uid="{00000000-0005-0000-0000-000040030000}"/>
    <cellStyle name="60% - Accent3 2 11" xfId="2155" xr:uid="{00000000-0005-0000-0000-000041030000}"/>
    <cellStyle name="60% - Accent3 2 12" xfId="2157" xr:uid="{00000000-0005-0000-0000-000042030000}"/>
    <cellStyle name="60% - Accent3 2 2" xfId="469" xr:uid="{00000000-0005-0000-0000-000043030000}"/>
    <cellStyle name="60% - Accent3 2 2 2" xfId="2154" xr:uid="{00000000-0005-0000-0000-000044030000}"/>
    <cellStyle name="60% - Accent3 2 3" xfId="2153" xr:uid="{00000000-0005-0000-0000-000045030000}"/>
    <cellStyle name="60% - Accent3 2 4" xfId="2152" xr:uid="{00000000-0005-0000-0000-000046030000}"/>
    <cellStyle name="60% - Accent3 2 5" xfId="2151" xr:uid="{00000000-0005-0000-0000-000047030000}"/>
    <cellStyle name="60% - Accent3 2 6" xfId="2150" xr:uid="{00000000-0005-0000-0000-000048030000}"/>
    <cellStyle name="60% - Accent3 2 7" xfId="2149" xr:uid="{00000000-0005-0000-0000-000049030000}"/>
    <cellStyle name="60% - Accent3 2 8" xfId="2148" xr:uid="{00000000-0005-0000-0000-00004A030000}"/>
    <cellStyle name="60% - Accent3 2 9" xfId="2147" xr:uid="{00000000-0005-0000-0000-00004B030000}"/>
    <cellStyle name="60% - Accent3 3" xfId="52" xr:uid="{00000000-0005-0000-0000-00004C030000}"/>
    <cellStyle name="60% - Accent3 3 10" xfId="2145" xr:uid="{00000000-0005-0000-0000-00004D030000}"/>
    <cellStyle name="60% - Accent3 3 11" xfId="2144" xr:uid="{00000000-0005-0000-0000-00004E030000}"/>
    <cellStyle name="60% - Accent3 3 12" xfId="2146" xr:uid="{00000000-0005-0000-0000-00004F030000}"/>
    <cellStyle name="60% - Accent3 3 2" xfId="2143" xr:uid="{00000000-0005-0000-0000-000050030000}"/>
    <cellStyle name="60% - Accent3 3 3" xfId="2142" xr:uid="{00000000-0005-0000-0000-000051030000}"/>
    <cellStyle name="60% - Accent3 3 4" xfId="2141" xr:uid="{00000000-0005-0000-0000-000052030000}"/>
    <cellStyle name="60% - Accent3 3 5" xfId="2140" xr:uid="{00000000-0005-0000-0000-000053030000}"/>
    <cellStyle name="60% - Accent3 3 6" xfId="2139" xr:uid="{00000000-0005-0000-0000-000054030000}"/>
    <cellStyle name="60% - Accent3 3 7" xfId="2138" xr:uid="{00000000-0005-0000-0000-000055030000}"/>
    <cellStyle name="60% - Accent3 3 8" xfId="2137" xr:uid="{00000000-0005-0000-0000-000056030000}"/>
    <cellStyle name="60% - Accent3 3 9" xfId="2136" xr:uid="{00000000-0005-0000-0000-000057030000}"/>
    <cellStyle name="60% - Accent3 4" xfId="2135" xr:uid="{00000000-0005-0000-0000-000058030000}"/>
    <cellStyle name="60% - Accent3 4 10" xfId="2134" xr:uid="{00000000-0005-0000-0000-000059030000}"/>
    <cellStyle name="60% - Accent3 4 11" xfId="2133" xr:uid="{00000000-0005-0000-0000-00005A030000}"/>
    <cellStyle name="60% - Accent3 4 2" xfId="2132" xr:uid="{00000000-0005-0000-0000-00005B030000}"/>
    <cellStyle name="60% - Accent3 4 3" xfId="2131" xr:uid="{00000000-0005-0000-0000-00005C030000}"/>
    <cellStyle name="60% - Accent3 4 4" xfId="2130" xr:uid="{00000000-0005-0000-0000-00005D030000}"/>
    <cellStyle name="60% - Accent3 4 5" xfId="2129" xr:uid="{00000000-0005-0000-0000-00005E030000}"/>
    <cellStyle name="60% - Accent3 4 6" xfId="2128" xr:uid="{00000000-0005-0000-0000-00005F030000}"/>
    <cellStyle name="60% - Accent3 4 7" xfId="2127" xr:uid="{00000000-0005-0000-0000-000060030000}"/>
    <cellStyle name="60% - Accent3 4 8" xfId="2126" xr:uid="{00000000-0005-0000-0000-000061030000}"/>
    <cellStyle name="60% - Accent3 4 9" xfId="2125" xr:uid="{00000000-0005-0000-0000-000062030000}"/>
    <cellStyle name="60% - Accent3 5" xfId="2124" xr:uid="{00000000-0005-0000-0000-000063030000}"/>
    <cellStyle name="60% - Accent3 5 10" xfId="2123" xr:uid="{00000000-0005-0000-0000-000064030000}"/>
    <cellStyle name="60% - Accent3 5 11" xfId="2122" xr:uid="{00000000-0005-0000-0000-000065030000}"/>
    <cellStyle name="60% - Accent3 5 2" xfId="2121" xr:uid="{00000000-0005-0000-0000-000066030000}"/>
    <cellStyle name="60% - Accent3 5 3" xfId="2120" xr:uid="{00000000-0005-0000-0000-000067030000}"/>
    <cellStyle name="60% - Accent3 5 4" xfId="2119" xr:uid="{00000000-0005-0000-0000-000068030000}"/>
    <cellStyle name="60% - Accent3 5 5" xfId="2118" xr:uid="{00000000-0005-0000-0000-000069030000}"/>
    <cellStyle name="60% - Accent3 5 6" xfId="2117" xr:uid="{00000000-0005-0000-0000-00006A030000}"/>
    <cellStyle name="60% - Accent3 5 7" xfId="2116" xr:uid="{00000000-0005-0000-0000-00006B030000}"/>
    <cellStyle name="60% - Accent3 5 8" xfId="2115" xr:uid="{00000000-0005-0000-0000-00006C030000}"/>
    <cellStyle name="60% - Accent3 5 9" xfId="2114" xr:uid="{00000000-0005-0000-0000-00006D030000}"/>
    <cellStyle name="60% - Accent3 6" xfId="2113" xr:uid="{00000000-0005-0000-0000-00006E030000}"/>
    <cellStyle name="60% - Accent3 7" xfId="2112" xr:uid="{00000000-0005-0000-0000-00006F030000}"/>
    <cellStyle name="60% - Accent3 8" xfId="2111" xr:uid="{00000000-0005-0000-0000-000070030000}"/>
    <cellStyle name="60% - Accent3 9" xfId="2110" xr:uid="{00000000-0005-0000-0000-000071030000}"/>
    <cellStyle name="60% - Accent4 10" xfId="2109" xr:uid="{00000000-0005-0000-0000-000072030000}"/>
    <cellStyle name="60% - Accent4 11" xfId="2108" xr:uid="{00000000-0005-0000-0000-000073030000}"/>
    <cellStyle name="60% - Accent4 12" xfId="2107" xr:uid="{00000000-0005-0000-0000-000074030000}"/>
    <cellStyle name="60% - Accent4 13" xfId="2106" xr:uid="{00000000-0005-0000-0000-000075030000}"/>
    <cellStyle name="60% - Accent4 14" xfId="2105" xr:uid="{00000000-0005-0000-0000-000076030000}"/>
    <cellStyle name="60% - Accent4 15" xfId="2104" xr:uid="{00000000-0005-0000-0000-000077030000}"/>
    <cellStyle name="60% - Accent4 16" xfId="53" xr:uid="{00000000-0005-0000-0000-000078030000}"/>
    <cellStyle name="60% - Accent4 2" xfId="54" xr:uid="{00000000-0005-0000-0000-000079030000}"/>
    <cellStyle name="60% - Accent4 2 10" xfId="2102" xr:uid="{00000000-0005-0000-0000-00007A030000}"/>
    <cellStyle name="60% - Accent4 2 11" xfId="2101" xr:uid="{00000000-0005-0000-0000-00007B030000}"/>
    <cellStyle name="60% - Accent4 2 12" xfId="2103" xr:uid="{00000000-0005-0000-0000-00007C030000}"/>
    <cellStyle name="60% - Accent4 2 2" xfId="471" xr:uid="{00000000-0005-0000-0000-00007D030000}"/>
    <cellStyle name="60% - Accent4 2 2 2" xfId="2100" xr:uid="{00000000-0005-0000-0000-00007E030000}"/>
    <cellStyle name="60% - Accent4 2 3" xfId="2099" xr:uid="{00000000-0005-0000-0000-00007F030000}"/>
    <cellStyle name="60% - Accent4 2 4" xfId="2098" xr:uid="{00000000-0005-0000-0000-000080030000}"/>
    <cellStyle name="60% - Accent4 2 5" xfId="2097" xr:uid="{00000000-0005-0000-0000-000081030000}"/>
    <cellStyle name="60% - Accent4 2 6" xfId="2096" xr:uid="{00000000-0005-0000-0000-000082030000}"/>
    <cellStyle name="60% - Accent4 2 7" xfId="2095" xr:uid="{00000000-0005-0000-0000-000083030000}"/>
    <cellStyle name="60% - Accent4 2 8" xfId="2094" xr:uid="{00000000-0005-0000-0000-000084030000}"/>
    <cellStyle name="60% - Accent4 2 9" xfId="2093" xr:uid="{00000000-0005-0000-0000-000085030000}"/>
    <cellStyle name="60% - Accent4 3" xfId="55" xr:uid="{00000000-0005-0000-0000-000086030000}"/>
    <cellStyle name="60% - Accent4 3 10" xfId="2091" xr:uid="{00000000-0005-0000-0000-000087030000}"/>
    <cellStyle name="60% - Accent4 3 11" xfId="2090" xr:uid="{00000000-0005-0000-0000-000088030000}"/>
    <cellStyle name="60% - Accent4 3 12" xfId="2092" xr:uid="{00000000-0005-0000-0000-000089030000}"/>
    <cellStyle name="60% - Accent4 3 2" xfId="2089" xr:uid="{00000000-0005-0000-0000-00008A030000}"/>
    <cellStyle name="60% - Accent4 3 3" xfId="2088" xr:uid="{00000000-0005-0000-0000-00008B030000}"/>
    <cellStyle name="60% - Accent4 3 4" xfId="2087" xr:uid="{00000000-0005-0000-0000-00008C030000}"/>
    <cellStyle name="60% - Accent4 3 5" xfId="2086" xr:uid="{00000000-0005-0000-0000-00008D030000}"/>
    <cellStyle name="60% - Accent4 3 6" xfId="2085" xr:uid="{00000000-0005-0000-0000-00008E030000}"/>
    <cellStyle name="60% - Accent4 3 7" xfId="2084" xr:uid="{00000000-0005-0000-0000-00008F030000}"/>
    <cellStyle name="60% - Accent4 3 8" xfId="2083" xr:uid="{00000000-0005-0000-0000-000090030000}"/>
    <cellStyle name="60% - Accent4 3 9" xfId="2082" xr:uid="{00000000-0005-0000-0000-000091030000}"/>
    <cellStyle name="60% - Accent4 4" xfId="2081" xr:uid="{00000000-0005-0000-0000-000092030000}"/>
    <cellStyle name="60% - Accent4 4 10" xfId="2080" xr:uid="{00000000-0005-0000-0000-000093030000}"/>
    <cellStyle name="60% - Accent4 4 11" xfId="2079" xr:uid="{00000000-0005-0000-0000-000094030000}"/>
    <cellStyle name="60% - Accent4 4 2" xfId="2078" xr:uid="{00000000-0005-0000-0000-000095030000}"/>
    <cellStyle name="60% - Accent4 4 3" xfId="2077" xr:uid="{00000000-0005-0000-0000-000096030000}"/>
    <cellStyle name="60% - Accent4 4 4" xfId="2076" xr:uid="{00000000-0005-0000-0000-000097030000}"/>
    <cellStyle name="60% - Accent4 4 5" xfId="2075" xr:uid="{00000000-0005-0000-0000-000098030000}"/>
    <cellStyle name="60% - Accent4 4 6" xfId="2074" xr:uid="{00000000-0005-0000-0000-000099030000}"/>
    <cellStyle name="60% - Accent4 4 7" xfId="2073" xr:uid="{00000000-0005-0000-0000-00009A030000}"/>
    <cellStyle name="60% - Accent4 4 8" xfId="2072" xr:uid="{00000000-0005-0000-0000-00009B030000}"/>
    <cellStyle name="60% - Accent4 4 9" xfId="2071" xr:uid="{00000000-0005-0000-0000-00009C030000}"/>
    <cellStyle name="60% - Accent4 5" xfId="2070" xr:uid="{00000000-0005-0000-0000-00009D030000}"/>
    <cellStyle name="60% - Accent4 5 10" xfId="2069" xr:uid="{00000000-0005-0000-0000-00009E030000}"/>
    <cellStyle name="60% - Accent4 5 11" xfId="2068" xr:uid="{00000000-0005-0000-0000-00009F030000}"/>
    <cellStyle name="60% - Accent4 5 2" xfId="2067" xr:uid="{00000000-0005-0000-0000-0000A0030000}"/>
    <cellStyle name="60% - Accent4 5 3" xfId="2066" xr:uid="{00000000-0005-0000-0000-0000A1030000}"/>
    <cellStyle name="60% - Accent4 5 4" xfId="2065" xr:uid="{00000000-0005-0000-0000-0000A2030000}"/>
    <cellStyle name="60% - Accent4 5 5" xfId="2064" xr:uid="{00000000-0005-0000-0000-0000A3030000}"/>
    <cellStyle name="60% - Accent4 5 6" xfId="2063" xr:uid="{00000000-0005-0000-0000-0000A4030000}"/>
    <cellStyle name="60% - Accent4 5 7" xfId="2062" xr:uid="{00000000-0005-0000-0000-0000A5030000}"/>
    <cellStyle name="60% - Accent4 5 8" xfId="2061" xr:uid="{00000000-0005-0000-0000-0000A6030000}"/>
    <cellStyle name="60% - Accent4 5 9" xfId="2060" xr:uid="{00000000-0005-0000-0000-0000A7030000}"/>
    <cellStyle name="60% - Accent4 6" xfId="2059" xr:uid="{00000000-0005-0000-0000-0000A8030000}"/>
    <cellStyle name="60% - Accent4 7" xfId="2058" xr:uid="{00000000-0005-0000-0000-0000A9030000}"/>
    <cellStyle name="60% - Accent4 8" xfId="2057" xr:uid="{00000000-0005-0000-0000-0000AA030000}"/>
    <cellStyle name="60% - Accent4 9" xfId="2056" xr:uid="{00000000-0005-0000-0000-0000AB030000}"/>
    <cellStyle name="60% - Accent5 10" xfId="2055" xr:uid="{00000000-0005-0000-0000-0000AC030000}"/>
    <cellStyle name="60% - Accent5 11" xfId="2054" xr:uid="{00000000-0005-0000-0000-0000AD030000}"/>
    <cellStyle name="60% - Accent5 12" xfId="2053" xr:uid="{00000000-0005-0000-0000-0000AE030000}"/>
    <cellStyle name="60% - Accent5 13" xfId="2052" xr:uid="{00000000-0005-0000-0000-0000AF030000}"/>
    <cellStyle name="60% - Accent5 14" xfId="2051" xr:uid="{00000000-0005-0000-0000-0000B0030000}"/>
    <cellStyle name="60% - Accent5 15" xfId="2050" xr:uid="{00000000-0005-0000-0000-0000B1030000}"/>
    <cellStyle name="60% - Accent5 16" xfId="56" xr:uid="{00000000-0005-0000-0000-0000B2030000}"/>
    <cellStyle name="60% - Accent5 2" xfId="57" xr:uid="{00000000-0005-0000-0000-0000B3030000}"/>
    <cellStyle name="60% - Accent5 2 10" xfId="2048" xr:uid="{00000000-0005-0000-0000-0000B4030000}"/>
    <cellStyle name="60% - Accent5 2 11" xfId="2047" xr:uid="{00000000-0005-0000-0000-0000B5030000}"/>
    <cellStyle name="60% - Accent5 2 12" xfId="2049" xr:uid="{00000000-0005-0000-0000-0000B6030000}"/>
    <cellStyle name="60% - Accent5 2 2" xfId="473" xr:uid="{00000000-0005-0000-0000-0000B7030000}"/>
    <cellStyle name="60% - Accent5 2 2 2" xfId="2046" xr:uid="{00000000-0005-0000-0000-0000B8030000}"/>
    <cellStyle name="60% - Accent5 2 3" xfId="2045" xr:uid="{00000000-0005-0000-0000-0000B9030000}"/>
    <cellStyle name="60% - Accent5 2 4" xfId="2044" xr:uid="{00000000-0005-0000-0000-0000BA030000}"/>
    <cellStyle name="60% - Accent5 2 5" xfId="2043" xr:uid="{00000000-0005-0000-0000-0000BB030000}"/>
    <cellStyle name="60% - Accent5 2 6" xfId="2042" xr:uid="{00000000-0005-0000-0000-0000BC030000}"/>
    <cellStyle name="60% - Accent5 2 7" xfId="2041" xr:uid="{00000000-0005-0000-0000-0000BD030000}"/>
    <cellStyle name="60% - Accent5 2 8" xfId="2040" xr:uid="{00000000-0005-0000-0000-0000BE030000}"/>
    <cellStyle name="60% - Accent5 2 9" xfId="2039" xr:uid="{00000000-0005-0000-0000-0000BF030000}"/>
    <cellStyle name="60% - Accent5 3" xfId="58" xr:uid="{00000000-0005-0000-0000-0000C0030000}"/>
    <cellStyle name="60% - Accent5 3 10" xfId="2037" xr:uid="{00000000-0005-0000-0000-0000C1030000}"/>
    <cellStyle name="60% - Accent5 3 11" xfId="2036" xr:uid="{00000000-0005-0000-0000-0000C2030000}"/>
    <cellStyle name="60% - Accent5 3 12" xfId="2038" xr:uid="{00000000-0005-0000-0000-0000C3030000}"/>
    <cellStyle name="60% - Accent5 3 2" xfId="2035" xr:uid="{00000000-0005-0000-0000-0000C4030000}"/>
    <cellStyle name="60% - Accent5 3 3" xfId="2034" xr:uid="{00000000-0005-0000-0000-0000C5030000}"/>
    <cellStyle name="60% - Accent5 3 4" xfId="2033" xr:uid="{00000000-0005-0000-0000-0000C6030000}"/>
    <cellStyle name="60% - Accent5 3 5" xfId="2032" xr:uid="{00000000-0005-0000-0000-0000C7030000}"/>
    <cellStyle name="60% - Accent5 3 6" xfId="2031" xr:uid="{00000000-0005-0000-0000-0000C8030000}"/>
    <cellStyle name="60% - Accent5 3 7" xfId="2030" xr:uid="{00000000-0005-0000-0000-0000C9030000}"/>
    <cellStyle name="60% - Accent5 3 8" xfId="2029" xr:uid="{00000000-0005-0000-0000-0000CA030000}"/>
    <cellStyle name="60% - Accent5 3 9" xfId="2028" xr:uid="{00000000-0005-0000-0000-0000CB030000}"/>
    <cellStyle name="60% - Accent5 4" xfId="2027" xr:uid="{00000000-0005-0000-0000-0000CC030000}"/>
    <cellStyle name="60% - Accent5 4 10" xfId="2026" xr:uid="{00000000-0005-0000-0000-0000CD030000}"/>
    <cellStyle name="60% - Accent5 4 11" xfId="2025" xr:uid="{00000000-0005-0000-0000-0000CE030000}"/>
    <cellStyle name="60% - Accent5 4 2" xfId="2024" xr:uid="{00000000-0005-0000-0000-0000CF030000}"/>
    <cellStyle name="60% - Accent5 4 3" xfId="2023" xr:uid="{00000000-0005-0000-0000-0000D0030000}"/>
    <cellStyle name="60% - Accent5 4 4" xfId="2022" xr:uid="{00000000-0005-0000-0000-0000D1030000}"/>
    <cellStyle name="60% - Accent5 4 5" xfId="2021" xr:uid="{00000000-0005-0000-0000-0000D2030000}"/>
    <cellStyle name="60% - Accent5 4 6" xfId="2020" xr:uid="{00000000-0005-0000-0000-0000D3030000}"/>
    <cellStyle name="60% - Accent5 4 7" xfId="2019" xr:uid="{00000000-0005-0000-0000-0000D4030000}"/>
    <cellStyle name="60% - Accent5 4 8" xfId="2018" xr:uid="{00000000-0005-0000-0000-0000D5030000}"/>
    <cellStyle name="60% - Accent5 4 9" xfId="2017" xr:uid="{00000000-0005-0000-0000-0000D6030000}"/>
    <cellStyle name="60% - Accent5 5" xfId="2016" xr:uid="{00000000-0005-0000-0000-0000D7030000}"/>
    <cellStyle name="60% - Accent5 5 10" xfId="2015" xr:uid="{00000000-0005-0000-0000-0000D8030000}"/>
    <cellStyle name="60% - Accent5 5 11" xfId="2014" xr:uid="{00000000-0005-0000-0000-0000D9030000}"/>
    <cellStyle name="60% - Accent5 5 2" xfId="2013" xr:uid="{00000000-0005-0000-0000-0000DA030000}"/>
    <cellStyle name="60% - Accent5 5 3" xfId="2012" xr:uid="{00000000-0005-0000-0000-0000DB030000}"/>
    <cellStyle name="60% - Accent5 5 4" xfId="2011" xr:uid="{00000000-0005-0000-0000-0000DC030000}"/>
    <cellStyle name="60% - Accent5 5 5" xfId="2010" xr:uid="{00000000-0005-0000-0000-0000DD030000}"/>
    <cellStyle name="60% - Accent5 5 6" xfId="2009" xr:uid="{00000000-0005-0000-0000-0000DE030000}"/>
    <cellStyle name="60% - Accent5 5 7" xfId="2008" xr:uid="{00000000-0005-0000-0000-0000DF030000}"/>
    <cellStyle name="60% - Accent5 5 8" xfId="2007" xr:uid="{00000000-0005-0000-0000-0000E0030000}"/>
    <cellStyle name="60% - Accent5 5 9" xfId="2006" xr:uid="{00000000-0005-0000-0000-0000E1030000}"/>
    <cellStyle name="60% - Accent5 6" xfId="2005" xr:uid="{00000000-0005-0000-0000-0000E2030000}"/>
    <cellStyle name="60% - Accent5 7" xfId="2004" xr:uid="{00000000-0005-0000-0000-0000E3030000}"/>
    <cellStyle name="60% - Accent5 8" xfId="2003" xr:uid="{00000000-0005-0000-0000-0000E4030000}"/>
    <cellStyle name="60% - Accent5 9" xfId="2002" xr:uid="{00000000-0005-0000-0000-0000E5030000}"/>
    <cellStyle name="60% - Accent6 10" xfId="2001" xr:uid="{00000000-0005-0000-0000-0000E6030000}"/>
    <cellStyle name="60% - Accent6 11" xfId="2000" xr:uid="{00000000-0005-0000-0000-0000E7030000}"/>
    <cellStyle name="60% - Accent6 12" xfId="1999" xr:uid="{00000000-0005-0000-0000-0000E8030000}"/>
    <cellStyle name="60% - Accent6 13" xfId="1998" xr:uid="{00000000-0005-0000-0000-0000E9030000}"/>
    <cellStyle name="60% - Accent6 14" xfId="1997" xr:uid="{00000000-0005-0000-0000-0000EA030000}"/>
    <cellStyle name="60% - Accent6 15" xfId="1996" xr:uid="{00000000-0005-0000-0000-0000EB030000}"/>
    <cellStyle name="60% - Accent6 16" xfId="59" xr:uid="{00000000-0005-0000-0000-0000EC030000}"/>
    <cellStyle name="60% - Accent6 2" xfId="60" xr:uid="{00000000-0005-0000-0000-0000ED030000}"/>
    <cellStyle name="60% - Accent6 2 10" xfId="1994" xr:uid="{00000000-0005-0000-0000-0000EE030000}"/>
    <cellStyle name="60% - Accent6 2 11" xfId="1993" xr:uid="{00000000-0005-0000-0000-0000EF030000}"/>
    <cellStyle name="60% - Accent6 2 12" xfId="1995" xr:uid="{00000000-0005-0000-0000-0000F0030000}"/>
    <cellStyle name="60% - Accent6 2 2" xfId="475" xr:uid="{00000000-0005-0000-0000-0000F1030000}"/>
    <cellStyle name="60% - Accent6 2 2 2" xfId="1992" xr:uid="{00000000-0005-0000-0000-0000F2030000}"/>
    <cellStyle name="60% - Accent6 2 3" xfId="1991" xr:uid="{00000000-0005-0000-0000-0000F3030000}"/>
    <cellStyle name="60% - Accent6 2 4" xfId="1990" xr:uid="{00000000-0005-0000-0000-0000F4030000}"/>
    <cellStyle name="60% - Accent6 2 5" xfId="1989" xr:uid="{00000000-0005-0000-0000-0000F5030000}"/>
    <cellStyle name="60% - Accent6 2 6" xfId="1988" xr:uid="{00000000-0005-0000-0000-0000F6030000}"/>
    <cellStyle name="60% - Accent6 2 7" xfId="1987" xr:uid="{00000000-0005-0000-0000-0000F7030000}"/>
    <cellStyle name="60% - Accent6 2 8" xfId="1986" xr:uid="{00000000-0005-0000-0000-0000F8030000}"/>
    <cellStyle name="60% - Accent6 2 9" xfId="1985" xr:uid="{00000000-0005-0000-0000-0000F9030000}"/>
    <cellStyle name="60% - Accent6 3" xfId="61" xr:uid="{00000000-0005-0000-0000-0000FA030000}"/>
    <cellStyle name="60% - Accent6 3 10" xfId="1983" xr:uid="{00000000-0005-0000-0000-0000FB030000}"/>
    <cellStyle name="60% - Accent6 3 11" xfId="1982" xr:uid="{00000000-0005-0000-0000-0000FC030000}"/>
    <cellStyle name="60% - Accent6 3 12" xfId="1984" xr:uid="{00000000-0005-0000-0000-0000FD030000}"/>
    <cellStyle name="60% - Accent6 3 2" xfId="1981" xr:uid="{00000000-0005-0000-0000-0000FE030000}"/>
    <cellStyle name="60% - Accent6 3 3" xfId="1980" xr:uid="{00000000-0005-0000-0000-0000FF030000}"/>
    <cellStyle name="60% - Accent6 3 4" xfId="1979" xr:uid="{00000000-0005-0000-0000-000000040000}"/>
    <cellStyle name="60% - Accent6 3 5" xfId="1978" xr:uid="{00000000-0005-0000-0000-000001040000}"/>
    <cellStyle name="60% - Accent6 3 6" xfId="1977" xr:uid="{00000000-0005-0000-0000-000002040000}"/>
    <cellStyle name="60% - Accent6 3 7" xfId="1976" xr:uid="{00000000-0005-0000-0000-000003040000}"/>
    <cellStyle name="60% - Accent6 3 8" xfId="1975" xr:uid="{00000000-0005-0000-0000-000004040000}"/>
    <cellStyle name="60% - Accent6 3 9" xfId="1974" xr:uid="{00000000-0005-0000-0000-000005040000}"/>
    <cellStyle name="60% - Accent6 4" xfId="1973" xr:uid="{00000000-0005-0000-0000-000006040000}"/>
    <cellStyle name="60% - Accent6 4 10" xfId="1972" xr:uid="{00000000-0005-0000-0000-000007040000}"/>
    <cellStyle name="60% - Accent6 4 11" xfId="1971" xr:uid="{00000000-0005-0000-0000-000008040000}"/>
    <cellStyle name="60% - Accent6 4 2" xfId="1970" xr:uid="{00000000-0005-0000-0000-000009040000}"/>
    <cellStyle name="60% - Accent6 4 3" xfId="1969" xr:uid="{00000000-0005-0000-0000-00000A040000}"/>
    <cellStyle name="60% - Accent6 4 4" xfId="1968" xr:uid="{00000000-0005-0000-0000-00000B040000}"/>
    <cellStyle name="60% - Accent6 4 5" xfId="1967" xr:uid="{00000000-0005-0000-0000-00000C040000}"/>
    <cellStyle name="60% - Accent6 4 6" xfId="1966" xr:uid="{00000000-0005-0000-0000-00000D040000}"/>
    <cellStyle name="60% - Accent6 4 7" xfId="1965" xr:uid="{00000000-0005-0000-0000-00000E040000}"/>
    <cellStyle name="60% - Accent6 4 8" xfId="1964" xr:uid="{00000000-0005-0000-0000-00000F040000}"/>
    <cellStyle name="60% - Accent6 4 9" xfId="1963" xr:uid="{00000000-0005-0000-0000-000010040000}"/>
    <cellStyle name="60% - Accent6 5" xfId="1962" xr:uid="{00000000-0005-0000-0000-000011040000}"/>
    <cellStyle name="60% - Accent6 5 10" xfId="1961" xr:uid="{00000000-0005-0000-0000-000012040000}"/>
    <cellStyle name="60% - Accent6 5 11" xfId="1960" xr:uid="{00000000-0005-0000-0000-000013040000}"/>
    <cellStyle name="60% - Accent6 5 2" xfId="1959" xr:uid="{00000000-0005-0000-0000-000014040000}"/>
    <cellStyle name="60% - Accent6 5 3" xfId="1958" xr:uid="{00000000-0005-0000-0000-000015040000}"/>
    <cellStyle name="60% - Accent6 5 4" xfId="1957" xr:uid="{00000000-0005-0000-0000-000016040000}"/>
    <cellStyle name="60% - Accent6 5 5" xfId="1956" xr:uid="{00000000-0005-0000-0000-000017040000}"/>
    <cellStyle name="60% - Accent6 5 6" xfId="1955" xr:uid="{00000000-0005-0000-0000-000018040000}"/>
    <cellStyle name="60% - Accent6 5 7" xfId="1954" xr:uid="{00000000-0005-0000-0000-000019040000}"/>
    <cellStyle name="60% - Accent6 5 8" xfId="1953" xr:uid="{00000000-0005-0000-0000-00001A040000}"/>
    <cellStyle name="60% - Accent6 5 9" xfId="1952" xr:uid="{00000000-0005-0000-0000-00001B040000}"/>
    <cellStyle name="60% - Accent6 6" xfId="1951" xr:uid="{00000000-0005-0000-0000-00001C040000}"/>
    <cellStyle name="60% - Accent6 7" xfId="1950" xr:uid="{00000000-0005-0000-0000-00001D040000}"/>
    <cellStyle name="60% - Accent6 8" xfId="1949" xr:uid="{00000000-0005-0000-0000-00001E040000}"/>
    <cellStyle name="60% - Accent6 9" xfId="1948" xr:uid="{00000000-0005-0000-0000-00001F040000}"/>
    <cellStyle name="60% - ส่วนที่ถูกเน้น1" xfId="1947" xr:uid="{00000000-0005-0000-0000-000020040000}"/>
    <cellStyle name="60% - ส่วนที่ถูกเน้น2" xfId="1946" xr:uid="{00000000-0005-0000-0000-000021040000}"/>
    <cellStyle name="60% - ส่วนที่ถูกเน้น3" xfId="1945" xr:uid="{00000000-0005-0000-0000-000022040000}"/>
    <cellStyle name="60% - ส่วนที่ถูกเน้น4" xfId="1944" xr:uid="{00000000-0005-0000-0000-000023040000}"/>
    <cellStyle name="60% - ส่วนที่ถูกเน้น5" xfId="1943" xr:uid="{00000000-0005-0000-0000-000024040000}"/>
    <cellStyle name="60% - ส่วนที่ถูกเน้น6" xfId="1942" xr:uid="{00000000-0005-0000-0000-000025040000}"/>
    <cellStyle name="75" xfId="62" xr:uid="{00000000-0005-0000-0000-000026040000}"/>
    <cellStyle name="75 2" xfId="63" xr:uid="{00000000-0005-0000-0000-000027040000}"/>
    <cellStyle name="Accent1 - 20%" xfId="479" xr:uid="{00000000-0005-0000-0000-000028040000}"/>
    <cellStyle name="Accent1 - 40%" xfId="480" xr:uid="{00000000-0005-0000-0000-000029040000}"/>
    <cellStyle name="Accent1 - 60%" xfId="481" xr:uid="{00000000-0005-0000-0000-00002A040000}"/>
    <cellStyle name="Accent1 10" xfId="482" xr:uid="{00000000-0005-0000-0000-00002B040000}"/>
    <cellStyle name="Accent1 10 2" xfId="1941" xr:uid="{00000000-0005-0000-0000-00002C040000}"/>
    <cellStyle name="Accent1 100" xfId="483" xr:uid="{00000000-0005-0000-0000-00002D040000}"/>
    <cellStyle name="Accent1 101" xfId="484" xr:uid="{00000000-0005-0000-0000-00002E040000}"/>
    <cellStyle name="Accent1 102" xfId="485" xr:uid="{00000000-0005-0000-0000-00002F040000}"/>
    <cellStyle name="Accent1 103" xfId="486" xr:uid="{00000000-0005-0000-0000-000030040000}"/>
    <cellStyle name="Accent1 104" xfId="487" xr:uid="{00000000-0005-0000-0000-000031040000}"/>
    <cellStyle name="Accent1 105" xfId="488" xr:uid="{00000000-0005-0000-0000-000032040000}"/>
    <cellStyle name="Accent1 106" xfId="489" xr:uid="{00000000-0005-0000-0000-000033040000}"/>
    <cellStyle name="Accent1 107" xfId="490" xr:uid="{00000000-0005-0000-0000-000034040000}"/>
    <cellStyle name="Accent1 108" xfId="64" xr:uid="{00000000-0005-0000-0000-000035040000}"/>
    <cellStyle name="Accent1 11" xfId="491" xr:uid="{00000000-0005-0000-0000-000036040000}"/>
    <cellStyle name="Accent1 11 2" xfId="1940" xr:uid="{00000000-0005-0000-0000-000037040000}"/>
    <cellStyle name="Accent1 12" xfId="492" xr:uid="{00000000-0005-0000-0000-000038040000}"/>
    <cellStyle name="Accent1 12 2" xfId="1939" xr:uid="{00000000-0005-0000-0000-000039040000}"/>
    <cellStyle name="Accent1 13" xfId="493" xr:uid="{00000000-0005-0000-0000-00003A040000}"/>
    <cellStyle name="Accent1 13 2" xfId="1938" xr:uid="{00000000-0005-0000-0000-00003B040000}"/>
    <cellStyle name="Accent1 14" xfId="494" xr:uid="{00000000-0005-0000-0000-00003C040000}"/>
    <cellStyle name="Accent1 14 2" xfId="1937" xr:uid="{00000000-0005-0000-0000-00003D040000}"/>
    <cellStyle name="Accent1 15" xfId="495" xr:uid="{00000000-0005-0000-0000-00003E040000}"/>
    <cellStyle name="Accent1 15 2" xfId="1936" xr:uid="{00000000-0005-0000-0000-00003F040000}"/>
    <cellStyle name="Accent1 16" xfId="496" xr:uid="{00000000-0005-0000-0000-000040040000}"/>
    <cellStyle name="Accent1 17" xfId="497" xr:uid="{00000000-0005-0000-0000-000041040000}"/>
    <cellStyle name="Accent1 18" xfId="498" xr:uid="{00000000-0005-0000-0000-000042040000}"/>
    <cellStyle name="Accent1 19" xfId="499" xr:uid="{00000000-0005-0000-0000-000043040000}"/>
    <cellStyle name="Accent1 2" xfId="65" xr:uid="{00000000-0005-0000-0000-000044040000}"/>
    <cellStyle name="Accent1 2 10" xfId="1934" xr:uid="{00000000-0005-0000-0000-000045040000}"/>
    <cellStyle name="Accent1 2 11" xfId="1933" xr:uid="{00000000-0005-0000-0000-000046040000}"/>
    <cellStyle name="Accent1 2 12" xfId="1935" xr:uid="{00000000-0005-0000-0000-000047040000}"/>
    <cellStyle name="Accent1 2 2" xfId="500" xr:uid="{00000000-0005-0000-0000-000048040000}"/>
    <cellStyle name="Accent1 2 2 2" xfId="1932" xr:uid="{00000000-0005-0000-0000-000049040000}"/>
    <cellStyle name="Accent1 2 3" xfId="1931" xr:uid="{00000000-0005-0000-0000-00004A040000}"/>
    <cellStyle name="Accent1 2 4" xfId="1930" xr:uid="{00000000-0005-0000-0000-00004B040000}"/>
    <cellStyle name="Accent1 2 5" xfId="1929" xr:uid="{00000000-0005-0000-0000-00004C040000}"/>
    <cellStyle name="Accent1 2 6" xfId="1928" xr:uid="{00000000-0005-0000-0000-00004D040000}"/>
    <cellStyle name="Accent1 2 7" xfId="1927" xr:uid="{00000000-0005-0000-0000-00004E040000}"/>
    <cellStyle name="Accent1 2 8" xfId="1926" xr:uid="{00000000-0005-0000-0000-00004F040000}"/>
    <cellStyle name="Accent1 2 9" xfId="1925" xr:uid="{00000000-0005-0000-0000-000050040000}"/>
    <cellStyle name="Accent1 20" xfId="501" xr:uid="{00000000-0005-0000-0000-000051040000}"/>
    <cellStyle name="Accent1 21" xfId="502" xr:uid="{00000000-0005-0000-0000-000052040000}"/>
    <cellStyle name="Accent1 22" xfId="503" xr:uid="{00000000-0005-0000-0000-000053040000}"/>
    <cellStyle name="Accent1 23" xfId="504" xr:uid="{00000000-0005-0000-0000-000054040000}"/>
    <cellStyle name="Accent1 24" xfId="505" xr:uid="{00000000-0005-0000-0000-000055040000}"/>
    <cellStyle name="Accent1 25" xfId="506" xr:uid="{00000000-0005-0000-0000-000056040000}"/>
    <cellStyle name="Accent1 26" xfId="507" xr:uid="{00000000-0005-0000-0000-000057040000}"/>
    <cellStyle name="Accent1 27" xfId="508" xr:uid="{00000000-0005-0000-0000-000058040000}"/>
    <cellStyle name="Accent1 28" xfId="509" xr:uid="{00000000-0005-0000-0000-000059040000}"/>
    <cellStyle name="Accent1 29" xfId="510" xr:uid="{00000000-0005-0000-0000-00005A040000}"/>
    <cellStyle name="Accent1 3" xfId="66" xr:uid="{00000000-0005-0000-0000-00005B040000}"/>
    <cellStyle name="Accent1 3 10" xfId="1923" xr:uid="{00000000-0005-0000-0000-00005C040000}"/>
    <cellStyle name="Accent1 3 11" xfId="1922" xr:uid="{00000000-0005-0000-0000-00005D040000}"/>
    <cellStyle name="Accent1 3 12" xfId="1924" xr:uid="{00000000-0005-0000-0000-00005E040000}"/>
    <cellStyle name="Accent1 3 2" xfId="1921" xr:uid="{00000000-0005-0000-0000-00005F040000}"/>
    <cellStyle name="Accent1 3 3" xfId="1920" xr:uid="{00000000-0005-0000-0000-000060040000}"/>
    <cellStyle name="Accent1 3 4" xfId="1919" xr:uid="{00000000-0005-0000-0000-000061040000}"/>
    <cellStyle name="Accent1 3 5" xfId="1918" xr:uid="{00000000-0005-0000-0000-000062040000}"/>
    <cellStyle name="Accent1 3 6" xfId="1917" xr:uid="{00000000-0005-0000-0000-000063040000}"/>
    <cellStyle name="Accent1 3 7" xfId="1916" xr:uid="{00000000-0005-0000-0000-000064040000}"/>
    <cellStyle name="Accent1 3 8" xfId="1915" xr:uid="{00000000-0005-0000-0000-000065040000}"/>
    <cellStyle name="Accent1 3 9" xfId="1914" xr:uid="{00000000-0005-0000-0000-000066040000}"/>
    <cellStyle name="Accent1 30" xfId="512" xr:uid="{00000000-0005-0000-0000-000067040000}"/>
    <cellStyle name="Accent1 31" xfId="513" xr:uid="{00000000-0005-0000-0000-000068040000}"/>
    <cellStyle name="Accent1 32" xfId="514" xr:uid="{00000000-0005-0000-0000-000069040000}"/>
    <cellStyle name="Accent1 33" xfId="515" xr:uid="{00000000-0005-0000-0000-00006A040000}"/>
    <cellStyle name="Accent1 34" xfId="516" xr:uid="{00000000-0005-0000-0000-00006B040000}"/>
    <cellStyle name="Accent1 35" xfId="517" xr:uid="{00000000-0005-0000-0000-00006C040000}"/>
    <cellStyle name="Accent1 36" xfId="518" xr:uid="{00000000-0005-0000-0000-00006D040000}"/>
    <cellStyle name="Accent1 37" xfId="519" xr:uid="{00000000-0005-0000-0000-00006E040000}"/>
    <cellStyle name="Accent1 38" xfId="520" xr:uid="{00000000-0005-0000-0000-00006F040000}"/>
    <cellStyle name="Accent1 39" xfId="521" xr:uid="{00000000-0005-0000-0000-000070040000}"/>
    <cellStyle name="Accent1 4" xfId="522" xr:uid="{00000000-0005-0000-0000-000071040000}"/>
    <cellStyle name="Accent1 4 10" xfId="1912" xr:uid="{00000000-0005-0000-0000-000072040000}"/>
    <cellStyle name="Accent1 4 11" xfId="1911" xr:uid="{00000000-0005-0000-0000-000073040000}"/>
    <cellStyle name="Accent1 4 12" xfId="1913" xr:uid="{00000000-0005-0000-0000-000074040000}"/>
    <cellStyle name="Accent1 4 2" xfId="1910" xr:uid="{00000000-0005-0000-0000-000075040000}"/>
    <cellStyle name="Accent1 4 3" xfId="1909" xr:uid="{00000000-0005-0000-0000-000076040000}"/>
    <cellStyle name="Accent1 4 4" xfId="1908" xr:uid="{00000000-0005-0000-0000-000077040000}"/>
    <cellStyle name="Accent1 4 5" xfId="1907" xr:uid="{00000000-0005-0000-0000-000078040000}"/>
    <cellStyle name="Accent1 4 6" xfId="1906" xr:uid="{00000000-0005-0000-0000-000079040000}"/>
    <cellStyle name="Accent1 4 7" xfId="1905" xr:uid="{00000000-0005-0000-0000-00007A040000}"/>
    <cellStyle name="Accent1 4 8" xfId="1904" xr:uid="{00000000-0005-0000-0000-00007B040000}"/>
    <cellStyle name="Accent1 4 9" xfId="1903" xr:uid="{00000000-0005-0000-0000-00007C040000}"/>
    <cellStyle name="Accent1 40" xfId="523" xr:uid="{00000000-0005-0000-0000-00007D040000}"/>
    <cellStyle name="Accent1 41" xfId="524" xr:uid="{00000000-0005-0000-0000-00007E040000}"/>
    <cellStyle name="Accent1 42" xfId="525" xr:uid="{00000000-0005-0000-0000-00007F040000}"/>
    <cellStyle name="Accent1 43" xfId="526" xr:uid="{00000000-0005-0000-0000-000080040000}"/>
    <cellStyle name="Accent1 44" xfId="527" xr:uid="{00000000-0005-0000-0000-000081040000}"/>
    <cellStyle name="Accent1 45" xfId="528" xr:uid="{00000000-0005-0000-0000-000082040000}"/>
    <cellStyle name="Accent1 46" xfId="529" xr:uid="{00000000-0005-0000-0000-000083040000}"/>
    <cellStyle name="Accent1 47" xfId="530" xr:uid="{00000000-0005-0000-0000-000084040000}"/>
    <cellStyle name="Accent1 48" xfId="531" xr:uid="{00000000-0005-0000-0000-000085040000}"/>
    <cellStyle name="Accent1 49" xfId="532" xr:uid="{00000000-0005-0000-0000-000086040000}"/>
    <cellStyle name="Accent1 5" xfId="533" xr:uid="{00000000-0005-0000-0000-000087040000}"/>
    <cellStyle name="Accent1 5 10" xfId="1901" xr:uid="{00000000-0005-0000-0000-000088040000}"/>
    <cellStyle name="Accent1 5 11" xfId="1900" xr:uid="{00000000-0005-0000-0000-000089040000}"/>
    <cellStyle name="Accent1 5 12" xfId="1902" xr:uid="{00000000-0005-0000-0000-00008A040000}"/>
    <cellStyle name="Accent1 5 2" xfId="1899" xr:uid="{00000000-0005-0000-0000-00008B040000}"/>
    <cellStyle name="Accent1 5 3" xfId="1898" xr:uid="{00000000-0005-0000-0000-00008C040000}"/>
    <cellStyle name="Accent1 5 4" xfId="1897" xr:uid="{00000000-0005-0000-0000-00008D040000}"/>
    <cellStyle name="Accent1 5 5" xfId="1896" xr:uid="{00000000-0005-0000-0000-00008E040000}"/>
    <cellStyle name="Accent1 5 6" xfId="1895" xr:uid="{00000000-0005-0000-0000-00008F040000}"/>
    <cellStyle name="Accent1 5 7" xfId="1894" xr:uid="{00000000-0005-0000-0000-000090040000}"/>
    <cellStyle name="Accent1 5 8" xfId="1893" xr:uid="{00000000-0005-0000-0000-000091040000}"/>
    <cellStyle name="Accent1 5 9" xfId="1892" xr:uid="{00000000-0005-0000-0000-000092040000}"/>
    <cellStyle name="Accent1 50" xfId="534" xr:uid="{00000000-0005-0000-0000-000093040000}"/>
    <cellStyle name="Accent1 51" xfId="535" xr:uid="{00000000-0005-0000-0000-000094040000}"/>
    <cellStyle name="Accent1 52" xfId="536" xr:uid="{00000000-0005-0000-0000-000095040000}"/>
    <cellStyle name="Accent1 53" xfId="537" xr:uid="{00000000-0005-0000-0000-000096040000}"/>
    <cellStyle name="Accent1 54" xfId="538" xr:uid="{00000000-0005-0000-0000-000097040000}"/>
    <cellStyle name="Accent1 55" xfId="539" xr:uid="{00000000-0005-0000-0000-000098040000}"/>
    <cellStyle name="Accent1 56" xfId="540" xr:uid="{00000000-0005-0000-0000-000099040000}"/>
    <cellStyle name="Accent1 57" xfId="541" xr:uid="{00000000-0005-0000-0000-00009A040000}"/>
    <cellStyle name="Accent1 58" xfId="542" xr:uid="{00000000-0005-0000-0000-00009B040000}"/>
    <cellStyle name="Accent1 59" xfId="543" xr:uid="{00000000-0005-0000-0000-00009C040000}"/>
    <cellStyle name="Accent1 6" xfId="544" xr:uid="{00000000-0005-0000-0000-00009D040000}"/>
    <cellStyle name="Accent1 6 2" xfId="1891" xr:uid="{00000000-0005-0000-0000-00009E040000}"/>
    <cellStyle name="Accent1 60" xfId="545" xr:uid="{00000000-0005-0000-0000-00009F040000}"/>
    <cellStyle name="Accent1 61" xfId="546" xr:uid="{00000000-0005-0000-0000-0000A0040000}"/>
    <cellStyle name="Accent1 62" xfId="547" xr:uid="{00000000-0005-0000-0000-0000A1040000}"/>
    <cellStyle name="Accent1 63" xfId="548" xr:uid="{00000000-0005-0000-0000-0000A2040000}"/>
    <cellStyle name="Accent1 64" xfId="549" xr:uid="{00000000-0005-0000-0000-0000A3040000}"/>
    <cellStyle name="Accent1 65" xfId="550" xr:uid="{00000000-0005-0000-0000-0000A4040000}"/>
    <cellStyle name="Accent1 66" xfId="551" xr:uid="{00000000-0005-0000-0000-0000A5040000}"/>
    <cellStyle name="Accent1 67" xfId="552" xr:uid="{00000000-0005-0000-0000-0000A6040000}"/>
    <cellStyle name="Accent1 68" xfId="553" xr:uid="{00000000-0005-0000-0000-0000A7040000}"/>
    <cellStyle name="Accent1 69" xfId="554" xr:uid="{00000000-0005-0000-0000-0000A8040000}"/>
    <cellStyle name="Accent1 7" xfId="555" xr:uid="{00000000-0005-0000-0000-0000A9040000}"/>
    <cellStyle name="Accent1 7 2" xfId="1890" xr:uid="{00000000-0005-0000-0000-0000AA040000}"/>
    <cellStyle name="Accent1 70" xfId="556" xr:uid="{00000000-0005-0000-0000-0000AB040000}"/>
    <cellStyle name="Accent1 71" xfId="557" xr:uid="{00000000-0005-0000-0000-0000AC040000}"/>
    <cellStyle name="Accent1 72" xfId="558" xr:uid="{00000000-0005-0000-0000-0000AD040000}"/>
    <cellStyle name="Accent1 73" xfId="559" xr:uid="{00000000-0005-0000-0000-0000AE040000}"/>
    <cellStyle name="Accent1 74" xfId="560" xr:uid="{00000000-0005-0000-0000-0000AF040000}"/>
    <cellStyle name="Accent1 75" xfId="561" xr:uid="{00000000-0005-0000-0000-0000B0040000}"/>
    <cellStyle name="Accent1 76" xfId="562" xr:uid="{00000000-0005-0000-0000-0000B1040000}"/>
    <cellStyle name="Accent1 77" xfId="563" xr:uid="{00000000-0005-0000-0000-0000B2040000}"/>
    <cellStyle name="Accent1 78" xfId="564" xr:uid="{00000000-0005-0000-0000-0000B3040000}"/>
    <cellStyle name="Accent1 79" xfId="565" xr:uid="{00000000-0005-0000-0000-0000B4040000}"/>
    <cellStyle name="Accent1 8" xfId="566" xr:uid="{00000000-0005-0000-0000-0000B5040000}"/>
    <cellStyle name="Accent1 8 2" xfId="1889" xr:uid="{00000000-0005-0000-0000-0000B6040000}"/>
    <cellStyle name="Accent1 80" xfId="567" xr:uid="{00000000-0005-0000-0000-0000B7040000}"/>
    <cellStyle name="Accent1 81" xfId="568" xr:uid="{00000000-0005-0000-0000-0000B8040000}"/>
    <cellStyle name="Accent1 82" xfId="569" xr:uid="{00000000-0005-0000-0000-0000B9040000}"/>
    <cellStyle name="Accent1 83" xfId="570" xr:uid="{00000000-0005-0000-0000-0000BA040000}"/>
    <cellStyle name="Accent1 84" xfId="571" xr:uid="{00000000-0005-0000-0000-0000BB040000}"/>
    <cellStyle name="Accent1 85" xfId="572" xr:uid="{00000000-0005-0000-0000-0000BC040000}"/>
    <cellStyle name="Accent1 86" xfId="573" xr:uid="{00000000-0005-0000-0000-0000BD040000}"/>
    <cellStyle name="Accent1 87" xfId="574" xr:uid="{00000000-0005-0000-0000-0000BE040000}"/>
    <cellStyle name="Accent1 88" xfId="575" xr:uid="{00000000-0005-0000-0000-0000BF040000}"/>
    <cellStyle name="Accent1 89" xfId="576" xr:uid="{00000000-0005-0000-0000-0000C0040000}"/>
    <cellStyle name="Accent1 9" xfId="577" xr:uid="{00000000-0005-0000-0000-0000C1040000}"/>
    <cellStyle name="Accent1 9 2" xfId="1888" xr:uid="{00000000-0005-0000-0000-0000C2040000}"/>
    <cellStyle name="Accent1 90" xfId="578" xr:uid="{00000000-0005-0000-0000-0000C3040000}"/>
    <cellStyle name="Accent1 91" xfId="579" xr:uid="{00000000-0005-0000-0000-0000C4040000}"/>
    <cellStyle name="Accent1 92" xfId="580" xr:uid="{00000000-0005-0000-0000-0000C5040000}"/>
    <cellStyle name="Accent1 93" xfId="581" xr:uid="{00000000-0005-0000-0000-0000C6040000}"/>
    <cellStyle name="Accent1 94" xfId="582" xr:uid="{00000000-0005-0000-0000-0000C7040000}"/>
    <cellStyle name="Accent1 95" xfId="583" xr:uid="{00000000-0005-0000-0000-0000C8040000}"/>
    <cellStyle name="Accent1 96" xfId="584" xr:uid="{00000000-0005-0000-0000-0000C9040000}"/>
    <cellStyle name="Accent1 97" xfId="585" xr:uid="{00000000-0005-0000-0000-0000CA040000}"/>
    <cellStyle name="Accent1 98" xfId="586" xr:uid="{00000000-0005-0000-0000-0000CB040000}"/>
    <cellStyle name="Accent1 99" xfId="587" xr:uid="{00000000-0005-0000-0000-0000CC040000}"/>
    <cellStyle name="Accent2 - 20%" xfId="588" xr:uid="{00000000-0005-0000-0000-0000CD040000}"/>
    <cellStyle name="Accent2 - 40%" xfId="589" xr:uid="{00000000-0005-0000-0000-0000CE040000}"/>
    <cellStyle name="Accent2 - 60%" xfId="590" xr:uid="{00000000-0005-0000-0000-0000CF040000}"/>
    <cellStyle name="Accent2 10" xfId="591" xr:uid="{00000000-0005-0000-0000-0000D0040000}"/>
    <cellStyle name="Accent2 10 2" xfId="1887" xr:uid="{00000000-0005-0000-0000-0000D1040000}"/>
    <cellStyle name="Accent2 100" xfId="592" xr:uid="{00000000-0005-0000-0000-0000D2040000}"/>
    <cellStyle name="Accent2 101" xfId="593" xr:uid="{00000000-0005-0000-0000-0000D3040000}"/>
    <cellStyle name="Accent2 102" xfId="594" xr:uid="{00000000-0005-0000-0000-0000D4040000}"/>
    <cellStyle name="Accent2 103" xfId="595" xr:uid="{00000000-0005-0000-0000-0000D5040000}"/>
    <cellStyle name="Accent2 104" xfId="596" xr:uid="{00000000-0005-0000-0000-0000D6040000}"/>
    <cellStyle name="Accent2 105" xfId="597" xr:uid="{00000000-0005-0000-0000-0000D7040000}"/>
    <cellStyle name="Accent2 106" xfId="598" xr:uid="{00000000-0005-0000-0000-0000D8040000}"/>
    <cellStyle name="Accent2 107" xfId="599" xr:uid="{00000000-0005-0000-0000-0000D9040000}"/>
    <cellStyle name="Accent2 108" xfId="67" xr:uid="{00000000-0005-0000-0000-0000DA040000}"/>
    <cellStyle name="Accent2 11" xfId="600" xr:uid="{00000000-0005-0000-0000-0000DB040000}"/>
    <cellStyle name="Accent2 11 2" xfId="1886" xr:uid="{00000000-0005-0000-0000-0000DC040000}"/>
    <cellStyle name="Accent2 12" xfId="601" xr:uid="{00000000-0005-0000-0000-0000DD040000}"/>
    <cellStyle name="Accent2 12 2" xfId="1885" xr:uid="{00000000-0005-0000-0000-0000DE040000}"/>
    <cellStyle name="Accent2 13" xfId="602" xr:uid="{00000000-0005-0000-0000-0000DF040000}"/>
    <cellStyle name="Accent2 13 2" xfId="1884" xr:uid="{00000000-0005-0000-0000-0000E0040000}"/>
    <cellStyle name="Accent2 14" xfId="603" xr:uid="{00000000-0005-0000-0000-0000E1040000}"/>
    <cellStyle name="Accent2 14 2" xfId="1883" xr:uid="{00000000-0005-0000-0000-0000E2040000}"/>
    <cellStyle name="Accent2 15" xfId="604" xr:uid="{00000000-0005-0000-0000-0000E3040000}"/>
    <cellStyle name="Accent2 15 2" xfId="1882" xr:uid="{00000000-0005-0000-0000-0000E4040000}"/>
    <cellStyle name="Accent2 16" xfId="605" xr:uid="{00000000-0005-0000-0000-0000E5040000}"/>
    <cellStyle name="Accent2 17" xfId="606" xr:uid="{00000000-0005-0000-0000-0000E6040000}"/>
    <cellStyle name="Accent2 18" xfId="607" xr:uid="{00000000-0005-0000-0000-0000E7040000}"/>
    <cellStyle name="Accent2 19" xfId="608" xr:uid="{00000000-0005-0000-0000-0000E8040000}"/>
    <cellStyle name="Accent2 2" xfId="68" xr:uid="{00000000-0005-0000-0000-0000E9040000}"/>
    <cellStyle name="Accent2 2 10" xfId="1880" xr:uid="{00000000-0005-0000-0000-0000EA040000}"/>
    <cellStyle name="Accent2 2 11" xfId="1879" xr:uid="{00000000-0005-0000-0000-0000EB040000}"/>
    <cellStyle name="Accent2 2 12" xfId="1881" xr:uid="{00000000-0005-0000-0000-0000EC040000}"/>
    <cellStyle name="Accent2 2 2" xfId="609" xr:uid="{00000000-0005-0000-0000-0000ED040000}"/>
    <cellStyle name="Accent2 2 2 2" xfId="1878" xr:uid="{00000000-0005-0000-0000-0000EE040000}"/>
    <cellStyle name="Accent2 2 3" xfId="1877" xr:uid="{00000000-0005-0000-0000-0000EF040000}"/>
    <cellStyle name="Accent2 2 4" xfId="1876" xr:uid="{00000000-0005-0000-0000-0000F0040000}"/>
    <cellStyle name="Accent2 2 5" xfId="1875" xr:uid="{00000000-0005-0000-0000-0000F1040000}"/>
    <cellStyle name="Accent2 2 6" xfId="1874" xr:uid="{00000000-0005-0000-0000-0000F2040000}"/>
    <cellStyle name="Accent2 2 7" xfId="1873" xr:uid="{00000000-0005-0000-0000-0000F3040000}"/>
    <cellStyle name="Accent2 2 8" xfId="1872" xr:uid="{00000000-0005-0000-0000-0000F4040000}"/>
    <cellStyle name="Accent2 2 9" xfId="1871" xr:uid="{00000000-0005-0000-0000-0000F5040000}"/>
    <cellStyle name="Accent2 20" xfId="610" xr:uid="{00000000-0005-0000-0000-0000F6040000}"/>
    <cellStyle name="Accent2 21" xfId="611" xr:uid="{00000000-0005-0000-0000-0000F7040000}"/>
    <cellStyle name="Accent2 22" xfId="612" xr:uid="{00000000-0005-0000-0000-0000F8040000}"/>
    <cellStyle name="Accent2 23" xfId="613" xr:uid="{00000000-0005-0000-0000-0000F9040000}"/>
    <cellStyle name="Accent2 24" xfId="614" xr:uid="{00000000-0005-0000-0000-0000FA040000}"/>
    <cellStyle name="Accent2 25" xfId="615" xr:uid="{00000000-0005-0000-0000-0000FB040000}"/>
    <cellStyle name="Accent2 26" xfId="616" xr:uid="{00000000-0005-0000-0000-0000FC040000}"/>
    <cellStyle name="Accent2 27" xfId="617" xr:uid="{00000000-0005-0000-0000-0000FD040000}"/>
    <cellStyle name="Accent2 28" xfId="618" xr:uid="{00000000-0005-0000-0000-0000FE040000}"/>
    <cellStyle name="Accent2 29" xfId="619" xr:uid="{00000000-0005-0000-0000-0000FF040000}"/>
    <cellStyle name="Accent2 3" xfId="69" xr:uid="{00000000-0005-0000-0000-000000050000}"/>
    <cellStyle name="Accent2 3 10" xfId="1869" xr:uid="{00000000-0005-0000-0000-000001050000}"/>
    <cellStyle name="Accent2 3 11" xfId="1868" xr:uid="{00000000-0005-0000-0000-000002050000}"/>
    <cellStyle name="Accent2 3 12" xfId="1870" xr:uid="{00000000-0005-0000-0000-000003050000}"/>
    <cellStyle name="Accent2 3 2" xfId="1867" xr:uid="{00000000-0005-0000-0000-000004050000}"/>
    <cellStyle name="Accent2 3 3" xfId="1866" xr:uid="{00000000-0005-0000-0000-000005050000}"/>
    <cellStyle name="Accent2 3 4" xfId="1865" xr:uid="{00000000-0005-0000-0000-000006050000}"/>
    <cellStyle name="Accent2 3 5" xfId="1864" xr:uid="{00000000-0005-0000-0000-000007050000}"/>
    <cellStyle name="Accent2 3 6" xfId="1863" xr:uid="{00000000-0005-0000-0000-000008050000}"/>
    <cellStyle name="Accent2 3 7" xfId="1862" xr:uid="{00000000-0005-0000-0000-000009050000}"/>
    <cellStyle name="Accent2 3 8" xfId="1861" xr:uid="{00000000-0005-0000-0000-00000A050000}"/>
    <cellStyle name="Accent2 3 9" xfId="1860" xr:uid="{00000000-0005-0000-0000-00000B050000}"/>
    <cellStyle name="Accent2 30" xfId="621" xr:uid="{00000000-0005-0000-0000-00000C050000}"/>
    <cellStyle name="Accent2 31" xfId="622" xr:uid="{00000000-0005-0000-0000-00000D050000}"/>
    <cellStyle name="Accent2 32" xfId="623" xr:uid="{00000000-0005-0000-0000-00000E050000}"/>
    <cellStyle name="Accent2 33" xfId="624" xr:uid="{00000000-0005-0000-0000-00000F050000}"/>
    <cellStyle name="Accent2 34" xfId="625" xr:uid="{00000000-0005-0000-0000-000010050000}"/>
    <cellStyle name="Accent2 35" xfId="626" xr:uid="{00000000-0005-0000-0000-000011050000}"/>
    <cellStyle name="Accent2 36" xfId="627" xr:uid="{00000000-0005-0000-0000-000012050000}"/>
    <cellStyle name="Accent2 37" xfId="628" xr:uid="{00000000-0005-0000-0000-000013050000}"/>
    <cellStyle name="Accent2 38" xfId="629" xr:uid="{00000000-0005-0000-0000-000014050000}"/>
    <cellStyle name="Accent2 39" xfId="630" xr:uid="{00000000-0005-0000-0000-000015050000}"/>
    <cellStyle name="Accent2 4" xfId="631" xr:uid="{00000000-0005-0000-0000-000016050000}"/>
    <cellStyle name="Accent2 4 10" xfId="1858" xr:uid="{00000000-0005-0000-0000-000017050000}"/>
    <cellStyle name="Accent2 4 11" xfId="1857" xr:uid="{00000000-0005-0000-0000-000018050000}"/>
    <cellStyle name="Accent2 4 12" xfId="1859" xr:uid="{00000000-0005-0000-0000-000019050000}"/>
    <cellStyle name="Accent2 4 2" xfId="1856" xr:uid="{00000000-0005-0000-0000-00001A050000}"/>
    <cellStyle name="Accent2 4 3" xfId="1855" xr:uid="{00000000-0005-0000-0000-00001B050000}"/>
    <cellStyle name="Accent2 4 4" xfId="1854" xr:uid="{00000000-0005-0000-0000-00001C050000}"/>
    <cellStyle name="Accent2 4 5" xfId="1853" xr:uid="{00000000-0005-0000-0000-00001D050000}"/>
    <cellStyle name="Accent2 4 6" xfId="1852" xr:uid="{00000000-0005-0000-0000-00001E050000}"/>
    <cellStyle name="Accent2 4 7" xfId="1851" xr:uid="{00000000-0005-0000-0000-00001F050000}"/>
    <cellStyle name="Accent2 4 8" xfId="1850" xr:uid="{00000000-0005-0000-0000-000020050000}"/>
    <cellStyle name="Accent2 4 9" xfId="1849" xr:uid="{00000000-0005-0000-0000-000021050000}"/>
    <cellStyle name="Accent2 40" xfId="632" xr:uid="{00000000-0005-0000-0000-000022050000}"/>
    <cellStyle name="Accent2 41" xfId="633" xr:uid="{00000000-0005-0000-0000-000023050000}"/>
    <cellStyle name="Accent2 42" xfId="634" xr:uid="{00000000-0005-0000-0000-000024050000}"/>
    <cellStyle name="Accent2 43" xfId="635" xr:uid="{00000000-0005-0000-0000-000025050000}"/>
    <cellStyle name="Accent2 44" xfId="636" xr:uid="{00000000-0005-0000-0000-000026050000}"/>
    <cellStyle name="Accent2 45" xfId="637" xr:uid="{00000000-0005-0000-0000-000027050000}"/>
    <cellStyle name="Accent2 46" xfId="638" xr:uid="{00000000-0005-0000-0000-000028050000}"/>
    <cellStyle name="Accent2 47" xfId="639" xr:uid="{00000000-0005-0000-0000-000029050000}"/>
    <cellStyle name="Accent2 48" xfId="640" xr:uid="{00000000-0005-0000-0000-00002A050000}"/>
    <cellStyle name="Accent2 49" xfId="641" xr:uid="{00000000-0005-0000-0000-00002B050000}"/>
    <cellStyle name="Accent2 5" xfId="642" xr:uid="{00000000-0005-0000-0000-00002C050000}"/>
    <cellStyle name="Accent2 5 10" xfId="1847" xr:uid="{00000000-0005-0000-0000-00002D050000}"/>
    <cellStyle name="Accent2 5 11" xfId="1846" xr:uid="{00000000-0005-0000-0000-00002E050000}"/>
    <cellStyle name="Accent2 5 12" xfId="1848" xr:uid="{00000000-0005-0000-0000-00002F050000}"/>
    <cellStyle name="Accent2 5 2" xfId="1845" xr:uid="{00000000-0005-0000-0000-000030050000}"/>
    <cellStyle name="Accent2 5 3" xfId="1844" xr:uid="{00000000-0005-0000-0000-000031050000}"/>
    <cellStyle name="Accent2 5 4" xfId="1843" xr:uid="{00000000-0005-0000-0000-000032050000}"/>
    <cellStyle name="Accent2 5 5" xfId="1842" xr:uid="{00000000-0005-0000-0000-000033050000}"/>
    <cellStyle name="Accent2 5 6" xfId="1841" xr:uid="{00000000-0005-0000-0000-000034050000}"/>
    <cellStyle name="Accent2 5 7" xfId="1840" xr:uid="{00000000-0005-0000-0000-000035050000}"/>
    <cellStyle name="Accent2 5 8" xfId="1839" xr:uid="{00000000-0005-0000-0000-000036050000}"/>
    <cellStyle name="Accent2 5 9" xfId="1838" xr:uid="{00000000-0005-0000-0000-000037050000}"/>
    <cellStyle name="Accent2 50" xfId="643" xr:uid="{00000000-0005-0000-0000-000038050000}"/>
    <cellStyle name="Accent2 51" xfId="644" xr:uid="{00000000-0005-0000-0000-000039050000}"/>
    <cellStyle name="Accent2 52" xfId="645" xr:uid="{00000000-0005-0000-0000-00003A050000}"/>
    <cellStyle name="Accent2 53" xfId="646" xr:uid="{00000000-0005-0000-0000-00003B050000}"/>
    <cellStyle name="Accent2 54" xfId="647" xr:uid="{00000000-0005-0000-0000-00003C050000}"/>
    <cellStyle name="Accent2 55" xfId="648" xr:uid="{00000000-0005-0000-0000-00003D050000}"/>
    <cellStyle name="Accent2 56" xfId="649" xr:uid="{00000000-0005-0000-0000-00003E050000}"/>
    <cellStyle name="Accent2 57" xfId="650" xr:uid="{00000000-0005-0000-0000-00003F050000}"/>
    <cellStyle name="Accent2 58" xfId="651" xr:uid="{00000000-0005-0000-0000-000040050000}"/>
    <cellStyle name="Accent2 59" xfId="652" xr:uid="{00000000-0005-0000-0000-000041050000}"/>
    <cellStyle name="Accent2 6" xfId="653" xr:uid="{00000000-0005-0000-0000-000042050000}"/>
    <cellStyle name="Accent2 6 2" xfId="1837" xr:uid="{00000000-0005-0000-0000-000043050000}"/>
    <cellStyle name="Accent2 60" xfId="654" xr:uid="{00000000-0005-0000-0000-000044050000}"/>
    <cellStyle name="Accent2 61" xfId="655" xr:uid="{00000000-0005-0000-0000-000045050000}"/>
    <cellStyle name="Accent2 62" xfId="656" xr:uid="{00000000-0005-0000-0000-000046050000}"/>
    <cellStyle name="Accent2 63" xfId="657" xr:uid="{00000000-0005-0000-0000-000047050000}"/>
    <cellStyle name="Accent2 64" xfId="658" xr:uid="{00000000-0005-0000-0000-000048050000}"/>
    <cellStyle name="Accent2 65" xfId="659" xr:uid="{00000000-0005-0000-0000-000049050000}"/>
    <cellStyle name="Accent2 66" xfId="660" xr:uid="{00000000-0005-0000-0000-00004A050000}"/>
    <cellStyle name="Accent2 67" xfId="661" xr:uid="{00000000-0005-0000-0000-00004B050000}"/>
    <cellStyle name="Accent2 68" xfId="662" xr:uid="{00000000-0005-0000-0000-00004C050000}"/>
    <cellStyle name="Accent2 69" xfId="663" xr:uid="{00000000-0005-0000-0000-00004D050000}"/>
    <cellStyle name="Accent2 7" xfId="664" xr:uid="{00000000-0005-0000-0000-00004E050000}"/>
    <cellStyle name="Accent2 7 2" xfId="1836" xr:uid="{00000000-0005-0000-0000-00004F050000}"/>
    <cellStyle name="Accent2 70" xfId="665" xr:uid="{00000000-0005-0000-0000-000050050000}"/>
    <cellStyle name="Accent2 71" xfId="666" xr:uid="{00000000-0005-0000-0000-000051050000}"/>
    <cellStyle name="Accent2 72" xfId="667" xr:uid="{00000000-0005-0000-0000-000052050000}"/>
    <cellStyle name="Accent2 73" xfId="668" xr:uid="{00000000-0005-0000-0000-000053050000}"/>
    <cellStyle name="Accent2 74" xfId="669" xr:uid="{00000000-0005-0000-0000-000054050000}"/>
    <cellStyle name="Accent2 75" xfId="670" xr:uid="{00000000-0005-0000-0000-000055050000}"/>
    <cellStyle name="Accent2 76" xfId="671" xr:uid="{00000000-0005-0000-0000-000056050000}"/>
    <cellStyle name="Accent2 77" xfId="672" xr:uid="{00000000-0005-0000-0000-000057050000}"/>
    <cellStyle name="Accent2 78" xfId="673" xr:uid="{00000000-0005-0000-0000-000058050000}"/>
    <cellStyle name="Accent2 79" xfId="674" xr:uid="{00000000-0005-0000-0000-000059050000}"/>
    <cellStyle name="Accent2 8" xfId="675" xr:uid="{00000000-0005-0000-0000-00005A050000}"/>
    <cellStyle name="Accent2 8 2" xfId="1835" xr:uid="{00000000-0005-0000-0000-00005B050000}"/>
    <cellStyle name="Accent2 80" xfId="676" xr:uid="{00000000-0005-0000-0000-00005C050000}"/>
    <cellStyle name="Accent2 81" xfId="677" xr:uid="{00000000-0005-0000-0000-00005D050000}"/>
    <cellStyle name="Accent2 82" xfId="678" xr:uid="{00000000-0005-0000-0000-00005E050000}"/>
    <cellStyle name="Accent2 83" xfId="679" xr:uid="{00000000-0005-0000-0000-00005F050000}"/>
    <cellStyle name="Accent2 84" xfId="680" xr:uid="{00000000-0005-0000-0000-000060050000}"/>
    <cellStyle name="Accent2 85" xfId="681" xr:uid="{00000000-0005-0000-0000-000061050000}"/>
    <cellStyle name="Accent2 86" xfId="682" xr:uid="{00000000-0005-0000-0000-000062050000}"/>
    <cellStyle name="Accent2 87" xfId="683" xr:uid="{00000000-0005-0000-0000-000063050000}"/>
    <cellStyle name="Accent2 88" xfId="684" xr:uid="{00000000-0005-0000-0000-000064050000}"/>
    <cellStyle name="Accent2 89" xfId="685" xr:uid="{00000000-0005-0000-0000-000065050000}"/>
    <cellStyle name="Accent2 9" xfId="686" xr:uid="{00000000-0005-0000-0000-000066050000}"/>
    <cellStyle name="Accent2 9 2" xfId="1834" xr:uid="{00000000-0005-0000-0000-000067050000}"/>
    <cellStyle name="Accent2 90" xfId="687" xr:uid="{00000000-0005-0000-0000-000068050000}"/>
    <cellStyle name="Accent2 91" xfId="688" xr:uid="{00000000-0005-0000-0000-000069050000}"/>
    <cellStyle name="Accent2 92" xfId="689" xr:uid="{00000000-0005-0000-0000-00006A050000}"/>
    <cellStyle name="Accent2 93" xfId="690" xr:uid="{00000000-0005-0000-0000-00006B050000}"/>
    <cellStyle name="Accent2 94" xfId="691" xr:uid="{00000000-0005-0000-0000-00006C050000}"/>
    <cellStyle name="Accent2 95" xfId="692" xr:uid="{00000000-0005-0000-0000-00006D050000}"/>
    <cellStyle name="Accent2 96" xfId="693" xr:uid="{00000000-0005-0000-0000-00006E050000}"/>
    <cellStyle name="Accent2 97" xfId="694" xr:uid="{00000000-0005-0000-0000-00006F050000}"/>
    <cellStyle name="Accent2 98" xfId="695" xr:uid="{00000000-0005-0000-0000-000070050000}"/>
    <cellStyle name="Accent2 99" xfId="696" xr:uid="{00000000-0005-0000-0000-000071050000}"/>
    <cellStyle name="Accent3 - 20%" xfId="697" xr:uid="{00000000-0005-0000-0000-000072050000}"/>
    <cellStyle name="Accent3 - 40%" xfId="698" xr:uid="{00000000-0005-0000-0000-000073050000}"/>
    <cellStyle name="Accent3 - 60%" xfId="699" xr:uid="{00000000-0005-0000-0000-000074050000}"/>
    <cellStyle name="Accent3 10" xfId="700" xr:uid="{00000000-0005-0000-0000-000075050000}"/>
    <cellStyle name="Accent3 10 2" xfId="1833" xr:uid="{00000000-0005-0000-0000-000076050000}"/>
    <cellStyle name="Accent3 100" xfId="701" xr:uid="{00000000-0005-0000-0000-000077050000}"/>
    <cellStyle name="Accent3 101" xfId="702" xr:uid="{00000000-0005-0000-0000-000078050000}"/>
    <cellStyle name="Accent3 102" xfId="703" xr:uid="{00000000-0005-0000-0000-000079050000}"/>
    <cellStyle name="Accent3 103" xfId="704" xr:uid="{00000000-0005-0000-0000-00007A050000}"/>
    <cellStyle name="Accent3 104" xfId="705" xr:uid="{00000000-0005-0000-0000-00007B050000}"/>
    <cellStyle name="Accent3 105" xfId="706" xr:uid="{00000000-0005-0000-0000-00007C050000}"/>
    <cellStyle name="Accent3 106" xfId="707" xr:uid="{00000000-0005-0000-0000-00007D050000}"/>
    <cellStyle name="Accent3 107" xfId="708" xr:uid="{00000000-0005-0000-0000-00007E050000}"/>
    <cellStyle name="Accent3 108" xfId="70" xr:uid="{00000000-0005-0000-0000-00007F050000}"/>
    <cellStyle name="Accent3 11" xfId="709" xr:uid="{00000000-0005-0000-0000-000080050000}"/>
    <cellStyle name="Accent3 11 2" xfId="1832" xr:uid="{00000000-0005-0000-0000-000081050000}"/>
    <cellStyle name="Accent3 12" xfId="710" xr:uid="{00000000-0005-0000-0000-000082050000}"/>
    <cellStyle name="Accent3 12 2" xfId="1831" xr:uid="{00000000-0005-0000-0000-000083050000}"/>
    <cellStyle name="Accent3 13" xfId="711" xr:uid="{00000000-0005-0000-0000-000084050000}"/>
    <cellStyle name="Accent3 13 2" xfId="1830" xr:uid="{00000000-0005-0000-0000-000085050000}"/>
    <cellStyle name="Accent3 14" xfId="712" xr:uid="{00000000-0005-0000-0000-000086050000}"/>
    <cellStyle name="Accent3 14 2" xfId="1829" xr:uid="{00000000-0005-0000-0000-000087050000}"/>
    <cellStyle name="Accent3 15" xfId="713" xr:uid="{00000000-0005-0000-0000-000088050000}"/>
    <cellStyle name="Accent3 15 2" xfId="1828" xr:uid="{00000000-0005-0000-0000-000089050000}"/>
    <cellStyle name="Accent3 16" xfId="714" xr:uid="{00000000-0005-0000-0000-00008A050000}"/>
    <cellStyle name="Accent3 17" xfId="715" xr:uid="{00000000-0005-0000-0000-00008B050000}"/>
    <cellStyle name="Accent3 18" xfId="716" xr:uid="{00000000-0005-0000-0000-00008C050000}"/>
    <cellStyle name="Accent3 19" xfId="717" xr:uid="{00000000-0005-0000-0000-00008D050000}"/>
    <cellStyle name="Accent3 2" xfId="71" xr:uid="{00000000-0005-0000-0000-00008E050000}"/>
    <cellStyle name="Accent3 2 10" xfId="1826" xr:uid="{00000000-0005-0000-0000-00008F050000}"/>
    <cellStyle name="Accent3 2 11" xfId="1825" xr:uid="{00000000-0005-0000-0000-000090050000}"/>
    <cellStyle name="Accent3 2 12" xfId="1827" xr:uid="{00000000-0005-0000-0000-000091050000}"/>
    <cellStyle name="Accent3 2 2" xfId="718" xr:uid="{00000000-0005-0000-0000-000092050000}"/>
    <cellStyle name="Accent3 2 2 2" xfId="1824" xr:uid="{00000000-0005-0000-0000-000093050000}"/>
    <cellStyle name="Accent3 2 3" xfId="1823" xr:uid="{00000000-0005-0000-0000-000094050000}"/>
    <cellStyle name="Accent3 2 4" xfId="1822" xr:uid="{00000000-0005-0000-0000-000095050000}"/>
    <cellStyle name="Accent3 2 5" xfId="1821" xr:uid="{00000000-0005-0000-0000-000096050000}"/>
    <cellStyle name="Accent3 2 6" xfId="1820" xr:uid="{00000000-0005-0000-0000-000097050000}"/>
    <cellStyle name="Accent3 2 7" xfId="1819" xr:uid="{00000000-0005-0000-0000-000098050000}"/>
    <cellStyle name="Accent3 2 8" xfId="1818" xr:uid="{00000000-0005-0000-0000-000099050000}"/>
    <cellStyle name="Accent3 2 9" xfId="1817" xr:uid="{00000000-0005-0000-0000-00009A050000}"/>
    <cellStyle name="Accent3 20" xfId="719" xr:uid="{00000000-0005-0000-0000-00009B050000}"/>
    <cellStyle name="Accent3 21" xfId="720" xr:uid="{00000000-0005-0000-0000-00009C050000}"/>
    <cellStyle name="Accent3 22" xfId="721" xr:uid="{00000000-0005-0000-0000-00009D050000}"/>
    <cellStyle name="Accent3 23" xfId="722" xr:uid="{00000000-0005-0000-0000-00009E050000}"/>
    <cellStyle name="Accent3 24" xfId="723" xr:uid="{00000000-0005-0000-0000-00009F050000}"/>
    <cellStyle name="Accent3 25" xfId="724" xr:uid="{00000000-0005-0000-0000-0000A0050000}"/>
    <cellStyle name="Accent3 26" xfId="725" xr:uid="{00000000-0005-0000-0000-0000A1050000}"/>
    <cellStyle name="Accent3 27" xfId="726" xr:uid="{00000000-0005-0000-0000-0000A2050000}"/>
    <cellStyle name="Accent3 28" xfId="727" xr:uid="{00000000-0005-0000-0000-0000A3050000}"/>
    <cellStyle name="Accent3 29" xfId="728" xr:uid="{00000000-0005-0000-0000-0000A4050000}"/>
    <cellStyle name="Accent3 3" xfId="72" xr:uid="{00000000-0005-0000-0000-0000A5050000}"/>
    <cellStyle name="Accent3 3 10" xfId="1815" xr:uid="{00000000-0005-0000-0000-0000A6050000}"/>
    <cellStyle name="Accent3 3 11" xfId="1814" xr:uid="{00000000-0005-0000-0000-0000A7050000}"/>
    <cellStyle name="Accent3 3 12" xfId="1816" xr:uid="{00000000-0005-0000-0000-0000A8050000}"/>
    <cellStyle name="Accent3 3 2" xfId="1813" xr:uid="{00000000-0005-0000-0000-0000A9050000}"/>
    <cellStyle name="Accent3 3 3" xfId="1812" xr:uid="{00000000-0005-0000-0000-0000AA050000}"/>
    <cellStyle name="Accent3 3 4" xfId="1811" xr:uid="{00000000-0005-0000-0000-0000AB050000}"/>
    <cellStyle name="Accent3 3 5" xfId="1810" xr:uid="{00000000-0005-0000-0000-0000AC050000}"/>
    <cellStyle name="Accent3 3 6" xfId="1809" xr:uid="{00000000-0005-0000-0000-0000AD050000}"/>
    <cellStyle name="Accent3 3 7" xfId="1808" xr:uid="{00000000-0005-0000-0000-0000AE050000}"/>
    <cellStyle name="Accent3 3 8" xfId="1807" xr:uid="{00000000-0005-0000-0000-0000AF050000}"/>
    <cellStyle name="Accent3 3 9" xfId="1806" xr:uid="{00000000-0005-0000-0000-0000B0050000}"/>
    <cellStyle name="Accent3 30" xfId="730" xr:uid="{00000000-0005-0000-0000-0000B1050000}"/>
    <cellStyle name="Accent3 31" xfId="731" xr:uid="{00000000-0005-0000-0000-0000B2050000}"/>
    <cellStyle name="Accent3 32" xfId="732" xr:uid="{00000000-0005-0000-0000-0000B3050000}"/>
    <cellStyle name="Accent3 33" xfId="733" xr:uid="{00000000-0005-0000-0000-0000B4050000}"/>
    <cellStyle name="Accent3 34" xfId="734" xr:uid="{00000000-0005-0000-0000-0000B5050000}"/>
    <cellStyle name="Accent3 35" xfId="735" xr:uid="{00000000-0005-0000-0000-0000B6050000}"/>
    <cellStyle name="Accent3 36" xfId="736" xr:uid="{00000000-0005-0000-0000-0000B7050000}"/>
    <cellStyle name="Accent3 37" xfId="737" xr:uid="{00000000-0005-0000-0000-0000B8050000}"/>
    <cellStyle name="Accent3 38" xfId="738" xr:uid="{00000000-0005-0000-0000-0000B9050000}"/>
    <cellStyle name="Accent3 39" xfId="739" xr:uid="{00000000-0005-0000-0000-0000BA050000}"/>
    <cellStyle name="Accent3 4" xfId="740" xr:uid="{00000000-0005-0000-0000-0000BB050000}"/>
    <cellStyle name="Accent3 4 10" xfId="1804" xr:uid="{00000000-0005-0000-0000-0000BC050000}"/>
    <cellStyle name="Accent3 4 11" xfId="1803" xr:uid="{00000000-0005-0000-0000-0000BD050000}"/>
    <cellStyle name="Accent3 4 12" xfId="1805" xr:uid="{00000000-0005-0000-0000-0000BE050000}"/>
    <cellStyle name="Accent3 4 2" xfId="1802" xr:uid="{00000000-0005-0000-0000-0000BF050000}"/>
    <cellStyle name="Accent3 4 3" xfId="1801" xr:uid="{00000000-0005-0000-0000-0000C0050000}"/>
    <cellStyle name="Accent3 4 4" xfId="1800" xr:uid="{00000000-0005-0000-0000-0000C1050000}"/>
    <cellStyle name="Accent3 4 5" xfId="1799" xr:uid="{00000000-0005-0000-0000-0000C2050000}"/>
    <cellStyle name="Accent3 4 6" xfId="1798" xr:uid="{00000000-0005-0000-0000-0000C3050000}"/>
    <cellStyle name="Accent3 4 7" xfId="1797" xr:uid="{00000000-0005-0000-0000-0000C4050000}"/>
    <cellStyle name="Accent3 4 8" xfId="1796" xr:uid="{00000000-0005-0000-0000-0000C5050000}"/>
    <cellStyle name="Accent3 4 9" xfId="1795" xr:uid="{00000000-0005-0000-0000-0000C6050000}"/>
    <cellStyle name="Accent3 40" xfId="741" xr:uid="{00000000-0005-0000-0000-0000C7050000}"/>
    <cellStyle name="Accent3 41" xfId="742" xr:uid="{00000000-0005-0000-0000-0000C8050000}"/>
    <cellStyle name="Accent3 42" xfId="743" xr:uid="{00000000-0005-0000-0000-0000C9050000}"/>
    <cellStyle name="Accent3 43" xfId="744" xr:uid="{00000000-0005-0000-0000-0000CA050000}"/>
    <cellStyle name="Accent3 44" xfId="745" xr:uid="{00000000-0005-0000-0000-0000CB050000}"/>
    <cellStyle name="Accent3 45" xfId="746" xr:uid="{00000000-0005-0000-0000-0000CC050000}"/>
    <cellStyle name="Accent3 46" xfId="747" xr:uid="{00000000-0005-0000-0000-0000CD050000}"/>
    <cellStyle name="Accent3 47" xfId="748" xr:uid="{00000000-0005-0000-0000-0000CE050000}"/>
    <cellStyle name="Accent3 48" xfId="749" xr:uid="{00000000-0005-0000-0000-0000CF050000}"/>
    <cellStyle name="Accent3 49" xfId="750" xr:uid="{00000000-0005-0000-0000-0000D0050000}"/>
    <cellStyle name="Accent3 5" xfId="751" xr:uid="{00000000-0005-0000-0000-0000D1050000}"/>
    <cellStyle name="Accent3 5 10" xfId="1793" xr:uid="{00000000-0005-0000-0000-0000D2050000}"/>
    <cellStyle name="Accent3 5 11" xfId="1792" xr:uid="{00000000-0005-0000-0000-0000D3050000}"/>
    <cellStyle name="Accent3 5 12" xfId="1794" xr:uid="{00000000-0005-0000-0000-0000D4050000}"/>
    <cellStyle name="Accent3 5 2" xfId="1791" xr:uid="{00000000-0005-0000-0000-0000D5050000}"/>
    <cellStyle name="Accent3 5 3" xfId="1790" xr:uid="{00000000-0005-0000-0000-0000D6050000}"/>
    <cellStyle name="Accent3 5 4" xfId="1789" xr:uid="{00000000-0005-0000-0000-0000D7050000}"/>
    <cellStyle name="Accent3 5 5" xfId="1788" xr:uid="{00000000-0005-0000-0000-0000D8050000}"/>
    <cellStyle name="Accent3 5 6" xfId="1787" xr:uid="{00000000-0005-0000-0000-0000D9050000}"/>
    <cellStyle name="Accent3 5 7" xfId="1786" xr:uid="{00000000-0005-0000-0000-0000DA050000}"/>
    <cellStyle name="Accent3 5 8" xfId="1785" xr:uid="{00000000-0005-0000-0000-0000DB050000}"/>
    <cellStyle name="Accent3 5 9" xfId="1784" xr:uid="{00000000-0005-0000-0000-0000DC050000}"/>
    <cellStyle name="Accent3 50" xfId="752" xr:uid="{00000000-0005-0000-0000-0000DD050000}"/>
    <cellStyle name="Accent3 51" xfId="753" xr:uid="{00000000-0005-0000-0000-0000DE050000}"/>
    <cellStyle name="Accent3 52" xfId="754" xr:uid="{00000000-0005-0000-0000-0000DF050000}"/>
    <cellStyle name="Accent3 53" xfId="755" xr:uid="{00000000-0005-0000-0000-0000E0050000}"/>
    <cellStyle name="Accent3 54" xfId="756" xr:uid="{00000000-0005-0000-0000-0000E1050000}"/>
    <cellStyle name="Accent3 55" xfId="757" xr:uid="{00000000-0005-0000-0000-0000E2050000}"/>
    <cellStyle name="Accent3 56" xfId="758" xr:uid="{00000000-0005-0000-0000-0000E3050000}"/>
    <cellStyle name="Accent3 57" xfId="759" xr:uid="{00000000-0005-0000-0000-0000E4050000}"/>
    <cellStyle name="Accent3 58" xfId="760" xr:uid="{00000000-0005-0000-0000-0000E5050000}"/>
    <cellStyle name="Accent3 59" xfId="761" xr:uid="{00000000-0005-0000-0000-0000E6050000}"/>
    <cellStyle name="Accent3 6" xfId="762" xr:uid="{00000000-0005-0000-0000-0000E7050000}"/>
    <cellStyle name="Accent3 6 2" xfId="1783" xr:uid="{00000000-0005-0000-0000-0000E8050000}"/>
    <cellStyle name="Accent3 60" xfId="763" xr:uid="{00000000-0005-0000-0000-0000E9050000}"/>
    <cellStyle name="Accent3 61" xfId="764" xr:uid="{00000000-0005-0000-0000-0000EA050000}"/>
    <cellStyle name="Accent3 62" xfId="765" xr:uid="{00000000-0005-0000-0000-0000EB050000}"/>
    <cellStyle name="Accent3 63" xfId="766" xr:uid="{00000000-0005-0000-0000-0000EC050000}"/>
    <cellStyle name="Accent3 64" xfId="767" xr:uid="{00000000-0005-0000-0000-0000ED050000}"/>
    <cellStyle name="Accent3 65" xfId="768" xr:uid="{00000000-0005-0000-0000-0000EE050000}"/>
    <cellStyle name="Accent3 66" xfId="769" xr:uid="{00000000-0005-0000-0000-0000EF050000}"/>
    <cellStyle name="Accent3 67" xfId="770" xr:uid="{00000000-0005-0000-0000-0000F0050000}"/>
    <cellStyle name="Accent3 68" xfId="771" xr:uid="{00000000-0005-0000-0000-0000F1050000}"/>
    <cellStyle name="Accent3 69" xfId="772" xr:uid="{00000000-0005-0000-0000-0000F2050000}"/>
    <cellStyle name="Accent3 7" xfId="773" xr:uid="{00000000-0005-0000-0000-0000F3050000}"/>
    <cellStyle name="Accent3 7 2" xfId="1782" xr:uid="{00000000-0005-0000-0000-0000F4050000}"/>
    <cellStyle name="Accent3 70" xfId="774" xr:uid="{00000000-0005-0000-0000-0000F5050000}"/>
    <cellStyle name="Accent3 71" xfId="775" xr:uid="{00000000-0005-0000-0000-0000F6050000}"/>
    <cellStyle name="Accent3 72" xfId="776" xr:uid="{00000000-0005-0000-0000-0000F7050000}"/>
    <cellStyle name="Accent3 73" xfId="777" xr:uid="{00000000-0005-0000-0000-0000F8050000}"/>
    <cellStyle name="Accent3 74" xfId="778" xr:uid="{00000000-0005-0000-0000-0000F9050000}"/>
    <cellStyle name="Accent3 75" xfId="779" xr:uid="{00000000-0005-0000-0000-0000FA050000}"/>
    <cellStyle name="Accent3 76" xfId="780" xr:uid="{00000000-0005-0000-0000-0000FB050000}"/>
    <cellStyle name="Accent3 77" xfId="781" xr:uid="{00000000-0005-0000-0000-0000FC050000}"/>
    <cellStyle name="Accent3 78" xfId="782" xr:uid="{00000000-0005-0000-0000-0000FD050000}"/>
    <cellStyle name="Accent3 79" xfId="783" xr:uid="{00000000-0005-0000-0000-0000FE050000}"/>
    <cellStyle name="Accent3 8" xfId="784" xr:uid="{00000000-0005-0000-0000-0000FF050000}"/>
    <cellStyle name="Accent3 8 2" xfId="1781" xr:uid="{00000000-0005-0000-0000-000000060000}"/>
    <cellStyle name="Accent3 80" xfId="785" xr:uid="{00000000-0005-0000-0000-000001060000}"/>
    <cellStyle name="Accent3 81" xfId="786" xr:uid="{00000000-0005-0000-0000-000002060000}"/>
    <cellStyle name="Accent3 82" xfId="787" xr:uid="{00000000-0005-0000-0000-000003060000}"/>
    <cellStyle name="Accent3 83" xfId="788" xr:uid="{00000000-0005-0000-0000-000004060000}"/>
    <cellStyle name="Accent3 84" xfId="789" xr:uid="{00000000-0005-0000-0000-000005060000}"/>
    <cellStyle name="Accent3 85" xfId="790" xr:uid="{00000000-0005-0000-0000-000006060000}"/>
    <cellStyle name="Accent3 86" xfId="791" xr:uid="{00000000-0005-0000-0000-000007060000}"/>
    <cellStyle name="Accent3 87" xfId="792" xr:uid="{00000000-0005-0000-0000-000008060000}"/>
    <cellStyle name="Accent3 88" xfId="793" xr:uid="{00000000-0005-0000-0000-000009060000}"/>
    <cellStyle name="Accent3 89" xfId="794" xr:uid="{00000000-0005-0000-0000-00000A060000}"/>
    <cellStyle name="Accent3 9" xfId="795" xr:uid="{00000000-0005-0000-0000-00000B060000}"/>
    <cellStyle name="Accent3 9 2" xfId="1780" xr:uid="{00000000-0005-0000-0000-00000C060000}"/>
    <cellStyle name="Accent3 90" xfId="796" xr:uid="{00000000-0005-0000-0000-00000D060000}"/>
    <cellStyle name="Accent3 91" xfId="797" xr:uid="{00000000-0005-0000-0000-00000E060000}"/>
    <cellStyle name="Accent3 92" xfId="798" xr:uid="{00000000-0005-0000-0000-00000F060000}"/>
    <cellStyle name="Accent3 93" xfId="799" xr:uid="{00000000-0005-0000-0000-000010060000}"/>
    <cellStyle name="Accent3 94" xfId="800" xr:uid="{00000000-0005-0000-0000-000011060000}"/>
    <cellStyle name="Accent3 95" xfId="801" xr:uid="{00000000-0005-0000-0000-000012060000}"/>
    <cellStyle name="Accent3 96" xfId="802" xr:uid="{00000000-0005-0000-0000-000013060000}"/>
    <cellStyle name="Accent3 97" xfId="803" xr:uid="{00000000-0005-0000-0000-000014060000}"/>
    <cellStyle name="Accent3 98" xfId="804" xr:uid="{00000000-0005-0000-0000-000015060000}"/>
    <cellStyle name="Accent3 99" xfId="805" xr:uid="{00000000-0005-0000-0000-000016060000}"/>
    <cellStyle name="Accent4 - 20%" xfId="806" xr:uid="{00000000-0005-0000-0000-000017060000}"/>
    <cellStyle name="Accent4 - 40%" xfId="807" xr:uid="{00000000-0005-0000-0000-000018060000}"/>
    <cellStyle name="Accent4 - 60%" xfId="808" xr:uid="{00000000-0005-0000-0000-000019060000}"/>
    <cellStyle name="Accent4 10" xfId="809" xr:uid="{00000000-0005-0000-0000-00001A060000}"/>
    <cellStyle name="Accent4 10 2" xfId="1779" xr:uid="{00000000-0005-0000-0000-00001B060000}"/>
    <cellStyle name="Accent4 100" xfId="810" xr:uid="{00000000-0005-0000-0000-00001C060000}"/>
    <cellStyle name="Accent4 101" xfId="811" xr:uid="{00000000-0005-0000-0000-00001D060000}"/>
    <cellStyle name="Accent4 102" xfId="812" xr:uid="{00000000-0005-0000-0000-00001E060000}"/>
    <cellStyle name="Accent4 103" xfId="813" xr:uid="{00000000-0005-0000-0000-00001F060000}"/>
    <cellStyle name="Accent4 104" xfId="814" xr:uid="{00000000-0005-0000-0000-000020060000}"/>
    <cellStyle name="Accent4 105" xfId="815" xr:uid="{00000000-0005-0000-0000-000021060000}"/>
    <cellStyle name="Accent4 106" xfId="816" xr:uid="{00000000-0005-0000-0000-000022060000}"/>
    <cellStyle name="Accent4 107" xfId="817" xr:uid="{00000000-0005-0000-0000-000023060000}"/>
    <cellStyle name="Accent4 108" xfId="73" xr:uid="{00000000-0005-0000-0000-000024060000}"/>
    <cellStyle name="Accent4 11" xfId="818" xr:uid="{00000000-0005-0000-0000-000025060000}"/>
    <cellStyle name="Accent4 11 2" xfId="1778" xr:uid="{00000000-0005-0000-0000-000026060000}"/>
    <cellStyle name="Accent4 12" xfId="819" xr:uid="{00000000-0005-0000-0000-000027060000}"/>
    <cellStyle name="Accent4 12 2" xfId="442" xr:uid="{00000000-0005-0000-0000-000028060000}"/>
    <cellStyle name="Accent4 13" xfId="820" xr:uid="{00000000-0005-0000-0000-000029060000}"/>
    <cellStyle name="Accent4 13 2" xfId="444" xr:uid="{00000000-0005-0000-0000-00002A060000}"/>
    <cellStyle name="Accent4 14" xfId="821" xr:uid="{00000000-0005-0000-0000-00002B060000}"/>
    <cellStyle name="Accent4 14 2" xfId="446" xr:uid="{00000000-0005-0000-0000-00002C060000}"/>
    <cellStyle name="Accent4 15" xfId="822" xr:uid="{00000000-0005-0000-0000-00002D060000}"/>
    <cellStyle name="Accent4 15 2" xfId="448" xr:uid="{00000000-0005-0000-0000-00002E060000}"/>
    <cellStyle name="Accent4 16" xfId="823" xr:uid="{00000000-0005-0000-0000-00002F060000}"/>
    <cellStyle name="Accent4 17" xfId="824" xr:uid="{00000000-0005-0000-0000-000030060000}"/>
    <cellStyle name="Accent4 18" xfId="825" xr:uid="{00000000-0005-0000-0000-000031060000}"/>
    <cellStyle name="Accent4 19" xfId="826" xr:uid="{00000000-0005-0000-0000-000032060000}"/>
    <cellStyle name="Accent4 2" xfId="74" xr:uid="{00000000-0005-0000-0000-000033060000}"/>
    <cellStyle name="Accent4 2 10" xfId="452" xr:uid="{00000000-0005-0000-0000-000034060000}"/>
    <cellStyle name="Accent4 2 11" xfId="454" xr:uid="{00000000-0005-0000-0000-000035060000}"/>
    <cellStyle name="Accent4 2 12" xfId="450" xr:uid="{00000000-0005-0000-0000-000036060000}"/>
    <cellStyle name="Accent4 2 2" xfId="827" xr:uid="{00000000-0005-0000-0000-000037060000}"/>
    <cellStyle name="Accent4 2 2 2" xfId="456" xr:uid="{00000000-0005-0000-0000-000038060000}"/>
    <cellStyle name="Accent4 2 3" xfId="458" xr:uid="{00000000-0005-0000-0000-000039060000}"/>
    <cellStyle name="Accent4 2 4" xfId="460" xr:uid="{00000000-0005-0000-0000-00003A060000}"/>
    <cellStyle name="Accent4 2 5" xfId="462" xr:uid="{00000000-0005-0000-0000-00003B060000}"/>
    <cellStyle name="Accent4 2 6" xfId="464" xr:uid="{00000000-0005-0000-0000-00003C060000}"/>
    <cellStyle name="Accent4 2 7" xfId="466" xr:uid="{00000000-0005-0000-0000-00003D060000}"/>
    <cellStyle name="Accent4 2 8" xfId="468" xr:uid="{00000000-0005-0000-0000-00003E060000}"/>
    <cellStyle name="Accent4 2 9" xfId="470" xr:uid="{00000000-0005-0000-0000-00003F060000}"/>
    <cellStyle name="Accent4 20" xfId="828" xr:uid="{00000000-0005-0000-0000-000040060000}"/>
    <cellStyle name="Accent4 21" xfId="829" xr:uid="{00000000-0005-0000-0000-000041060000}"/>
    <cellStyle name="Accent4 22" xfId="830" xr:uid="{00000000-0005-0000-0000-000042060000}"/>
    <cellStyle name="Accent4 23" xfId="831" xr:uid="{00000000-0005-0000-0000-000043060000}"/>
    <cellStyle name="Accent4 24" xfId="832" xr:uid="{00000000-0005-0000-0000-000044060000}"/>
    <cellStyle name="Accent4 25" xfId="833" xr:uid="{00000000-0005-0000-0000-000045060000}"/>
    <cellStyle name="Accent4 26" xfId="834" xr:uid="{00000000-0005-0000-0000-000046060000}"/>
    <cellStyle name="Accent4 27" xfId="835" xr:uid="{00000000-0005-0000-0000-000047060000}"/>
    <cellStyle name="Accent4 28" xfId="836" xr:uid="{00000000-0005-0000-0000-000048060000}"/>
    <cellStyle name="Accent4 29" xfId="837" xr:uid="{00000000-0005-0000-0000-000049060000}"/>
    <cellStyle name="Accent4 3" xfId="75" xr:uid="{00000000-0005-0000-0000-00004A060000}"/>
    <cellStyle name="Accent4 3 10" xfId="474" xr:uid="{00000000-0005-0000-0000-00004B060000}"/>
    <cellStyle name="Accent4 3 11" xfId="476" xr:uid="{00000000-0005-0000-0000-00004C060000}"/>
    <cellStyle name="Accent4 3 12" xfId="472" xr:uid="{00000000-0005-0000-0000-00004D060000}"/>
    <cellStyle name="Accent4 3 2" xfId="477" xr:uid="{00000000-0005-0000-0000-00004E060000}"/>
    <cellStyle name="Accent4 3 3" xfId="478" xr:uid="{00000000-0005-0000-0000-00004F060000}"/>
    <cellStyle name="Accent4 3 4" xfId="511" xr:uid="{00000000-0005-0000-0000-000050060000}"/>
    <cellStyle name="Accent4 3 5" xfId="620" xr:uid="{00000000-0005-0000-0000-000051060000}"/>
    <cellStyle name="Accent4 3 6" xfId="729" xr:uid="{00000000-0005-0000-0000-000052060000}"/>
    <cellStyle name="Accent4 3 7" xfId="838" xr:uid="{00000000-0005-0000-0000-000053060000}"/>
    <cellStyle name="Accent4 3 8" xfId="947" xr:uid="{00000000-0005-0000-0000-000054060000}"/>
    <cellStyle name="Accent4 3 9" xfId="1056" xr:uid="{00000000-0005-0000-0000-000055060000}"/>
    <cellStyle name="Accent4 30" xfId="839" xr:uid="{00000000-0005-0000-0000-000056060000}"/>
    <cellStyle name="Accent4 31" xfId="840" xr:uid="{00000000-0005-0000-0000-000057060000}"/>
    <cellStyle name="Accent4 32" xfId="841" xr:uid="{00000000-0005-0000-0000-000058060000}"/>
    <cellStyle name="Accent4 33" xfId="842" xr:uid="{00000000-0005-0000-0000-000059060000}"/>
    <cellStyle name="Accent4 34" xfId="843" xr:uid="{00000000-0005-0000-0000-00005A060000}"/>
    <cellStyle name="Accent4 35" xfId="844" xr:uid="{00000000-0005-0000-0000-00005B060000}"/>
    <cellStyle name="Accent4 36" xfId="845" xr:uid="{00000000-0005-0000-0000-00005C060000}"/>
    <cellStyle name="Accent4 37" xfId="846" xr:uid="{00000000-0005-0000-0000-00005D060000}"/>
    <cellStyle name="Accent4 38" xfId="847" xr:uid="{00000000-0005-0000-0000-00005E060000}"/>
    <cellStyle name="Accent4 39" xfId="848" xr:uid="{00000000-0005-0000-0000-00005F060000}"/>
    <cellStyle name="Accent4 4" xfId="849" xr:uid="{00000000-0005-0000-0000-000060060000}"/>
    <cellStyle name="Accent4 4 10" xfId="1137" xr:uid="{00000000-0005-0000-0000-000061060000}"/>
    <cellStyle name="Accent4 4 11" xfId="1140" xr:uid="{00000000-0005-0000-0000-000062060000}"/>
    <cellStyle name="Accent4 4 12" xfId="1134" xr:uid="{00000000-0005-0000-0000-000063060000}"/>
    <cellStyle name="Accent4 4 2" xfId="1142" xr:uid="{00000000-0005-0000-0000-000064060000}"/>
    <cellStyle name="Accent4 4 3" xfId="1143" xr:uid="{00000000-0005-0000-0000-000065060000}"/>
    <cellStyle name="Accent4 4 4" xfId="1148" xr:uid="{00000000-0005-0000-0000-000066060000}"/>
    <cellStyle name="Accent4 4 5" xfId="1149" xr:uid="{00000000-0005-0000-0000-000067060000}"/>
    <cellStyle name="Accent4 4 6" xfId="1150" xr:uid="{00000000-0005-0000-0000-000068060000}"/>
    <cellStyle name="Accent4 4 7" xfId="1167" xr:uid="{00000000-0005-0000-0000-000069060000}"/>
    <cellStyle name="Accent4 4 8" xfId="1206" xr:uid="{00000000-0005-0000-0000-00006A060000}"/>
    <cellStyle name="Accent4 4 9" xfId="1219" xr:uid="{00000000-0005-0000-0000-00006B060000}"/>
    <cellStyle name="Accent4 40" xfId="850" xr:uid="{00000000-0005-0000-0000-00006C060000}"/>
    <cellStyle name="Accent4 41" xfId="851" xr:uid="{00000000-0005-0000-0000-00006D060000}"/>
    <cellStyle name="Accent4 42" xfId="852" xr:uid="{00000000-0005-0000-0000-00006E060000}"/>
    <cellStyle name="Accent4 43" xfId="853" xr:uid="{00000000-0005-0000-0000-00006F060000}"/>
    <cellStyle name="Accent4 44" xfId="854" xr:uid="{00000000-0005-0000-0000-000070060000}"/>
    <cellStyle name="Accent4 45" xfId="855" xr:uid="{00000000-0005-0000-0000-000071060000}"/>
    <cellStyle name="Accent4 46" xfId="856" xr:uid="{00000000-0005-0000-0000-000072060000}"/>
    <cellStyle name="Accent4 47" xfId="857" xr:uid="{00000000-0005-0000-0000-000073060000}"/>
    <cellStyle name="Accent4 48" xfId="858" xr:uid="{00000000-0005-0000-0000-000074060000}"/>
    <cellStyle name="Accent4 49" xfId="859" xr:uid="{00000000-0005-0000-0000-000075060000}"/>
    <cellStyle name="Accent4 5" xfId="860" xr:uid="{00000000-0005-0000-0000-000076060000}"/>
    <cellStyle name="Accent4 5 10" xfId="1221" xr:uid="{00000000-0005-0000-0000-000077060000}"/>
    <cellStyle name="Accent4 5 11" xfId="1223" xr:uid="{00000000-0005-0000-0000-000078060000}"/>
    <cellStyle name="Accent4 5 12" xfId="1220" xr:uid="{00000000-0005-0000-0000-000079060000}"/>
    <cellStyle name="Accent4 5 2" xfId="1224" xr:uid="{00000000-0005-0000-0000-00007A060000}"/>
    <cellStyle name="Accent4 5 3" xfId="1229" xr:uid="{00000000-0005-0000-0000-00007B060000}"/>
    <cellStyle name="Accent4 5 4" xfId="1231" xr:uid="{00000000-0005-0000-0000-00007C060000}"/>
    <cellStyle name="Accent4 5 5" xfId="1233" xr:uid="{00000000-0005-0000-0000-00007D060000}"/>
    <cellStyle name="Accent4 5 6" xfId="1234" xr:uid="{00000000-0005-0000-0000-00007E060000}"/>
    <cellStyle name="Accent4 5 7" xfId="1235" xr:uid="{00000000-0005-0000-0000-00007F060000}"/>
    <cellStyle name="Accent4 5 8" xfId="1237" xr:uid="{00000000-0005-0000-0000-000080060000}"/>
    <cellStyle name="Accent4 5 9" xfId="1240" xr:uid="{00000000-0005-0000-0000-000081060000}"/>
    <cellStyle name="Accent4 50" xfId="861" xr:uid="{00000000-0005-0000-0000-000082060000}"/>
    <cellStyle name="Accent4 51" xfId="862" xr:uid="{00000000-0005-0000-0000-000083060000}"/>
    <cellStyle name="Accent4 52" xfId="863" xr:uid="{00000000-0005-0000-0000-000084060000}"/>
    <cellStyle name="Accent4 53" xfId="864" xr:uid="{00000000-0005-0000-0000-000085060000}"/>
    <cellStyle name="Accent4 54" xfId="865" xr:uid="{00000000-0005-0000-0000-000086060000}"/>
    <cellStyle name="Accent4 55" xfId="866" xr:uid="{00000000-0005-0000-0000-000087060000}"/>
    <cellStyle name="Accent4 56" xfId="867" xr:uid="{00000000-0005-0000-0000-000088060000}"/>
    <cellStyle name="Accent4 57" xfId="868" xr:uid="{00000000-0005-0000-0000-000089060000}"/>
    <cellStyle name="Accent4 58" xfId="869" xr:uid="{00000000-0005-0000-0000-00008A060000}"/>
    <cellStyle name="Accent4 59" xfId="870" xr:uid="{00000000-0005-0000-0000-00008B060000}"/>
    <cellStyle name="Accent4 6" xfId="871" xr:uid="{00000000-0005-0000-0000-00008C060000}"/>
    <cellStyle name="Accent4 6 2" xfId="1243" xr:uid="{00000000-0005-0000-0000-00008D060000}"/>
    <cellStyle name="Accent4 60" xfId="872" xr:uid="{00000000-0005-0000-0000-00008E060000}"/>
    <cellStyle name="Accent4 61" xfId="873" xr:uid="{00000000-0005-0000-0000-00008F060000}"/>
    <cellStyle name="Accent4 62" xfId="874" xr:uid="{00000000-0005-0000-0000-000090060000}"/>
    <cellStyle name="Accent4 63" xfId="875" xr:uid="{00000000-0005-0000-0000-000091060000}"/>
    <cellStyle name="Accent4 64" xfId="876" xr:uid="{00000000-0005-0000-0000-000092060000}"/>
    <cellStyle name="Accent4 65" xfId="877" xr:uid="{00000000-0005-0000-0000-000093060000}"/>
    <cellStyle name="Accent4 66" xfId="878" xr:uid="{00000000-0005-0000-0000-000094060000}"/>
    <cellStyle name="Accent4 67" xfId="879" xr:uid="{00000000-0005-0000-0000-000095060000}"/>
    <cellStyle name="Accent4 68" xfId="880" xr:uid="{00000000-0005-0000-0000-000096060000}"/>
    <cellStyle name="Accent4 69" xfId="881" xr:uid="{00000000-0005-0000-0000-000097060000}"/>
    <cellStyle name="Accent4 7" xfId="882" xr:uid="{00000000-0005-0000-0000-000098060000}"/>
    <cellStyle name="Accent4 7 2" xfId="1246" xr:uid="{00000000-0005-0000-0000-000099060000}"/>
    <cellStyle name="Accent4 70" xfId="883" xr:uid="{00000000-0005-0000-0000-00009A060000}"/>
    <cellStyle name="Accent4 71" xfId="884" xr:uid="{00000000-0005-0000-0000-00009B060000}"/>
    <cellStyle name="Accent4 72" xfId="885" xr:uid="{00000000-0005-0000-0000-00009C060000}"/>
    <cellStyle name="Accent4 73" xfId="886" xr:uid="{00000000-0005-0000-0000-00009D060000}"/>
    <cellStyle name="Accent4 74" xfId="887" xr:uid="{00000000-0005-0000-0000-00009E060000}"/>
    <cellStyle name="Accent4 75" xfId="888" xr:uid="{00000000-0005-0000-0000-00009F060000}"/>
    <cellStyle name="Accent4 76" xfId="889" xr:uid="{00000000-0005-0000-0000-0000A0060000}"/>
    <cellStyle name="Accent4 77" xfId="890" xr:uid="{00000000-0005-0000-0000-0000A1060000}"/>
    <cellStyle name="Accent4 78" xfId="891" xr:uid="{00000000-0005-0000-0000-0000A2060000}"/>
    <cellStyle name="Accent4 79" xfId="892" xr:uid="{00000000-0005-0000-0000-0000A3060000}"/>
    <cellStyle name="Accent4 8" xfId="893" xr:uid="{00000000-0005-0000-0000-0000A4060000}"/>
    <cellStyle name="Accent4 8 2" xfId="1248" xr:uid="{00000000-0005-0000-0000-0000A5060000}"/>
    <cellStyle name="Accent4 80" xfId="894" xr:uid="{00000000-0005-0000-0000-0000A6060000}"/>
    <cellStyle name="Accent4 81" xfId="895" xr:uid="{00000000-0005-0000-0000-0000A7060000}"/>
    <cellStyle name="Accent4 82" xfId="896" xr:uid="{00000000-0005-0000-0000-0000A8060000}"/>
    <cellStyle name="Accent4 83" xfId="897" xr:uid="{00000000-0005-0000-0000-0000A9060000}"/>
    <cellStyle name="Accent4 84" xfId="898" xr:uid="{00000000-0005-0000-0000-0000AA060000}"/>
    <cellStyle name="Accent4 85" xfId="899" xr:uid="{00000000-0005-0000-0000-0000AB060000}"/>
    <cellStyle name="Accent4 86" xfId="900" xr:uid="{00000000-0005-0000-0000-0000AC060000}"/>
    <cellStyle name="Accent4 87" xfId="901" xr:uid="{00000000-0005-0000-0000-0000AD060000}"/>
    <cellStyle name="Accent4 88" xfId="902" xr:uid="{00000000-0005-0000-0000-0000AE060000}"/>
    <cellStyle name="Accent4 89" xfId="903" xr:uid="{00000000-0005-0000-0000-0000AF060000}"/>
    <cellStyle name="Accent4 9" xfId="904" xr:uid="{00000000-0005-0000-0000-0000B0060000}"/>
    <cellStyle name="Accent4 9 2" xfId="1249" xr:uid="{00000000-0005-0000-0000-0000B1060000}"/>
    <cellStyle name="Accent4 90" xfId="905" xr:uid="{00000000-0005-0000-0000-0000B2060000}"/>
    <cellStyle name="Accent4 91" xfId="906" xr:uid="{00000000-0005-0000-0000-0000B3060000}"/>
    <cellStyle name="Accent4 92" xfId="907" xr:uid="{00000000-0005-0000-0000-0000B4060000}"/>
    <cellStyle name="Accent4 93" xfId="908" xr:uid="{00000000-0005-0000-0000-0000B5060000}"/>
    <cellStyle name="Accent4 94" xfId="909" xr:uid="{00000000-0005-0000-0000-0000B6060000}"/>
    <cellStyle name="Accent4 95" xfId="910" xr:uid="{00000000-0005-0000-0000-0000B7060000}"/>
    <cellStyle name="Accent4 96" xfId="911" xr:uid="{00000000-0005-0000-0000-0000B8060000}"/>
    <cellStyle name="Accent4 97" xfId="912" xr:uid="{00000000-0005-0000-0000-0000B9060000}"/>
    <cellStyle name="Accent4 98" xfId="913" xr:uid="{00000000-0005-0000-0000-0000BA060000}"/>
    <cellStyle name="Accent4 99" xfId="914" xr:uid="{00000000-0005-0000-0000-0000BB060000}"/>
    <cellStyle name="Accent5 - 20%" xfId="915" xr:uid="{00000000-0005-0000-0000-0000BC060000}"/>
    <cellStyle name="Accent5 - 40%" xfId="916" xr:uid="{00000000-0005-0000-0000-0000BD060000}"/>
    <cellStyle name="Accent5 - 60%" xfId="917" xr:uid="{00000000-0005-0000-0000-0000BE060000}"/>
    <cellStyle name="Accent5 10" xfId="918" xr:uid="{00000000-0005-0000-0000-0000BF060000}"/>
    <cellStyle name="Accent5 10 2" xfId="1250" xr:uid="{00000000-0005-0000-0000-0000C0060000}"/>
    <cellStyle name="Accent5 100" xfId="919" xr:uid="{00000000-0005-0000-0000-0000C1060000}"/>
    <cellStyle name="Accent5 101" xfId="920" xr:uid="{00000000-0005-0000-0000-0000C2060000}"/>
    <cellStyle name="Accent5 102" xfId="921" xr:uid="{00000000-0005-0000-0000-0000C3060000}"/>
    <cellStyle name="Accent5 103" xfId="922" xr:uid="{00000000-0005-0000-0000-0000C4060000}"/>
    <cellStyle name="Accent5 104" xfId="923" xr:uid="{00000000-0005-0000-0000-0000C5060000}"/>
    <cellStyle name="Accent5 105" xfId="924" xr:uid="{00000000-0005-0000-0000-0000C6060000}"/>
    <cellStyle name="Accent5 106" xfId="925" xr:uid="{00000000-0005-0000-0000-0000C7060000}"/>
    <cellStyle name="Accent5 107" xfId="926" xr:uid="{00000000-0005-0000-0000-0000C8060000}"/>
    <cellStyle name="Accent5 108" xfId="76" xr:uid="{00000000-0005-0000-0000-0000C9060000}"/>
    <cellStyle name="Accent5 11" xfId="927" xr:uid="{00000000-0005-0000-0000-0000CA060000}"/>
    <cellStyle name="Accent5 11 2" xfId="1251" xr:uid="{00000000-0005-0000-0000-0000CB060000}"/>
    <cellStyle name="Accent5 12" xfId="928" xr:uid="{00000000-0005-0000-0000-0000CC060000}"/>
    <cellStyle name="Accent5 12 2" xfId="1252" xr:uid="{00000000-0005-0000-0000-0000CD060000}"/>
    <cellStyle name="Accent5 13" xfId="929" xr:uid="{00000000-0005-0000-0000-0000CE060000}"/>
    <cellStyle name="Accent5 13 2" xfId="1256" xr:uid="{00000000-0005-0000-0000-0000CF060000}"/>
    <cellStyle name="Accent5 14" xfId="930" xr:uid="{00000000-0005-0000-0000-0000D0060000}"/>
    <cellStyle name="Accent5 14 2" xfId="1257" xr:uid="{00000000-0005-0000-0000-0000D1060000}"/>
    <cellStyle name="Accent5 15" xfId="931" xr:uid="{00000000-0005-0000-0000-0000D2060000}"/>
    <cellStyle name="Accent5 15 2" xfId="1258" xr:uid="{00000000-0005-0000-0000-0000D3060000}"/>
    <cellStyle name="Accent5 16" xfId="932" xr:uid="{00000000-0005-0000-0000-0000D4060000}"/>
    <cellStyle name="Accent5 17" xfId="933" xr:uid="{00000000-0005-0000-0000-0000D5060000}"/>
    <cellStyle name="Accent5 18" xfId="934" xr:uid="{00000000-0005-0000-0000-0000D6060000}"/>
    <cellStyle name="Accent5 19" xfId="935" xr:uid="{00000000-0005-0000-0000-0000D7060000}"/>
    <cellStyle name="Accent5 2" xfId="77" xr:uid="{00000000-0005-0000-0000-0000D8060000}"/>
    <cellStyle name="Accent5 2 10" xfId="1260" xr:uid="{00000000-0005-0000-0000-0000D9060000}"/>
    <cellStyle name="Accent5 2 11" xfId="1261" xr:uid="{00000000-0005-0000-0000-0000DA060000}"/>
    <cellStyle name="Accent5 2 12" xfId="1259" xr:uid="{00000000-0005-0000-0000-0000DB060000}"/>
    <cellStyle name="Accent5 2 2" xfId="936" xr:uid="{00000000-0005-0000-0000-0000DC060000}"/>
    <cellStyle name="Accent5 2 2 2" xfId="1262" xr:uid="{00000000-0005-0000-0000-0000DD060000}"/>
    <cellStyle name="Accent5 2 3" xfId="1263" xr:uid="{00000000-0005-0000-0000-0000DE060000}"/>
    <cellStyle name="Accent5 2 4" xfId="1264" xr:uid="{00000000-0005-0000-0000-0000DF060000}"/>
    <cellStyle name="Accent5 2 5" xfId="1372" xr:uid="{00000000-0005-0000-0000-0000E0060000}"/>
    <cellStyle name="Accent5 2 6" xfId="1374" xr:uid="{00000000-0005-0000-0000-0000E1060000}"/>
    <cellStyle name="Accent5 2 7" xfId="1375" xr:uid="{00000000-0005-0000-0000-0000E2060000}"/>
    <cellStyle name="Accent5 2 8" xfId="1376" xr:uid="{00000000-0005-0000-0000-0000E3060000}"/>
    <cellStyle name="Accent5 2 9" xfId="1377" xr:uid="{00000000-0005-0000-0000-0000E4060000}"/>
    <cellStyle name="Accent5 20" xfId="937" xr:uid="{00000000-0005-0000-0000-0000E5060000}"/>
    <cellStyle name="Accent5 21" xfId="938" xr:uid="{00000000-0005-0000-0000-0000E6060000}"/>
    <cellStyle name="Accent5 22" xfId="939" xr:uid="{00000000-0005-0000-0000-0000E7060000}"/>
    <cellStyle name="Accent5 23" xfId="940" xr:uid="{00000000-0005-0000-0000-0000E8060000}"/>
    <cellStyle name="Accent5 24" xfId="941" xr:uid="{00000000-0005-0000-0000-0000E9060000}"/>
    <cellStyle name="Accent5 25" xfId="942" xr:uid="{00000000-0005-0000-0000-0000EA060000}"/>
    <cellStyle name="Accent5 26" xfId="943" xr:uid="{00000000-0005-0000-0000-0000EB060000}"/>
    <cellStyle name="Accent5 27" xfId="944" xr:uid="{00000000-0005-0000-0000-0000EC060000}"/>
    <cellStyle name="Accent5 28" xfId="945" xr:uid="{00000000-0005-0000-0000-0000ED060000}"/>
    <cellStyle name="Accent5 29" xfId="946" xr:uid="{00000000-0005-0000-0000-0000EE060000}"/>
    <cellStyle name="Accent5 3" xfId="78" xr:uid="{00000000-0005-0000-0000-0000EF060000}"/>
    <cellStyle name="Accent5 3 10" xfId="1381" xr:uid="{00000000-0005-0000-0000-0000F0060000}"/>
    <cellStyle name="Accent5 3 11" xfId="1382" xr:uid="{00000000-0005-0000-0000-0000F1060000}"/>
    <cellStyle name="Accent5 3 12" xfId="1379" xr:uid="{00000000-0005-0000-0000-0000F2060000}"/>
    <cellStyle name="Accent5 3 2" xfId="1383" xr:uid="{00000000-0005-0000-0000-0000F3060000}"/>
    <cellStyle name="Accent5 3 3" xfId="1384" xr:uid="{00000000-0005-0000-0000-0000F4060000}"/>
    <cellStyle name="Accent5 3 4" xfId="1395" xr:uid="{00000000-0005-0000-0000-0000F5060000}"/>
    <cellStyle name="Accent5 3 5" xfId="1406" xr:uid="{00000000-0005-0000-0000-0000F6060000}"/>
    <cellStyle name="Accent5 3 6" xfId="1418" xr:uid="{00000000-0005-0000-0000-0000F7060000}"/>
    <cellStyle name="Accent5 3 7" xfId="1429" xr:uid="{00000000-0005-0000-0000-0000F8060000}"/>
    <cellStyle name="Accent5 3 8" xfId="1440" xr:uid="{00000000-0005-0000-0000-0000F9060000}"/>
    <cellStyle name="Accent5 3 9" xfId="1451" xr:uid="{00000000-0005-0000-0000-0000FA060000}"/>
    <cellStyle name="Accent5 30" xfId="948" xr:uid="{00000000-0005-0000-0000-0000FB060000}"/>
    <cellStyle name="Accent5 31" xfId="949" xr:uid="{00000000-0005-0000-0000-0000FC060000}"/>
    <cellStyle name="Accent5 32" xfId="950" xr:uid="{00000000-0005-0000-0000-0000FD060000}"/>
    <cellStyle name="Accent5 33" xfId="951" xr:uid="{00000000-0005-0000-0000-0000FE060000}"/>
    <cellStyle name="Accent5 34" xfId="952" xr:uid="{00000000-0005-0000-0000-0000FF060000}"/>
    <cellStyle name="Accent5 35" xfId="953" xr:uid="{00000000-0005-0000-0000-000000070000}"/>
    <cellStyle name="Accent5 36" xfId="954" xr:uid="{00000000-0005-0000-0000-000001070000}"/>
    <cellStyle name="Accent5 37" xfId="955" xr:uid="{00000000-0005-0000-0000-000002070000}"/>
    <cellStyle name="Accent5 38" xfId="956" xr:uid="{00000000-0005-0000-0000-000003070000}"/>
    <cellStyle name="Accent5 39" xfId="957" xr:uid="{00000000-0005-0000-0000-000004070000}"/>
    <cellStyle name="Accent5 4" xfId="958" xr:uid="{00000000-0005-0000-0000-000005070000}"/>
    <cellStyle name="Accent5 4 10" xfId="1473" xr:uid="{00000000-0005-0000-0000-000006070000}"/>
    <cellStyle name="Accent5 4 11" xfId="1484" xr:uid="{00000000-0005-0000-0000-000007070000}"/>
    <cellStyle name="Accent5 4 12" xfId="1462" xr:uid="{00000000-0005-0000-0000-000008070000}"/>
    <cellStyle name="Accent5 4 2" xfId="1495" xr:uid="{00000000-0005-0000-0000-000009070000}"/>
    <cellStyle name="Accent5 4 3" xfId="1496" xr:uid="{00000000-0005-0000-0000-00000A070000}"/>
    <cellStyle name="Accent5 4 4" xfId="1503" xr:uid="{00000000-0005-0000-0000-00000B070000}"/>
    <cellStyle name="Accent5 4 5" xfId="1514" xr:uid="{00000000-0005-0000-0000-00000C070000}"/>
    <cellStyle name="Accent5 4 6" xfId="1525" xr:uid="{00000000-0005-0000-0000-00000D070000}"/>
    <cellStyle name="Accent5 4 7" xfId="1536" xr:uid="{00000000-0005-0000-0000-00000E070000}"/>
    <cellStyle name="Accent5 4 8" xfId="1546" xr:uid="{00000000-0005-0000-0000-00000F070000}"/>
    <cellStyle name="Accent5 4 9" xfId="1549" xr:uid="{00000000-0005-0000-0000-000010070000}"/>
    <cellStyle name="Accent5 40" xfId="959" xr:uid="{00000000-0005-0000-0000-000011070000}"/>
    <cellStyle name="Accent5 41" xfId="960" xr:uid="{00000000-0005-0000-0000-000012070000}"/>
    <cellStyle name="Accent5 42" xfId="961" xr:uid="{00000000-0005-0000-0000-000013070000}"/>
    <cellStyle name="Accent5 43" xfId="962" xr:uid="{00000000-0005-0000-0000-000014070000}"/>
    <cellStyle name="Accent5 44" xfId="963" xr:uid="{00000000-0005-0000-0000-000015070000}"/>
    <cellStyle name="Accent5 45" xfId="964" xr:uid="{00000000-0005-0000-0000-000016070000}"/>
    <cellStyle name="Accent5 46" xfId="965" xr:uid="{00000000-0005-0000-0000-000017070000}"/>
    <cellStyle name="Accent5 47" xfId="966" xr:uid="{00000000-0005-0000-0000-000018070000}"/>
    <cellStyle name="Accent5 48" xfId="967" xr:uid="{00000000-0005-0000-0000-000019070000}"/>
    <cellStyle name="Accent5 49" xfId="968" xr:uid="{00000000-0005-0000-0000-00001A070000}"/>
    <cellStyle name="Accent5 5" xfId="969" xr:uid="{00000000-0005-0000-0000-00001B070000}"/>
    <cellStyle name="Accent5 5 10" xfId="1551" xr:uid="{00000000-0005-0000-0000-00001C070000}"/>
    <cellStyle name="Accent5 5 11" xfId="1553" xr:uid="{00000000-0005-0000-0000-00001D070000}"/>
    <cellStyle name="Accent5 5 12" xfId="1550" xr:uid="{00000000-0005-0000-0000-00001E070000}"/>
    <cellStyle name="Accent5 5 2" xfId="1554" xr:uid="{00000000-0005-0000-0000-00001F070000}"/>
    <cellStyle name="Accent5 5 3" xfId="1555" xr:uid="{00000000-0005-0000-0000-000020070000}"/>
    <cellStyle name="Accent5 5 4" xfId="1556" xr:uid="{00000000-0005-0000-0000-000021070000}"/>
    <cellStyle name="Accent5 5 5" xfId="1557" xr:uid="{00000000-0005-0000-0000-000022070000}"/>
    <cellStyle name="Accent5 5 6" xfId="1558" xr:uid="{00000000-0005-0000-0000-000023070000}"/>
    <cellStyle name="Accent5 5 7" xfId="1559" xr:uid="{00000000-0005-0000-0000-000024070000}"/>
    <cellStyle name="Accent5 5 8" xfId="1560" xr:uid="{00000000-0005-0000-0000-000025070000}"/>
    <cellStyle name="Accent5 5 9" xfId="1561" xr:uid="{00000000-0005-0000-0000-000026070000}"/>
    <cellStyle name="Accent5 50" xfId="970" xr:uid="{00000000-0005-0000-0000-000027070000}"/>
    <cellStyle name="Accent5 51" xfId="971" xr:uid="{00000000-0005-0000-0000-000028070000}"/>
    <cellStyle name="Accent5 52" xfId="972" xr:uid="{00000000-0005-0000-0000-000029070000}"/>
    <cellStyle name="Accent5 53" xfId="973" xr:uid="{00000000-0005-0000-0000-00002A070000}"/>
    <cellStyle name="Accent5 54" xfId="974" xr:uid="{00000000-0005-0000-0000-00002B070000}"/>
    <cellStyle name="Accent5 55" xfId="975" xr:uid="{00000000-0005-0000-0000-00002C070000}"/>
    <cellStyle name="Accent5 56" xfId="976" xr:uid="{00000000-0005-0000-0000-00002D070000}"/>
    <cellStyle name="Accent5 57" xfId="977" xr:uid="{00000000-0005-0000-0000-00002E070000}"/>
    <cellStyle name="Accent5 58" xfId="978" xr:uid="{00000000-0005-0000-0000-00002F070000}"/>
    <cellStyle name="Accent5 59" xfId="979" xr:uid="{00000000-0005-0000-0000-000030070000}"/>
    <cellStyle name="Accent5 6" xfId="980" xr:uid="{00000000-0005-0000-0000-000031070000}"/>
    <cellStyle name="Accent5 6 2" xfId="1562" xr:uid="{00000000-0005-0000-0000-000032070000}"/>
    <cellStyle name="Accent5 60" xfId="981" xr:uid="{00000000-0005-0000-0000-000033070000}"/>
    <cellStyle name="Accent5 61" xfId="982" xr:uid="{00000000-0005-0000-0000-000034070000}"/>
    <cellStyle name="Accent5 62" xfId="983" xr:uid="{00000000-0005-0000-0000-000035070000}"/>
    <cellStyle name="Accent5 63" xfId="984" xr:uid="{00000000-0005-0000-0000-000036070000}"/>
    <cellStyle name="Accent5 64" xfId="985" xr:uid="{00000000-0005-0000-0000-000037070000}"/>
    <cellStyle name="Accent5 65" xfId="986" xr:uid="{00000000-0005-0000-0000-000038070000}"/>
    <cellStyle name="Accent5 66" xfId="987" xr:uid="{00000000-0005-0000-0000-000039070000}"/>
    <cellStyle name="Accent5 67" xfId="988" xr:uid="{00000000-0005-0000-0000-00003A070000}"/>
    <cellStyle name="Accent5 68" xfId="989" xr:uid="{00000000-0005-0000-0000-00003B070000}"/>
    <cellStyle name="Accent5 69" xfId="990" xr:uid="{00000000-0005-0000-0000-00003C070000}"/>
    <cellStyle name="Accent5 7" xfId="991" xr:uid="{00000000-0005-0000-0000-00003D070000}"/>
    <cellStyle name="Accent5 7 2" xfId="1563" xr:uid="{00000000-0005-0000-0000-00003E070000}"/>
    <cellStyle name="Accent5 70" xfId="992" xr:uid="{00000000-0005-0000-0000-00003F070000}"/>
    <cellStyle name="Accent5 71" xfId="993" xr:uid="{00000000-0005-0000-0000-000040070000}"/>
    <cellStyle name="Accent5 72" xfId="994" xr:uid="{00000000-0005-0000-0000-000041070000}"/>
    <cellStyle name="Accent5 73" xfId="995" xr:uid="{00000000-0005-0000-0000-000042070000}"/>
    <cellStyle name="Accent5 74" xfId="996" xr:uid="{00000000-0005-0000-0000-000043070000}"/>
    <cellStyle name="Accent5 75" xfId="997" xr:uid="{00000000-0005-0000-0000-000044070000}"/>
    <cellStyle name="Accent5 76" xfId="998" xr:uid="{00000000-0005-0000-0000-000045070000}"/>
    <cellStyle name="Accent5 77" xfId="999" xr:uid="{00000000-0005-0000-0000-000046070000}"/>
    <cellStyle name="Accent5 78" xfId="1000" xr:uid="{00000000-0005-0000-0000-000047070000}"/>
    <cellStyle name="Accent5 79" xfId="1001" xr:uid="{00000000-0005-0000-0000-000048070000}"/>
    <cellStyle name="Accent5 8" xfId="1002" xr:uid="{00000000-0005-0000-0000-000049070000}"/>
    <cellStyle name="Accent5 8 2" xfId="1564" xr:uid="{00000000-0005-0000-0000-00004A070000}"/>
    <cellStyle name="Accent5 80" xfId="1003" xr:uid="{00000000-0005-0000-0000-00004B070000}"/>
    <cellStyle name="Accent5 81" xfId="1004" xr:uid="{00000000-0005-0000-0000-00004C070000}"/>
    <cellStyle name="Accent5 82" xfId="1005" xr:uid="{00000000-0005-0000-0000-00004D070000}"/>
    <cellStyle name="Accent5 83" xfId="1006" xr:uid="{00000000-0005-0000-0000-00004E070000}"/>
    <cellStyle name="Accent5 84" xfId="1007" xr:uid="{00000000-0005-0000-0000-00004F070000}"/>
    <cellStyle name="Accent5 85" xfId="1008" xr:uid="{00000000-0005-0000-0000-000050070000}"/>
    <cellStyle name="Accent5 86" xfId="1009" xr:uid="{00000000-0005-0000-0000-000051070000}"/>
    <cellStyle name="Accent5 87" xfId="1010" xr:uid="{00000000-0005-0000-0000-000052070000}"/>
    <cellStyle name="Accent5 88" xfId="1011" xr:uid="{00000000-0005-0000-0000-000053070000}"/>
    <cellStyle name="Accent5 89" xfId="1012" xr:uid="{00000000-0005-0000-0000-000054070000}"/>
    <cellStyle name="Accent5 9" xfId="1013" xr:uid="{00000000-0005-0000-0000-000055070000}"/>
    <cellStyle name="Accent5 9 2" xfId="1565" xr:uid="{00000000-0005-0000-0000-000056070000}"/>
    <cellStyle name="Accent5 90" xfId="1014" xr:uid="{00000000-0005-0000-0000-000057070000}"/>
    <cellStyle name="Accent5 91" xfId="1015" xr:uid="{00000000-0005-0000-0000-000058070000}"/>
    <cellStyle name="Accent5 92" xfId="1016" xr:uid="{00000000-0005-0000-0000-000059070000}"/>
    <cellStyle name="Accent5 93" xfId="1017" xr:uid="{00000000-0005-0000-0000-00005A070000}"/>
    <cellStyle name="Accent5 94" xfId="1018" xr:uid="{00000000-0005-0000-0000-00005B070000}"/>
    <cellStyle name="Accent5 95" xfId="1019" xr:uid="{00000000-0005-0000-0000-00005C070000}"/>
    <cellStyle name="Accent5 96" xfId="1020" xr:uid="{00000000-0005-0000-0000-00005D070000}"/>
    <cellStyle name="Accent5 97" xfId="1021" xr:uid="{00000000-0005-0000-0000-00005E070000}"/>
    <cellStyle name="Accent5 98" xfId="1022" xr:uid="{00000000-0005-0000-0000-00005F070000}"/>
    <cellStyle name="Accent5 99" xfId="1023" xr:uid="{00000000-0005-0000-0000-000060070000}"/>
    <cellStyle name="Accent6 - 20%" xfId="1024" xr:uid="{00000000-0005-0000-0000-000061070000}"/>
    <cellStyle name="Accent6 - 40%" xfId="1025" xr:uid="{00000000-0005-0000-0000-000062070000}"/>
    <cellStyle name="Accent6 - 60%" xfId="1026" xr:uid="{00000000-0005-0000-0000-000063070000}"/>
    <cellStyle name="Accent6 10" xfId="1027" xr:uid="{00000000-0005-0000-0000-000064070000}"/>
    <cellStyle name="Accent6 10 2" xfId="1566" xr:uid="{00000000-0005-0000-0000-000065070000}"/>
    <cellStyle name="Accent6 100" xfId="1028" xr:uid="{00000000-0005-0000-0000-000066070000}"/>
    <cellStyle name="Accent6 101" xfId="1029" xr:uid="{00000000-0005-0000-0000-000067070000}"/>
    <cellStyle name="Accent6 102" xfId="1030" xr:uid="{00000000-0005-0000-0000-000068070000}"/>
    <cellStyle name="Accent6 103" xfId="1031" xr:uid="{00000000-0005-0000-0000-000069070000}"/>
    <cellStyle name="Accent6 104" xfId="1032" xr:uid="{00000000-0005-0000-0000-00006A070000}"/>
    <cellStyle name="Accent6 105" xfId="1033" xr:uid="{00000000-0005-0000-0000-00006B070000}"/>
    <cellStyle name="Accent6 106" xfId="1034" xr:uid="{00000000-0005-0000-0000-00006C070000}"/>
    <cellStyle name="Accent6 107" xfId="1035" xr:uid="{00000000-0005-0000-0000-00006D070000}"/>
    <cellStyle name="Accent6 108" xfId="79" xr:uid="{00000000-0005-0000-0000-00006E070000}"/>
    <cellStyle name="Accent6 11" xfId="1036" xr:uid="{00000000-0005-0000-0000-00006F070000}"/>
    <cellStyle name="Accent6 11 2" xfId="1567" xr:uid="{00000000-0005-0000-0000-000070070000}"/>
    <cellStyle name="Accent6 12" xfId="1037" xr:uid="{00000000-0005-0000-0000-000071070000}"/>
    <cellStyle name="Accent6 12 2" xfId="1568" xr:uid="{00000000-0005-0000-0000-000072070000}"/>
    <cellStyle name="Accent6 13" xfId="1038" xr:uid="{00000000-0005-0000-0000-000073070000}"/>
    <cellStyle name="Accent6 13 2" xfId="1569" xr:uid="{00000000-0005-0000-0000-000074070000}"/>
    <cellStyle name="Accent6 14" xfId="1039" xr:uid="{00000000-0005-0000-0000-000075070000}"/>
    <cellStyle name="Accent6 14 2" xfId="1570" xr:uid="{00000000-0005-0000-0000-000076070000}"/>
    <cellStyle name="Accent6 15" xfId="1040" xr:uid="{00000000-0005-0000-0000-000077070000}"/>
    <cellStyle name="Accent6 15 2" xfId="1571" xr:uid="{00000000-0005-0000-0000-000078070000}"/>
    <cellStyle name="Accent6 16" xfId="1041" xr:uid="{00000000-0005-0000-0000-000079070000}"/>
    <cellStyle name="Accent6 17" xfId="1042" xr:uid="{00000000-0005-0000-0000-00007A070000}"/>
    <cellStyle name="Accent6 18" xfId="1043" xr:uid="{00000000-0005-0000-0000-00007B070000}"/>
    <cellStyle name="Accent6 19" xfId="1044" xr:uid="{00000000-0005-0000-0000-00007C070000}"/>
    <cellStyle name="Accent6 2" xfId="80" xr:uid="{00000000-0005-0000-0000-00007D070000}"/>
    <cellStyle name="Accent6 2 10" xfId="1573" xr:uid="{00000000-0005-0000-0000-00007E070000}"/>
    <cellStyle name="Accent6 2 11" xfId="1574" xr:uid="{00000000-0005-0000-0000-00007F070000}"/>
    <cellStyle name="Accent6 2 12" xfId="1572" xr:uid="{00000000-0005-0000-0000-000080070000}"/>
    <cellStyle name="Accent6 2 2" xfId="1045" xr:uid="{00000000-0005-0000-0000-000081070000}"/>
    <cellStyle name="Accent6 2 2 2" xfId="1575" xr:uid="{00000000-0005-0000-0000-000082070000}"/>
    <cellStyle name="Accent6 2 3" xfId="1577" xr:uid="{00000000-0005-0000-0000-000083070000}"/>
    <cellStyle name="Accent6 2 4" xfId="1578" xr:uid="{00000000-0005-0000-0000-000084070000}"/>
    <cellStyle name="Accent6 2 5" xfId="1579" xr:uid="{00000000-0005-0000-0000-000085070000}"/>
    <cellStyle name="Accent6 2 6" xfId="1580" xr:uid="{00000000-0005-0000-0000-000086070000}"/>
    <cellStyle name="Accent6 2 7" xfId="1581" xr:uid="{00000000-0005-0000-0000-000087070000}"/>
    <cellStyle name="Accent6 2 8" xfId="1582" xr:uid="{00000000-0005-0000-0000-000088070000}"/>
    <cellStyle name="Accent6 2 9" xfId="1583" xr:uid="{00000000-0005-0000-0000-000089070000}"/>
    <cellStyle name="Accent6 20" xfId="1046" xr:uid="{00000000-0005-0000-0000-00008A070000}"/>
    <cellStyle name="Accent6 21" xfId="1047" xr:uid="{00000000-0005-0000-0000-00008B070000}"/>
    <cellStyle name="Accent6 22" xfId="1048" xr:uid="{00000000-0005-0000-0000-00008C070000}"/>
    <cellStyle name="Accent6 23" xfId="1049" xr:uid="{00000000-0005-0000-0000-00008D070000}"/>
    <cellStyle name="Accent6 24" xfId="1050" xr:uid="{00000000-0005-0000-0000-00008E070000}"/>
    <cellStyle name="Accent6 25" xfId="1051" xr:uid="{00000000-0005-0000-0000-00008F070000}"/>
    <cellStyle name="Accent6 26" xfId="1052" xr:uid="{00000000-0005-0000-0000-000090070000}"/>
    <cellStyle name="Accent6 27" xfId="1053" xr:uid="{00000000-0005-0000-0000-000091070000}"/>
    <cellStyle name="Accent6 28" xfId="1054" xr:uid="{00000000-0005-0000-0000-000092070000}"/>
    <cellStyle name="Accent6 29" xfId="1055" xr:uid="{00000000-0005-0000-0000-000093070000}"/>
    <cellStyle name="Accent6 3" xfId="81" xr:uid="{00000000-0005-0000-0000-000094070000}"/>
    <cellStyle name="Accent6 3 10" xfId="1585" xr:uid="{00000000-0005-0000-0000-000095070000}"/>
    <cellStyle name="Accent6 3 11" xfId="1586" xr:uid="{00000000-0005-0000-0000-000096070000}"/>
    <cellStyle name="Accent6 3 12" xfId="1584" xr:uid="{00000000-0005-0000-0000-000097070000}"/>
    <cellStyle name="Accent6 3 2" xfId="1587" xr:uid="{00000000-0005-0000-0000-000098070000}"/>
    <cellStyle name="Accent6 3 3" xfId="1588" xr:uid="{00000000-0005-0000-0000-000099070000}"/>
    <cellStyle name="Accent6 3 4" xfId="1591" xr:uid="{00000000-0005-0000-0000-00009A070000}"/>
    <cellStyle name="Accent6 3 5" xfId="1592" xr:uid="{00000000-0005-0000-0000-00009B070000}"/>
    <cellStyle name="Accent6 3 6" xfId="1593" xr:uid="{00000000-0005-0000-0000-00009C070000}"/>
    <cellStyle name="Accent6 3 7" xfId="1594" xr:uid="{00000000-0005-0000-0000-00009D070000}"/>
    <cellStyle name="Accent6 3 8" xfId="1595" xr:uid="{00000000-0005-0000-0000-00009E070000}"/>
    <cellStyle name="Accent6 3 9" xfId="1596" xr:uid="{00000000-0005-0000-0000-00009F070000}"/>
    <cellStyle name="Accent6 30" xfId="1057" xr:uid="{00000000-0005-0000-0000-0000A0070000}"/>
    <cellStyle name="Accent6 31" xfId="1058" xr:uid="{00000000-0005-0000-0000-0000A1070000}"/>
    <cellStyle name="Accent6 32" xfId="1059" xr:uid="{00000000-0005-0000-0000-0000A2070000}"/>
    <cellStyle name="Accent6 33" xfId="1060" xr:uid="{00000000-0005-0000-0000-0000A3070000}"/>
    <cellStyle name="Accent6 34" xfId="1061" xr:uid="{00000000-0005-0000-0000-0000A4070000}"/>
    <cellStyle name="Accent6 35" xfId="1062" xr:uid="{00000000-0005-0000-0000-0000A5070000}"/>
    <cellStyle name="Accent6 36" xfId="1063" xr:uid="{00000000-0005-0000-0000-0000A6070000}"/>
    <cellStyle name="Accent6 37" xfId="1064" xr:uid="{00000000-0005-0000-0000-0000A7070000}"/>
    <cellStyle name="Accent6 38" xfId="1065" xr:uid="{00000000-0005-0000-0000-0000A8070000}"/>
    <cellStyle name="Accent6 39" xfId="1066" xr:uid="{00000000-0005-0000-0000-0000A9070000}"/>
    <cellStyle name="Accent6 4" xfId="1067" xr:uid="{00000000-0005-0000-0000-0000AA070000}"/>
    <cellStyle name="Accent6 4 10" xfId="1598" xr:uid="{00000000-0005-0000-0000-0000AB070000}"/>
    <cellStyle name="Accent6 4 11" xfId="1599" xr:uid="{00000000-0005-0000-0000-0000AC070000}"/>
    <cellStyle name="Accent6 4 12" xfId="1597" xr:uid="{00000000-0005-0000-0000-0000AD070000}"/>
    <cellStyle name="Accent6 4 2" xfId="1600" xr:uid="{00000000-0005-0000-0000-0000AE070000}"/>
    <cellStyle name="Accent6 4 3" xfId="1601" xr:uid="{00000000-0005-0000-0000-0000AF070000}"/>
    <cellStyle name="Accent6 4 4" xfId="1603" xr:uid="{00000000-0005-0000-0000-0000B0070000}"/>
    <cellStyle name="Accent6 4 5" xfId="1604" xr:uid="{00000000-0005-0000-0000-0000B1070000}"/>
    <cellStyle name="Accent6 4 6" xfId="1605" xr:uid="{00000000-0005-0000-0000-0000B2070000}"/>
    <cellStyle name="Accent6 4 7" xfId="1606" xr:uid="{00000000-0005-0000-0000-0000B3070000}"/>
    <cellStyle name="Accent6 4 8" xfId="1607" xr:uid="{00000000-0005-0000-0000-0000B4070000}"/>
    <cellStyle name="Accent6 4 9" xfId="1608" xr:uid="{00000000-0005-0000-0000-0000B5070000}"/>
    <cellStyle name="Accent6 40" xfId="1068" xr:uid="{00000000-0005-0000-0000-0000B6070000}"/>
    <cellStyle name="Accent6 41" xfId="1069" xr:uid="{00000000-0005-0000-0000-0000B7070000}"/>
    <cellStyle name="Accent6 42" xfId="1070" xr:uid="{00000000-0005-0000-0000-0000B8070000}"/>
    <cellStyle name="Accent6 43" xfId="1071" xr:uid="{00000000-0005-0000-0000-0000B9070000}"/>
    <cellStyle name="Accent6 44" xfId="1072" xr:uid="{00000000-0005-0000-0000-0000BA070000}"/>
    <cellStyle name="Accent6 45" xfId="1073" xr:uid="{00000000-0005-0000-0000-0000BB070000}"/>
    <cellStyle name="Accent6 46" xfId="1074" xr:uid="{00000000-0005-0000-0000-0000BC070000}"/>
    <cellStyle name="Accent6 47" xfId="1075" xr:uid="{00000000-0005-0000-0000-0000BD070000}"/>
    <cellStyle name="Accent6 48" xfId="1076" xr:uid="{00000000-0005-0000-0000-0000BE070000}"/>
    <cellStyle name="Accent6 49" xfId="1077" xr:uid="{00000000-0005-0000-0000-0000BF070000}"/>
    <cellStyle name="Accent6 5" xfId="1078" xr:uid="{00000000-0005-0000-0000-0000C0070000}"/>
    <cellStyle name="Accent6 5 10" xfId="1610" xr:uid="{00000000-0005-0000-0000-0000C1070000}"/>
    <cellStyle name="Accent6 5 11" xfId="1611" xr:uid="{00000000-0005-0000-0000-0000C2070000}"/>
    <cellStyle name="Accent6 5 12" xfId="1609" xr:uid="{00000000-0005-0000-0000-0000C3070000}"/>
    <cellStyle name="Accent6 5 2" xfId="1612" xr:uid="{00000000-0005-0000-0000-0000C4070000}"/>
    <cellStyle name="Accent6 5 3" xfId="1613" xr:uid="{00000000-0005-0000-0000-0000C5070000}"/>
    <cellStyle name="Accent6 5 4" xfId="1637" xr:uid="{00000000-0005-0000-0000-0000C6070000}"/>
    <cellStyle name="Accent6 5 5" xfId="1638" xr:uid="{00000000-0005-0000-0000-0000C7070000}"/>
    <cellStyle name="Accent6 5 6" xfId="1639" xr:uid="{00000000-0005-0000-0000-0000C8070000}"/>
    <cellStyle name="Accent6 5 7" xfId="1640" xr:uid="{00000000-0005-0000-0000-0000C9070000}"/>
    <cellStyle name="Accent6 5 8" xfId="1641" xr:uid="{00000000-0005-0000-0000-0000CA070000}"/>
    <cellStyle name="Accent6 5 9" xfId="1643" xr:uid="{00000000-0005-0000-0000-0000CB070000}"/>
    <cellStyle name="Accent6 50" xfId="1079" xr:uid="{00000000-0005-0000-0000-0000CC070000}"/>
    <cellStyle name="Accent6 51" xfId="1080" xr:uid="{00000000-0005-0000-0000-0000CD070000}"/>
    <cellStyle name="Accent6 52" xfId="1081" xr:uid="{00000000-0005-0000-0000-0000CE070000}"/>
    <cellStyle name="Accent6 53" xfId="1082" xr:uid="{00000000-0005-0000-0000-0000CF070000}"/>
    <cellStyle name="Accent6 54" xfId="1083" xr:uid="{00000000-0005-0000-0000-0000D0070000}"/>
    <cellStyle name="Accent6 55" xfId="1084" xr:uid="{00000000-0005-0000-0000-0000D1070000}"/>
    <cellStyle name="Accent6 56" xfId="1085" xr:uid="{00000000-0005-0000-0000-0000D2070000}"/>
    <cellStyle name="Accent6 57" xfId="1086" xr:uid="{00000000-0005-0000-0000-0000D3070000}"/>
    <cellStyle name="Accent6 58" xfId="1087" xr:uid="{00000000-0005-0000-0000-0000D4070000}"/>
    <cellStyle name="Accent6 59" xfId="1088" xr:uid="{00000000-0005-0000-0000-0000D5070000}"/>
    <cellStyle name="Accent6 6" xfId="1089" xr:uid="{00000000-0005-0000-0000-0000D6070000}"/>
    <cellStyle name="Accent6 6 2" xfId="1644" xr:uid="{00000000-0005-0000-0000-0000D7070000}"/>
    <cellStyle name="Accent6 60" xfId="1090" xr:uid="{00000000-0005-0000-0000-0000D8070000}"/>
    <cellStyle name="Accent6 61" xfId="1091" xr:uid="{00000000-0005-0000-0000-0000D9070000}"/>
    <cellStyle name="Accent6 62" xfId="1092" xr:uid="{00000000-0005-0000-0000-0000DA070000}"/>
    <cellStyle name="Accent6 63" xfId="1093" xr:uid="{00000000-0005-0000-0000-0000DB070000}"/>
    <cellStyle name="Accent6 64" xfId="1094" xr:uid="{00000000-0005-0000-0000-0000DC070000}"/>
    <cellStyle name="Accent6 65" xfId="1095" xr:uid="{00000000-0005-0000-0000-0000DD070000}"/>
    <cellStyle name="Accent6 66" xfId="1096" xr:uid="{00000000-0005-0000-0000-0000DE070000}"/>
    <cellStyle name="Accent6 67" xfId="1097" xr:uid="{00000000-0005-0000-0000-0000DF070000}"/>
    <cellStyle name="Accent6 68" xfId="1098" xr:uid="{00000000-0005-0000-0000-0000E0070000}"/>
    <cellStyle name="Accent6 69" xfId="1099" xr:uid="{00000000-0005-0000-0000-0000E1070000}"/>
    <cellStyle name="Accent6 7" xfId="1100" xr:uid="{00000000-0005-0000-0000-0000E2070000}"/>
    <cellStyle name="Accent6 7 2" xfId="1645" xr:uid="{00000000-0005-0000-0000-0000E3070000}"/>
    <cellStyle name="Accent6 70" xfId="1101" xr:uid="{00000000-0005-0000-0000-0000E4070000}"/>
    <cellStyle name="Accent6 71" xfId="1102" xr:uid="{00000000-0005-0000-0000-0000E5070000}"/>
    <cellStyle name="Accent6 72" xfId="1103" xr:uid="{00000000-0005-0000-0000-0000E6070000}"/>
    <cellStyle name="Accent6 73" xfId="1104" xr:uid="{00000000-0005-0000-0000-0000E7070000}"/>
    <cellStyle name="Accent6 74" xfId="1105" xr:uid="{00000000-0005-0000-0000-0000E8070000}"/>
    <cellStyle name="Accent6 75" xfId="1106" xr:uid="{00000000-0005-0000-0000-0000E9070000}"/>
    <cellStyle name="Accent6 76" xfId="1107" xr:uid="{00000000-0005-0000-0000-0000EA070000}"/>
    <cellStyle name="Accent6 77" xfId="1108" xr:uid="{00000000-0005-0000-0000-0000EB070000}"/>
    <cellStyle name="Accent6 78" xfId="1109" xr:uid="{00000000-0005-0000-0000-0000EC070000}"/>
    <cellStyle name="Accent6 79" xfId="1110" xr:uid="{00000000-0005-0000-0000-0000ED070000}"/>
    <cellStyle name="Accent6 8" xfId="1111" xr:uid="{00000000-0005-0000-0000-0000EE070000}"/>
    <cellStyle name="Accent6 8 2" xfId="1646" xr:uid="{00000000-0005-0000-0000-0000EF070000}"/>
    <cellStyle name="Accent6 80" xfId="1112" xr:uid="{00000000-0005-0000-0000-0000F0070000}"/>
    <cellStyle name="Accent6 81" xfId="1113" xr:uid="{00000000-0005-0000-0000-0000F1070000}"/>
    <cellStyle name="Accent6 82" xfId="1114" xr:uid="{00000000-0005-0000-0000-0000F2070000}"/>
    <cellStyle name="Accent6 83" xfId="1115" xr:uid="{00000000-0005-0000-0000-0000F3070000}"/>
    <cellStyle name="Accent6 84" xfId="1116" xr:uid="{00000000-0005-0000-0000-0000F4070000}"/>
    <cellStyle name="Accent6 85" xfId="1117" xr:uid="{00000000-0005-0000-0000-0000F5070000}"/>
    <cellStyle name="Accent6 86" xfId="1118" xr:uid="{00000000-0005-0000-0000-0000F6070000}"/>
    <cellStyle name="Accent6 87" xfId="1119" xr:uid="{00000000-0005-0000-0000-0000F7070000}"/>
    <cellStyle name="Accent6 88" xfId="1120" xr:uid="{00000000-0005-0000-0000-0000F8070000}"/>
    <cellStyle name="Accent6 89" xfId="1121" xr:uid="{00000000-0005-0000-0000-0000F9070000}"/>
    <cellStyle name="Accent6 9" xfId="1122" xr:uid="{00000000-0005-0000-0000-0000FA070000}"/>
    <cellStyle name="Accent6 9 2" xfId="1648" xr:uid="{00000000-0005-0000-0000-0000FB070000}"/>
    <cellStyle name="Accent6 90" xfId="1123" xr:uid="{00000000-0005-0000-0000-0000FC070000}"/>
    <cellStyle name="Accent6 91" xfId="1124" xr:uid="{00000000-0005-0000-0000-0000FD070000}"/>
    <cellStyle name="Accent6 92" xfId="1125" xr:uid="{00000000-0005-0000-0000-0000FE070000}"/>
    <cellStyle name="Accent6 93" xfId="1126" xr:uid="{00000000-0005-0000-0000-0000FF070000}"/>
    <cellStyle name="Accent6 94" xfId="1127" xr:uid="{00000000-0005-0000-0000-000000080000}"/>
    <cellStyle name="Accent6 95" xfId="1128" xr:uid="{00000000-0005-0000-0000-000001080000}"/>
    <cellStyle name="Accent6 96" xfId="1129" xr:uid="{00000000-0005-0000-0000-000002080000}"/>
    <cellStyle name="Accent6 97" xfId="1130" xr:uid="{00000000-0005-0000-0000-000003080000}"/>
    <cellStyle name="Accent6 98" xfId="1131" xr:uid="{00000000-0005-0000-0000-000004080000}"/>
    <cellStyle name="Accent6 99" xfId="1132" xr:uid="{00000000-0005-0000-0000-000005080000}"/>
    <cellStyle name="Bad 10" xfId="1660" xr:uid="{00000000-0005-0000-0000-000006080000}"/>
    <cellStyle name="Bad 11" xfId="1661" xr:uid="{00000000-0005-0000-0000-000007080000}"/>
    <cellStyle name="Bad 12" xfId="1663" xr:uid="{00000000-0005-0000-0000-000008080000}"/>
    <cellStyle name="Bad 13" xfId="1666" xr:uid="{00000000-0005-0000-0000-000009080000}"/>
    <cellStyle name="Bad 14" xfId="1669" xr:uid="{00000000-0005-0000-0000-00000A080000}"/>
    <cellStyle name="Bad 15" xfId="1670" xr:uid="{00000000-0005-0000-0000-00000B080000}"/>
    <cellStyle name="Bad 16" xfId="82" xr:uid="{00000000-0005-0000-0000-00000C080000}"/>
    <cellStyle name="Bad 2" xfId="83" xr:uid="{00000000-0005-0000-0000-00000D080000}"/>
    <cellStyle name="Bad 2 10" xfId="1673" xr:uid="{00000000-0005-0000-0000-00000E080000}"/>
    <cellStyle name="Bad 2 11" xfId="1678" xr:uid="{00000000-0005-0000-0000-00000F080000}"/>
    <cellStyle name="Bad 2 12" xfId="1672" xr:uid="{00000000-0005-0000-0000-000010080000}"/>
    <cellStyle name="Bad 2 2" xfId="1133" xr:uid="{00000000-0005-0000-0000-000011080000}"/>
    <cellStyle name="Bad 2 2 2" xfId="1679" xr:uid="{00000000-0005-0000-0000-000012080000}"/>
    <cellStyle name="Bad 2 3" xfId="1680" xr:uid="{00000000-0005-0000-0000-000013080000}"/>
    <cellStyle name="Bad 2 4" xfId="1684" xr:uid="{00000000-0005-0000-0000-000014080000}"/>
    <cellStyle name="Bad 2 5" xfId="1685" xr:uid="{00000000-0005-0000-0000-000015080000}"/>
    <cellStyle name="Bad 2 6" xfId="1689" xr:uid="{00000000-0005-0000-0000-000016080000}"/>
    <cellStyle name="Bad 2 7" xfId="1690" xr:uid="{00000000-0005-0000-0000-000017080000}"/>
    <cellStyle name="Bad 2 8" xfId="1714" xr:uid="{00000000-0005-0000-0000-000018080000}"/>
    <cellStyle name="Bad 2 9" xfId="1716" xr:uid="{00000000-0005-0000-0000-000019080000}"/>
    <cellStyle name="Bad 3" xfId="84" xr:uid="{00000000-0005-0000-0000-00001A080000}"/>
    <cellStyle name="Bad 3 10" xfId="1749" xr:uid="{00000000-0005-0000-0000-00001B080000}"/>
    <cellStyle name="Bad 3 11" xfId="1753" xr:uid="{00000000-0005-0000-0000-00001C080000}"/>
    <cellStyle name="Bad 3 12" xfId="1748" xr:uid="{00000000-0005-0000-0000-00001D080000}"/>
    <cellStyle name="Bad 3 2" xfId="1754" xr:uid="{00000000-0005-0000-0000-00001E080000}"/>
    <cellStyle name="Bad 3 3" xfId="1756" xr:uid="{00000000-0005-0000-0000-00001F080000}"/>
    <cellStyle name="Bad 3 4" xfId="1759" xr:uid="{00000000-0005-0000-0000-000020080000}"/>
    <cellStyle name="Bad 3 5" xfId="1767" xr:uid="{00000000-0005-0000-0000-000021080000}"/>
    <cellStyle name="Bad 3 6" xfId="1774" xr:uid="{00000000-0005-0000-0000-000022080000}"/>
    <cellStyle name="Bad 3 7" xfId="1775" xr:uid="{00000000-0005-0000-0000-000023080000}"/>
    <cellStyle name="Bad 3 8" xfId="1776" xr:uid="{00000000-0005-0000-0000-000024080000}"/>
    <cellStyle name="Bad 3 9" xfId="2934" xr:uid="{00000000-0005-0000-0000-000025080000}"/>
    <cellStyle name="Bad 4" xfId="1135" xr:uid="{00000000-0005-0000-0000-000026080000}"/>
    <cellStyle name="Bad 4 10" xfId="2936" xr:uid="{00000000-0005-0000-0000-000027080000}"/>
    <cellStyle name="Bad 4 11" xfId="2937" xr:uid="{00000000-0005-0000-0000-000028080000}"/>
    <cellStyle name="Bad 4 12" xfId="2935" xr:uid="{00000000-0005-0000-0000-000029080000}"/>
    <cellStyle name="Bad 4 2" xfId="2938" xr:uid="{00000000-0005-0000-0000-00002A080000}"/>
    <cellStyle name="Bad 4 3" xfId="2939" xr:uid="{00000000-0005-0000-0000-00002B080000}"/>
    <cellStyle name="Bad 4 4" xfId="2940" xr:uid="{00000000-0005-0000-0000-00002C080000}"/>
    <cellStyle name="Bad 4 5" xfId="2941" xr:uid="{00000000-0005-0000-0000-00002D080000}"/>
    <cellStyle name="Bad 4 6" xfId="2942" xr:uid="{00000000-0005-0000-0000-00002E080000}"/>
    <cellStyle name="Bad 4 7" xfId="2943" xr:uid="{00000000-0005-0000-0000-00002F080000}"/>
    <cellStyle name="Bad 4 8" xfId="2944" xr:uid="{00000000-0005-0000-0000-000030080000}"/>
    <cellStyle name="Bad 4 9" xfId="2945" xr:uid="{00000000-0005-0000-0000-000031080000}"/>
    <cellStyle name="Bad 5" xfId="2946" xr:uid="{00000000-0005-0000-0000-000032080000}"/>
    <cellStyle name="Bad 5 10" xfId="2947" xr:uid="{00000000-0005-0000-0000-000033080000}"/>
    <cellStyle name="Bad 5 11" xfId="2948" xr:uid="{00000000-0005-0000-0000-000034080000}"/>
    <cellStyle name="Bad 5 2" xfId="2949" xr:uid="{00000000-0005-0000-0000-000035080000}"/>
    <cellStyle name="Bad 5 3" xfId="2950" xr:uid="{00000000-0005-0000-0000-000036080000}"/>
    <cellStyle name="Bad 5 4" xfId="2951" xr:uid="{00000000-0005-0000-0000-000037080000}"/>
    <cellStyle name="Bad 5 5" xfId="2952" xr:uid="{00000000-0005-0000-0000-000038080000}"/>
    <cellStyle name="Bad 5 6" xfId="2953" xr:uid="{00000000-0005-0000-0000-000039080000}"/>
    <cellStyle name="Bad 5 7" xfId="2954" xr:uid="{00000000-0005-0000-0000-00003A080000}"/>
    <cellStyle name="Bad 5 8" xfId="2955" xr:uid="{00000000-0005-0000-0000-00003B080000}"/>
    <cellStyle name="Bad 5 9" xfId="2956" xr:uid="{00000000-0005-0000-0000-00003C080000}"/>
    <cellStyle name="Bad 6" xfId="2957" xr:uid="{00000000-0005-0000-0000-00003D080000}"/>
    <cellStyle name="Bad 7" xfId="2958" xr:uid="{00000000-0005-0000-0000-00003E080000}"/>
    <cellStyle name="Bad 8" xfId="2959" xr:uid="{00000000-0005-0000-0000-00003F080000}"/>
    <cellStyle name="Bad 9" xfId="2960" xr:uid="{00000000-0005-0000-0000-000040080000}"/>
    <cellStyle name="Calculation 10" xfId="2961" xr:uid="{00000000-0005-0000-0000-000041080000}"/>
    <cellStyle name="Calculation 11" xfId="2962" xr:uid="{00000000-0005-0000-0000-000042080000}"/>
    <cellStyle name="Calculation 12" xfId="2963" xr:uid="{00000000-0005-0000-0000-000043080000}"/>
    <cellStyle name="Calculation 13" xfId="2964" xr:uid="{00000000-0005-0000-0000-000044080000}"/>
    <cellStyle name="Calculation 14" xfId="2965" xr:uid="{00000000-0005-0000-0000-000045080000}"/>
    <cellStyle name="Calculation 15" xfId="2966" xr:uid="{00000000-0005-0000-0000-000046080000}"/>
    <cellStyle name="Calculation 16" xfId="85" xr:uid="{00000000-0005-0000-0000-000047080000}"/>
    <cellStyle name="Calculation 2" xfId="86" xr:uid="{00000000-0005-0000-0000-000048080000}"/>
    <cellStyle name="Calculation 2 10" xfId="2968" xr:uid="{00000000-0005-0000-0000-000049080000}"/>
    <cellStyle name="Calculation 2 11" xfId="2969" xr:uid="{00000000-0005-0000-0000-00004A080000}"/>
    <cellStyle name="Calculation 2 12" xfId="2967" xr:uid="{00000000-0005-0000-0000-00004B080000}"/>
    <cellStyle name="Calculation 2 2" xfId="1136" xr:uid="{00000000-0005-0000-0000-00004C080000}"/>
    <cellStyle name="Calculation 2 2 2" xfId="2970" xr:uid="{00000000-0005-0000-0000-00004D080000}"/>
    <cellStyle name="Calculation 2 3" xfId="2971" xr:uid="{00000000-0005-0000-0000-00004E080000}"/>
    <cellStyle name="Calculation 2 4" xfId="2972" xr:uid="{00000000-0005-0000-0000-00004F080000}"/>
    <cellStyle name="Calculation 2 5" xfId="2973" xr:uid="{00000000-0005-0000-0000-000050080000}"/>
    <cellStyle name="Calculation 2 6" xfId="2974" xr:uid="{00000000-0005-0000-0000-000051080000}"/>
    <cellStyle name="Calculation 2 7" xfId="2975" xr:uid="{00000000-0005-0000-0000-000052080000}"/>
    <cellStyle name="Calculation 2 8" xfId="2976" xr:uid="{00000000-0005-0000-0000-000053080000}"/>
    <cellStyle name="Calculation 2 9" xfId="2977" xr:uid="{00000000-0005-0000-0000-000054080000}"/>
    <cellStyle name="Calculation 3" xfId="87" xr:uid="{00000000-0005-0000-0000-000055080000}"/>
    <cellStyle name="Calculation 3 10" xfId="2979" xr:uid="{00000000-0005-0000-0000-000056080000}"/>
    <cellStyle name="Calculation 3 11" xfId="2980" xr:uid="{00000000-0005-0000-0000-000057080000}"/>
    <cellStyle name="Calculation 3 12" xfId="2978" xr:uid="{00000000-0005-0000-0000-000058080000}"/>
    <cellStyle name="Calculation 3 2" xfId="2981" xr:uid="{00000000-0005-0000-0000-000059080000}"/>
    <cellStyle name="Calculation 3 3" xfId="2982" xr:uid="{00000000-0005-0000-0000-00005A080000}"/>
    <cellStyle name="Calculation 3 4" xfId="2983" xr:uid="{00000000-0005-0000-0000-00005B080000}"/>
    <cellStyle name="Calculation 3 5" xfId="2984" xr:uid="{00000000-0005-0000-0000-00005C080000}"/>
    <cellStyle name="Calculation 3 6" xfId="2985" xr:uid="{00000000-0005-0000-0000-00005D080000}"/>
    <cellStyle name="Calculation 3 7" xfId="2986" xr:uid="{00000000-0005-0000-0000-00005E080000}"/>
    <cellStyle name="Calculation 3 8" xfId="2987" xr:uid="{00000000-0005-0000-0000-00005F080000}"/>
    <cellStyle name="Calculation 3 9" xfId="2988" xr:uid="{00000000-0005-0000-0000-000060080000}"/>
    <cellStyle name="Calculation 4" xfId="1138" xr:uid="{00000000-0005-0000-0000-000061080000}"/>
    <cellStyle name="Calculation 4 10" xfId="2990" xr:uid="{00000000-0005-0000-0000-000062080000}"/>
    <cellStyle name="Calculation 4 11" xfId="2991" xr:uid="{00000000-0005-0000-0000-000063080000}"/>
    <cellStyle name="Calculation 4 12" xfId="2989" xr:uid="{00000000-0005-0000-0000-000064080000}"/>
    <cellStyle name="Calculation 4 2" xfId="2992" xr:uid="{00000000-0005-0000-0000-000065080000}"/>
    <cellStyle name="Calculation 4 3" xfId="2993" xr:uid="{00000000-0005-0000-0000-000066080000}"/>
    <cellStyle name="Calculation 4 4" xfId="2994" xr:uid="{00000000-0005-0000-0000-000067080000}"/>
    <cellStyle name="Calculation 4 5" xfId="2995" xr:uid="{00000000-0005-0000-0000-000068080000}"/>
    <cellStyle name="Calculation 4 6" xfId="2996" xr:uid="{00000000-0005-0000-0000-000069080000}"/>
    <cellStyle name="Calculation 4 7" xfId="2997" xr:uid="{00000000-0005-0000-0000-00006A080000}"/>
    <cellStyle name="Calculation 4 8" xfId="2998" xr:uid="{00000000-0005-0000-0000-00006B080000}"/>
    <cellStyle name="Calculation 4 9" xfId="2999" xr:uid="{00000000-0005-0000-0000-00006C080000}"/>
    <cellStyle name="Calculation 5" xfId="3000" xr:uid="{00000000-0005-0000-0000-00006D080000}"/>
    <cellStyle name="Calculation 5 10" xfId="3001" xr:uid="{00000000-0005-0000-0000-00006E080000}"/>
    <cellStyle name="Calculation 5 11" xfId="3002" xr:uid="{00000000-0005-0000-0000-00006F080000}"/>
    <cellStyle name="Calculation 5 2" xfId="3003" xr:uid="{00000000-0005-0000-0000-000070080000}"/>
    <cellStyle name="Calculation 5 3" xfId="3004" xr:uid="{00000000-0005-0000-0000-000071080000}"/>
    <cellStyle name="Calculation 5 4" xfId="3005" xr:uid="{00000000-0005-0000-0000-000072080000}"/>
    <cellStyle name="Calculation 5 5" xfId="3006" xr:uid="{00000000-0005-0000-0000-000073080000}"/>
    <cellStyle name="Calculation 5 6" xfId="3007" xr:uid="{00000000-0005-0000-0000-000074080000}"/>
    <cellStyle name="Calculation 5 7" xfId="3008" xr:uid="{00000000-0005-0000-0000-000075080000}"/>
    <cellStyle name="Calculation 5 8" xfId="3009" xr:uid="{00000000-0005-0000-0000-000076080000}"/>
    <cellStyle name="Calculation 5 9" xfId="3010" xr:uid="{00000000-0005-0000-0000-000077080000}"/>
    <cellStyle name="Calculation 6" xfId="3011" xr:uid="{00000000-0005-0000-0000-000078080000}"/>
    <cellStyle name="Calculation 7" xfId="3012" xr:uid="{00000000-0005-0000-0000-000079080000}"/>
    <cellStyle name="Calculation 8" xfId="3013" xr:uid="{00000000-0005-0000-0000-00007A080000}"/>
    <cellStyle name="Calculation 9" xfId="3014" xr:uid="{00000000-0005-0000-0000-00007B080000}"/>
    <cellStyle name="Check Cell 10" xfId="3015" xr:uid="{00000000-0005-0000-0000-00007C080000}"/>
    <cellStyle name="Check Cell 11" xfId="3016" xr:uid="{00000000-0005-0000-0000-00007D080000}"/>
    <cellStyle name="Check Cell 12" xfId="3017" xr:uid="{00000000-0005-0000-0000-00007E080000}"/>
    <cellStyle name="Check Cell 13" xfId="3018" xr:uid="{00000000-0005-0000-0000-00007F080000}"/>
    <cellStyle name="Check Cell 14" xfId="3019" xr:uid="{00000000-0005-0000-0000-000080080000}"/>
    <cellStyle name="Check Cell 15" xfId="3020" xr:uid="{00000000-0005-0000-0000-000081080000}"/>
    <cellStyle name="Check Cell 16" xfId="88" xr:uid="{00000000-0005-0000-0000-000082080000}"/>
    <cellStyle name="Check Cell 2" xfId="89" xr:uid="{00000000-0005-0000-0000-000083080000}"/>
    <cellStyle name="Check Cell 2 10" xfId="3022" xr:uid="{00000000-0005-0000-0000-000084080000}"/>
    <cellStyle name="Check Cell 2 11" xfId="3023" xr:uid="{00000000-0005-0000-0000-000085080000}"/>
    <cellStyle name="Check Cell 2 12" xfId="3021" xr:uid="{00000000-0005-0000-0000-000086080000}"/>
    <cellStyle name="Check Cell 2 2" xfId="1139" xr:uid="{00000000-0005-0000-0000-000087080000}"/>
    <cellStyle name="Check Cell 2 2 2" xfId="3024" xr:uid="{00000000-0005-0000-0000-000088080000}"/>
    <cellStyle name="Check Cell 2 3" xfId="3025" xr:uid="{00000000-0005-0000-0000-000089080000}"/>
    <cellStyle name="Check Cell 2 4" xfId="3026" xr:uid="{00000000-0005-0000-0000-00008A080000}"/>
    <cellStyle name="Check Cell 2 5" xfId="3027" xr:uid="{00000000-0005-0000-0000-00008B080000}"/>
    <cellStyle name="Check Cell 2 6" xfId="3028" xr:uid="{00000000-0005-0000-0000-00008C080000}"/>
    <cellStyle name="Check Cell 2 7" xfId="3029" xr:uid="{00000000-0005-0000-0000-00008D080000}"/>
    <cellStyle name="Check Cell 2 8" xfId="3030" xr:uid="{00000000-0005-0000-0000-00008E080000}"/>
    <cellStyle name="Check Cell 2 9" xfId="3031" xr:uid="{00000000-0005-0000-0000-00008F080000}"/>
    <cellStyle name="Check Cell 3" xfId="90" xr:uid="{00000000-0005-0000-0000-000090080000}"/>
    <cellStyle name="Check Cell 3 10" xfId="3033" xr:uid="{00000000-0005-0000-0000-000091080000}"/>
    <cellStyle name="Check Cell 3 11" xfId="3034" xr:uid="{00000000-0005-0000-0000-000092080000}"/>
    <cellStyle name="Check Cell 3 12" xfId="3032" xr:uid="{00000000-0005-0000-0000-000093080000}"/>
    <cellStyle name="Check Cell 3 2" xfId="3035" xr:uid="{00000000-0005-0000-0000-000094080000}"/>
    <cellStyle name="Check Cell 3 3" xfId="3036" xr:uid="{00000000-0005-0000-0000-000095080000}"/>
    <cellStyle name="Check Cell 3 4" xfId="3037" xr:uid="{00000000-0005-0000-0000-000096080000}"/>
    <cellStyle name="Check Cell 3 5" xfId="3038" xr:uid="{00000000-0005-0000-0000-000097080000}"/>
    <cellStyle name="Check Cell 3 6" xfId="3039" xr:uid="{00000000-0005-0000-0000-000098080000}"/>
    <cellStyle name="Check Cell 3 7" xfId="3040" xr:uid="{00000000-0005-0000-0000-000099080000}"/>
    <cellStyle name="Check Cell 3 8" xfId="3041" xr:uid="{00000000-0005-0000-0000-00009A080000}"/>
    <cellStyle name="Check Cell 3 9" xfId="3042" xr:uid="{00000000-0005-0000-0000-00009B080000}"/>
    <cellStyle name="Check Cell 4" xfId="1141" xr:uid="{00000000-0005-0000-0000-00009C080000}"/>
    <cellStyle name="Check Cell 4 10" xfId="3044" xr:uid="{00000000-0005-0000-0000-00009D080000}"/>
    <cellStyle name="Check Cell 4 11" xfId="3045" xr:uid="{00000000-0005-0000-0000-00009E080000}"/>
    <cellStyle name="Check Cell 4 12" xfId="3043" xr:uid="{00000000-0005-0000-0000-00009F080000}"/>
    <cellStyle name="Check Cell 4 2" xfId="3046" xr:uid="{00000000-0005-0000-0000-0000A0080000}"/>
    <cellStyle name="Check Cell 4 3" xfId="3047" xr:uid="{00000000-0005-0000-0000-0000A1080000}"/>
    <cellStyle name="Check Cell 4 4" xfId="3048" xr:uid="{00000000-0005-0000-0000-0000A2080000}"/>
    <cellStyle name="Check Cell 4 5" xfId="3049" xr:uid="{00000000-0005-0000-0000-0000A3080000}"/>
    <cellStyle name="Check Cell 4 6" xfId="3050" xr:uid="{00000000-0005-0000-0000-0000A4080000}"/>
    <cellStyle name="Check Cell 4 7" xfId="3051" xr:uid="{00000000-0005-0000-0000-0000A5080000}"/>
    <cellStyle name="Check Cell 4 8" xfId="3052" xr:uid="{00000000-0005-0000-0000-0000A6080000}"/>
    <cellStyle name="Check Cell 4 9" xfId="3053" xr:uid="{00000000-0005-0000-0000-0000A7080000}"/>
    <cellStyle name="Check Cell 5" xfId="3054" xr:uid="{00000000-0005-0000-0000-0000A8080000}"/>
    <cellStyle name="Check Cell 5 10" xfId="3055" xr:uid="{00000000-0005-0000-0000-0000A9080000}"/>
    <cellStyle name="Check Cell 5 11" xfId="3056" xr:uid="{00000000-0005-0000-0000-0000AA080000}"/>
    <cellStyle name="Check Cell 5 2" xfId="3057" xr:uid="{00000000-0005-0000-0000-0000AB080000}"/>
    <cellStyle name="Check Cell 5 3" xfId="3058" xr:uid="{00000000-0005-0000-0000-0000AC080000}"/>
    <cellStyle name="Check Cell 5 4" xfId="3059" xr:uid="{00000000-0005-0000-0000-0000AD080000}"/>
    <cellStyle name="Check Cell 5 5" xfId="3060" xr:uid="{00000000-0005-0000-0000-0000AE080000}"/>
    <cellStyle name="Check Cell 5 6" xfId="3061" xr:uid="{00000000-0005-0000-0000-0000AF080000}"/>
    <cellStyle name="Check Cell 5 7" xfId="3062" xr:uid="{00000000-0005-0000-0000-0000B0080000}"/>
    <cellStyle name="Check Cell 5 8" xfId="3063" xr:uid="{00000000-0005-0000-0000-0000B1080000}"/>
    <cellStyle name="Check Cell 5 9" xfId="3064" xr:uid="{00000000-0005-0000-0000-0000B2080000}"/>
    <cellStyle name="Check Cell 6" xfId="3065" xr:uid="{00000000-0005-0000-0000-0000B3080000}"/>
    <cellStyle name="Check Cell 7" xfId="3066" xr:uid="{00000000-0005-0000-0000-0000B4080000}"/>
    <cellStyle name="Check Cell 8" xfId="3067" xr:uid="{00000000-0005-0000-0000-0000B5080000}"/>
    <cellStyle name="Check Cell 9" xfId="3068" xr:uid="{00000000-0005-0000-0000-0000B6080000}"/>
    <cellStyle name="Comma" xfId="1" builtinId="3"/>
    <cellStyle name="Comma  - Style1" xfId="262" xr:uid="{00000000-0005-0000-0000-0000B8080000}"/>
    <cellStyle name="Comma [0] 2" xfId="3069" xr:uid="{00000000-0005-0000-0000-0000B9080000}"/>
    <cellStyle name="Comma [0] 2 2" xfId="3070" xr:uid="{00000000-0005-0000-0000-0000BA080000}"/>
    <cellStyle name="Comma 10" xfId="263" xr:uid="{00000000-0005-0000-0000-0000BB080000}"/>
    <cellStyle name="Comma 11" xfId="264" xr:uid="{00000000-0005-0000-0000-0000BC080000}"/>
    <cellStyle name="Comma 11 2" xfId="1145" xr:uid="{00000000-0005-0000-0000-0000BD080000}"/>
    <cellStyle name="Comma 11 3" xfId="1144" xr:uid="{00000000-0005-0000-0000-0000BE080000}"/>
    <cellStyle name="Comma 12" xfId="265" xr:uid="{00000000-0005-0000-0000-0000BF080000}"/>
    <cellStyle name="Comma 12 2" xfId="266" xr:uid="{00000000-0005-0000-0000-0000C0080000}"/>
    <cellStyle name="Comma 12 2 2" xfId="1147" xr:uid="{00000000-0005-0000-0000-0000C1080000}"/>
    <cellStyle name="Comma 12 3" xfId="1146" xr:uid="{00000000-0005-0000-0000-0000C2080000}"/>
    <cellStyle name="Comma 13" xfId="267" xr:uid="{00000000-0005-0000-0000-0000C3080000}"/>
    <cellStyle name="Comma 14" xfId="268" xr:uid="{00000000-0005-0000-0000-0000C4080000}"/>
    <cellStyle name="Comma 15" xfId="269" xr:uid="{00000000-0005-0000-0000-0000C5080000}"/>
    <cellStyle name="Comma 16" xfId="270" xr:uid="{00000000-0005-0000-0000-0000C6080000}"/>
    <cellStyle name="Comma 16 2" xfId="1151" xr:uid="{00000000-0005-0000-0000-0000C7080000}"/>
    <cellStyle name="Comma 17" xfId="271" xr:uid="{00000000-0005-0000-0000-0000C8080000}"/>
    <cellStyle name="Comma 17 2" xfId="1152" xr:uid="{00000000-0005-0000-0000-0000C9080000}"/>
    <cellStyle name="Comma 18" xfId="272" xr:uid="{00000000-0005-0000-0000-0000CA080000}"/>
    <cellStyle name="Comma 18 2" xfId="1153" xr:uid="{00000000-0005-0000-0000-0000CB080000}"/>
    <cellStyle name="Comma 19" xfId="273" xr:uid="{00000000-0005-0000-0000-0000CC080000}"/>
    <cellStyle name="Comma 19 2" xfId="1154" xr:uid="{00000000-0005-0000-0000-0000CD080000}"/>
    <cellStyle name="Comma 191 2" xfId="4108" xr:uid="{00000000-0005-0000-0000-0000CE080000}"/>
    <cellStyle name="Comma 2" xfId="4" xr:uid="{00000000-0005-0000-0000-0000CF080000}"/>
    <cellStyle name="Comma 2 10" xfId="4073" xr:uid="{00000000-0005-0000-0000-0000D0080000}"/>
    <cellStyle name="Comma 2 11" xfId="92" xr:uid="{00000000-0005-0000-0000-0000D1080000}"/>
    <cellStyle name="Comma 2 2" xfId="93" xr:uid="{00000000-0005-0000-0000-0000D2080000}"/>
    <cellStyle name="Comma 2 2 2" xfId="218" xr:uid="{00000000-0005-0000-0000-0000D3080000}"/>
    <cellStyle name="Comma 2 2 3" xfId="1156" xr:uid="{00000000-0005-0000-0000-0000D4080000}"/>
    <cellStyle name="Comma 2 3" xfId="94" xr:uid="{00000000-0005-0000-0000-0000D5080000}"/>
    <cellStyle name="Comma 2 3 2" xfId="274" xr:uid="{00000000-0005-0000-0000-0000D6080000}"/>
    <cellStyle name="Comma 2 3 3" xfId="1157" xr:uid="{00000000-0005-0000-0000-0000D7080000}"/>
    <cellStyle name="Comma 2 3 4" xfId="3072" xr:uid="{00000000-0005-0000-0000-0000D8080000}"/>
    <cellStyle name="Comma 2 4" xfId="165" xr:uid="{00000000-0005-0000-0000-0000D9080000}"/>
    <cellStyle name="Comma 2 4 2" xfId="1158" xr:uid="{00000000-0005-0000-0000-0000DA080000}"/>
    <cellStyle name="Comma 2 5" xfId="217" xr:uid="{00000000-0005-0000-0000-0000DB080000}"/>
    <cellStyle name="Comma 2 6" xfId="235" xr:uid="{00000000-0005-0000-0000-0000DC080000}"/>
    <cellStyle name="Comma 2 7" xfId="261" xr:uid="{00000000-0005-0000-0000-0000DD080000}"/>
    <cellStyle name="Comma 2 8" xfId="1155" xr:uid="{00000000-0005-0000-0000-0000DE080000}"/>
    <cellStyle name="Comma 2 9" xfId="3071" xr:uid="{00000000-0005-0000-0000-0000DF080000}"/>
    <cellStyle name="Comma 20" xfId="275" xr:uid="{00000000-0005-0000-0000-0000E0080000}"/>
    <cellStyle name="Comma 20 2" xfId="1159" xr:uid="{00000000-0005-0000-0000-0000E1080000}"/>
    <cellStyle name="Comma 21" xfId="276" xr:uid="{00000000-0005-0000-0000-0000E2080000}"/>
    <cellStyle name="Comma 21 2" xfId="1160" xr:uid="{00000000-0005-0000-0000-0000E3080000}"/>
    <cellStyle name="Comma 22" xfId="277" xr:uid="{00000000-0005-0000-0000-0000E4080000}"/>
    <cellStyle name="Comma 22 2" xfId="1161" xr:uid="{00000000-0005-0000-0000-0000E5080000}"/>
    <cellStyle name="Comma 23" xfId="278" xr:uid="{00000000-0005-0000-0000-0000E6080000}"/>
    <cellStyle name="Comma 23 2" xfId="1162" xr:uid="{00000000-0005-0000-0000-0000E7080000}"/>
    <cellStyle name="Comma 24" xfId="279" xr:uid="{00000000-0005-0000-0000-0000E8080000}"/>
    <cellStyle name="Comma 24 2" xfId="1163" xr:uid="{00000000-0005-0000-0000-0000E9080000}"/>
    <cellStyle name="Comma 25" xfId="280" xr:uid="{00000000-0005-0000-0000-0000EA080000}"/>
    <cellStyle name="Comma 25 2" xfId="1164" xr:uid="{00000000-0005-0000-0000-0000EB080000}"/>
    <cellStyle name="Comma 26" xfId="281" xr:uid="{00000000-0005-0000-0000-0000EC080000}"/>
    <cellStyle name="Comma 26 2" xfId="1165" xr:uid="{00000000-0005-0000-0000-0000ED080000}"/>
    <cellStyle name="Comma 27" xfId="282" xr:uid="{00000000-0005-0000-0000-0000EE080000}"/>
    <cellStyle name="Comma 27 2" xfId="1166" xr:uid="{00000000-0005-0000-0000-0000EF080000}"/>
    <cellStyle name="Comma 28" xfId="283" xr:uid="{00000000-0005-0000-0000-0000F0080000}"/>
    <cellStyle name="Comma 29" xfId="284" xr:uid="{00000000-0005-0000-0000-0000F1080000}"/>
    <cellStyle name="Comma 29 2" xfId="1168" xr:uid="{00000000-0005-0000-0000-0000F2080000}"/>
    <cellStyle name="Comma 3" xfId="6" xr:uid="{00000000-0005-0000-0000-0000F3080000}"/>
    <cellStyle name="Comma 3 2" xfId="224" xr:uid="{00000000-0005-0000-0000-0000F4080000}"/>
    <cellStyle name="Comma 3 2 2" xfId="286" xr:uid="{00000000-0005-0000-0000-0000F5080000}"/>
    <cellStyle name="Comma 3 2 2 2" xfId="3074" xr:uid="{00000000-0005-0000-0000-0000F6080000}"/>
    <cellStyle name="Comma 3 2 3" xfId="1170" xr:uid="{00000000-0005-0000-0000-0000F7080000}"/>
    <cellStyle name="Comma 3 2 4" xfId="3073" xr:uid="{00000000-0005-0000-0000-0000F8080000}"/>
    <cellStyle name="Comma 3 3" xfId="225" xr:uid="{00000000-0005-0000-0000-0000F9080000}"/>
    <cellStyle name="Comma 3 3 2" xfId="3075" xr:uid="{00000000-0005-0000-0000-0000FA080000}"/>
    <cellStyle name="Comma 3 4" xfId="285" xr:uid="{00000000-0005-0000-0000-0000FB080000}"/>
    <cellStyle name="Comma 3 5" xfId="1169" xr:uid="{00000000-0005-0000-0000-0000FC080000}"/>
    <cellStyle name="Comma 3 6" xfId="213" xr:uid="{00000000-0005-0000-0000-0000FD080000}"/>
    <cellStyle name="Comma 30" xfId="287" xr:uid="{00000000-0005-0000-0000-0000FE080000}"/>
    <cellStyle name="Comma 30 2" xfId="1171" xr:uid="{00000000-0005-0000-0000-0000FF080000}"/>
    <cellStyle name="Comma 31" xfId="288" xr:uid="{00000000-0005-0000-0000-000000090000}"/>
    <cellStyle name="Comma 31 2" xfId="1172" xr:uid="{00000000-0005-0000-0000-000001090000}"/>
    <cellStyle name="Comma 32" xfId="289" xr:uid="{00000000-0005-0000-0000-000002090000}"/>
    <cellStyle name="Comma 32 2" xfId="1173" xr:uid="{00000000-0005-0000-0000-000003090000}"/>
    <cellStyle name="Comma 33" xfId="290" xr:uid="{00000000-0005-0000-0000-000004090000}"/>
    <cellStyle name="Comma 33 2" xfId="1174" xr:uid="{00000000-0005-0000-0000-000005090000}"/>
    <cellStyle name="Comma 34" xfId="291" xr:uid="{00000000-0005-0000-0000-000006090000}"/>
    <cellStyle name="Comma 34 2" xfId="1175" xr:uid="{00000000-0005-0000-0000-000007090000}"/>
    <cellStyle name="Comma 35" xfId="292" xr:uid="{00000000-0005-0000-0000-000008090000}"/>
    <cellStyle name="Comma 35 2" xfId="1176" xr:uid="{00000000-0005-0000-0000-000009090000}"/>
    <cellStyle name="Comma 36" xfId="293" xr:uid="{00000000-0005-0000-0000-00000A090000}"/>
    <cellStyle name="Comma 36 2" xfId="1177" xr:uid="{00000000-0005-0000-0000-00000B090000}"/>
    <cellStyle name="Comma 37" xfId="294" xr:uid="{00000000-0005-0000-0000-00000C090000}"/>
    <cellStyle name="Comma 37 2" xfId="1178" xr:uid="{00000000-0005-0000-0000-00000D090000}"/>
    <cellStyle name="Comma 38" xfId="295" xr:uid="{00000000-0005-0000-0000-00000E090000}"/>
    <cellStyle name="Comma 38 2" xfId="1179" xr:uid="{00000000-0005-0000-0000-00000F090000}"/>
    <cellStyle name="Comma 39" xfId="296" xr:uid="{00000000-0005-0000-0000-000010090000}"/>
    <cellStyle name="Comma 39 2" xfId="1180" xr:uid="{00000000-0005-0000-0000-000011090000}"/>
    <cellStyle name="Comma 4" xfId="231" xr:uid="{00000000-0005-0000-0000-000012090000}"/>
    <cellStyle name="Comma 4 2" xfId="297" xr:uid="{00000000-0005-0000-0000-000013090000}"/>
    <cellStyle name="Comma 4 2 2" xfId="3076" xr:uid="{00000000-0005-0000-0000-000014090000}"/>
    <cellStyle name="Comma 4 3" xfId="1181" xr:uid="{00000000-0005-0000-0000-000015090000}"/>
    <cellStyle name="Comma 4 3 2" xfId="3077" xr:uid="{00000000-0005-0000-0000-000016090000}"/>
    <cellStyle name="Comma 40" xfId="298" xr:uid="{00000000-0005-0000-0000-000017090000}"/>
    <cellStyle name="Comma 40 2" xfId="1182" xr:uid="{00000000-0005-0000-0000-000018090000}"/>
    <cellStyle name="Comma 41" xfId="299" xr:uid="{00000000-0005-0000-0000-000019090000}"/>
    <cellStyle name="Comma 41 2" xfId="1183" xr:uid="{00000000-0005-0000-0000-00001A090000}"/>
    <cellStyle name="Comma 42" xfId="300" xr:uid="{00000000-0005-0000-0000-00001B090000}"/>
    <cellStyle name="Comma 42 2" xfId="1184" xr:uid="{00000000-0005-0000-0000-00001C090000}"/>
    <cellStyle name="Comma 43" xfId="301" xr:uid="{00000000-0005-0000-0000-00001D090000}"/>
    <cellStyle name="Comma 43 2" xfId="1185" xr:uid="{00000000-0005-0000-0000-00001E090000}"/>
    <cellStyle name="Comma 44" xfId="302" xr:uid="{00000000-0005-0000-0000-00001F090000}"/>
    <cellStyle name="Comma 44 2" xfId="1186" xr:uid="{00000000-0005-0000-0000-000020090000}"/>
    <cellStyle name="Comma 45" xfId="303" xr:uid="{00000000-0005-0000-0000-000021090000}"/>
    <cellStyle name="Comma 45 2" xfId="1187" xr:uid="{00000000-0005-0000-0000-000022090000}"/>
    <cellStyle name="Comma 46" xfId="304" xr:uid="{00000000-0005-0000-0000-000023090000}"/>
    <cellStyle name="Comma 46 2" xfId="1188" xr:uid="{00000000-0005-0000-0000-000024090000}"/>
    <cellStyle name="Comma 47" xfId="305" xr:uid="{00000000-0005-0000-0000-000025090000}"/>
    <cellStyle name="Comma 47 2" xfId="1189" xr:uid="{00000000-0005-0000-0000-000026090000}"/>
    <cellStyle name="Comma 48" xfId="306" xr:uid="{00000000-0005-0000-0000-000027090000}"/>
    <cellStyle name="Comma 48 2" xfId="1190" xr:uid="{00000000-0005-0000-0000-000028090000}"/>
    <cellStyle name="Comma 49" xfId="1191" xr:uid="{00000000-0005-0000-0000-000029090000}"/>
    <cellStyle name="Comma 5" xfId="307" xr:uid="{00000000-0005-0000-0000-00002A090000}"/>
    <cellStyle name="Comma 5 2" xfId="308" xr:uid="{00000000-0005-0000-0000-00002B090000}"/>
    <cellStyle name="Comma 5 2 2" xfId="1193" xr:uid="{00000000-0005-0000-0000-00002C090000}"/>
    <cellStyle name="Comma 5 2 3" xfId="3079" xr:uid="{00000000-0005-0000-0000-00002D090000}"/>
    <cellStyle name="Comma 5 3" xfId="309" xr:uid="{00000000-0005-0000-0000-00002E090000}"/>
    <cellStyle name="Comma 5 3 2" xfId="1194" xr:uid="{00000000-0005-0000-0000-00002F090000}"/>
    <cellStyle name="Comma 5 4" xfId="1195" xr:uid="{00000000-0005-0000-0000-000030090000}"/>
    <cellStyle name="Comma 5 5" xfId="1192" xr:uid="{00000000-0005-0000-0000-000031090000}"/>
    <cellStyle name="Comma 5 6" xfId="3078" xr:uid="{00000000-0005-0000-0000-000032090000}"/>
    <cellStyle name="Comma 50" xfId="1196" xr:uid="{00000000-0005-0000-0000-000033090000}"/>
    <cellStyle name="Comma 51" xfId="1197" xr:uid="{00000000-0005-0000-0000-000034090000}"/>
    <cellStyle name="Comma 52" xfId="1198" xr:uid="{00000000-0005-0000-0000-000035090000}"/>
    <cellStyle name="Comma 53" xfId="1199" xr:uid="{00000000-0005-0000-0000-000036090000}"/>
    <cellStyle name="Comma 54" xfId="1200" xr:uid="{00000000-0005-0000-0000-000037090000}"/>
    <cellStyle name="Comma 55" xfId="1201" xr:uid="{00000000-0005-0000-0000-000038090000}"/>
    <cellStyle name="Comma 56" xfId="1202" xr:uid="{00000000-0005-0000-0000-000039090000}"/>
    <cellStyle name="Comma 57" xfId="1203" xr:uid="{00000000-0005-0000-0000-00003A090000}"/>
    <cellStyle name="Comma 58" xfId="1204" xr:uid="{00000000-0005-0000-0000-00003B090000}"/>
    <cellStyle name="Comma 59" xfId="1205" xr:uid="{00000000-0005-0000-0000-00003C090000}"/>
    <cellStyle name="Comma 6" xfId="310" xr:uid="{00000000-0005-0000-0000-00003D090000}"/>
    <cellStyle name="Comma 6 2" xfId="3080" xr:uid="{00000000-0005-0000-0000-00003E090000}"/>
    <cellStyle name="Comma 60" xfId="1207" xr:uid="{00000000-0005-0000-0000-00003F090000}"/>
    <cellStyle name="Comma 61" xfId="1208" xr:uid="{00000000-0005-0000-0000-000040090000}"/>
    <cellStyle name="Comma 62" xfId="1209" xr:uid="{00000000-0005-0000-0000-000041090000}"/>
    <cellStyle name="Comma 63" xfId="1210" xr:uid="{00000000-0005-0000-0000-000042090000}"/>
    <cellStyle name="Comma 64" xfId="1211" xr:uid="{00000000-0005-0000-0000-000043090000}"/>
    <cellStyle name="Comma 65" xfId="1212" xr:uid="{00000000-0005-0000-0000-000044090000}"/>
    <cellStyle name="Comma 66" xfId="1213" xr:uid="{00000000-0005-0000-0000-000045090000}"/>
    <cellStyle name="Comma 67" xfId="1214" xr:uid="{00000000-0005-0000-0000-000046090000}"/>
    <cellStyle name="Comma 67 2" xfId="1215" xr:uid="{00000000-0005-0000-0000-000047090000}"/>
    <cellStyle name="Comma 68" xfId="4075" xr:uid="{00000000-0005-0000-0000-000048090000}"/>
    <cellStyle name="Comma 69" xfId="4087" xr:uid="{00000000-0005-0000-0000-000049090000}"/>
    <cellStyle name="Comma 7" xfId="226" xr:uid="{00000000-0005-0000-0000-00004A090000}"/>
    <cellStyle name="Comma 7 2" xfId="311" xr:uid="{00000000-0005-0000-0000-00004B090000}"/>
    <cellStyle name="Comma 7 2 2" xfId="3081" xr:uid="{00000000-0005-0000-0000-00004C090000}"/>
    <cellStyle name="Comma 7 3" xfId="1216" xr:uid="{00000000-0005-0000-0000-00004D090000}"/>
    <cellStyle name="Comma 7 4" xfId="4077" xr:uid="{00000000-0005-0000-0000-00004E090000}"/>
    <cellStyle name="Comma 70" xfId="4093" xr:uid="{00000000-0005-0000-0000-00004F090000}"/>
    <cellStyle name="Comma 71" xfId="4100" xr:uid="{00000000-0005-0000-0000-000050090000}"/>
    <cellStyle name="Comma 72" xfId="4104" xr:uid="{00000000-0005-0000-0000-000051090000}"/>
    <cellStyle name="Comma 73" xfId="91" xr:uid="{00000000-0005-0000-0000-000052090000}"/>
    <cellStyle name="Comma 74" xfId="4110" xr:uid="{00000000-0005-0000-0000-000053090000}"/>
    <cellStyle name="Comma 75" xfId="4109" xr:uid="{00000000-0005-0000-0000-000054090000}"/>
    <cellStyle name="Comma 8" xfId="237" xr:uid="{00000000-0005-0000-0000-000055090000}"/>
    <cellStyle name="Comma 8 2" xfId="312" xr:uid="{00000000-0005-0000-0000-000056090000}"/>
    <cellStyle name="Comma 8 2 2" xfId="3083" xr:uid="{00000000-0005-0000-0000-000057090000}"/>
    <cellStyle name="Comma 8 3" xfId="1217" xr:uid="{00000000-0005-0000-0000-000058090000}"/>
    <cellStyle name="Comma 8 4" xfId="3082" xr:uid="{00000000-0005-0000-0000-000059090000}"/>
    <cellStyle name="Comma 8 5" xfId="4078" xr:uid="{00000000-0005-0000-0000-00005A090000}"/>
    <cellStyle name="Comma 8 6" xfId="4089" xr:uid="{00000000-0005-0000-0000-00005B090000}"/>
    <cellStyle name="Comma 8 7" xfId="4095" xr:uid="{00000000-0005-0000-0000-00005C090000}"/>
    <cellStyle name="Comma 8 8" xfId="4102" xr:uid="{00000000-0005-0000-0000-00005D090000}"/>
    <cellStyle name="Comma 9" xfId="227" xr:uid="{00000000-0005-0000-0000-00005E090000}"/>
    <cellStyle name="Comma 9 2" xfId="313" xr:uid="{00000000-0005-0000-0000-00005F090000}"/>
    <cellStyle name="Comma 9 3" xfId="1218" xr:uid="{00000000-0005-0000-0000-000060090000}"/>
    <cellStyle name="comma zerodec" xfId="95" xr:uid="{00000000-0005-0000-0000-000061090000}"/>
    <cellStyle name="comma zerodec 2" xfId="166" xr:uid="{00000000-0005-0000-0000-000062090000}"/>
    <cellStyle name="comma zerodec 2 2" xfId="3084" xr:uid="{00000000-0005-0000-0000-000063090000}"/>
    <cellStyle name="comma zerodec 3" xfId="3085" xr:uid="{00000000-0005-0000-0000-000064090000}"/>
    <cellStyle name="comma zerodec 4" xfId="3086" xr:uid="{00000000-0005-0000-0000-000065090000}"/>
    <cellStyle name="Curren - Style3" xfId="314" xr:uid="{00000000-0005-0000-0000-000066090000}"/>
    <cellStyle name="Curren - Style4" xfId="315" xr:uid="{00000000-0005-0000-0000-000067090000}"/>
    <cellStyle name="Currency 2" xfId="1222" xr:uid="{00000000-0005-0000-0000-000068090000}"/>
    <cellStyle name="Currency1" xfId="96" xr:uid="{00000000-0005-0000-0000-000069090000}"/>
    <cellStyle name="Currency1 2" xfId="167" xr:uid="{00000000-0005-0000-0000-00006A090000}"/>
    <cellStyle name="Days" xfId="3087" xr:uid="{00000000-0005-0000-0000-00006B090000}"/>
    <cellStyle name="Dollar (zero dec)" xfId="97" xr:uid="{00000000-0005-0000-0000-00006C090000}"/>
    <cellStyle name="Dollar (zero dec) 2" xfId="168" xr:uid="{00000000-0005-0000-0000-00006D090000}"/>
    <cellStyle name="Emphasis 1" xfId="1225" xr:uid="{00000000-0005-0000-0000-00006E090000}"/>
    <cellStyle name="Emphasis 2" xfId="1226" xr:uid="{00000000-0005-0000-0000-00006F090000}"/>
    <cellStyle name="Emphasis 3" xfId="1227" xr:uid="{00000000-0005-0000-0000-000070090000}"/>
    <cellStyle name="Explanatory Text 10" xfId="3088" xr:uid="{00000000-0005-0000-0000-000071090000}"/>
    <cellStyle name="Explanatory Text 11" xfId="3089" xr:uid="{00000000-0005-0000-0000-000072090000}"/>
    <cellStyle name="Explanatory Text 12" xfId="3090" xr:uid="{00000000-0005-0000-0000-000073090000}"/>
    <cellStyle name="Explanatory Text 13" xfId="3091" xr:uid="{00000000-0005-0000-0000-000074090000}"/>
    <cellStyle name="Explanatory Text 14" xfId="3092" xr:uid="{00000000-0005-0000-0000-000075090000}"/>
    <cellStyle name="Explanatory Text 15" xfId="3093" xr:uid="{00000000-0005-0000-0000-000076090000}"/>
    <cellStyle name="Explanatory Text 16" xfId="98" xr:uid="{00000000-0005-0000-0000-000077090000}"/>
    <cellStyle name="Explanatory Text 2" xfId="99" xr:uid="{00000000-0005-0000-0000-000078090000}"/>
    <cellStyle name="Explanatory Text 2 10" xfId="3095" xr:uid="{00000000-0005-0000-0000-000079090000}"/>
    <cellStyle name="Explanatory Text 2 11" xfId="3096" xr:uid="{00000000-0005-0000-0000-00007A090000}"/>
    <cellStyle name="Explanatory Text 2 12" xfId="3094" xr:uid="{00000000-0005-0000-0000-00007B090000}"/>
    <cellStyle name="Explanatory Text 2 2" xfId="1228" xr:uid="{00000000-0005-0000-0000-00007C090000}"/>
    <cellStyle name="Explanatory Text 2 2 2" xfId="3097" xr:uid="{00000000-0005-0000-0000-00007D090000}"/>
    <cellStyle name="Explanatory Text 2 3" xfId="3098" xr:uid="{00000000-0005-0000-0000-00007E090000}"/>
    <cellStyle name="Explanatory Text 2 4" xfId="3099" xr:uid="{00000000-0005-0000-0000-00007F090000}"/>
    <cellStyle name="Explanatory Text 2 5" xfId="3100" xr:uid="{00000000-0005-0000-0000-000080090000}"/>
    <cellStyle name="Explanatory Text 2 6" xfId="3101" xr:uid="{00000000-0005-0000-0000-000081090000}"/>
    <cellStyle name="Explanatory Text 2 7" xfId="3102" xr:uid="{00000000-0005-0000-0000-000082090000}"/>
    <cellStyle name="Explanatory Text 2 8" xfId="3103" xr:uid="{00000000-0005-0000-0000-000083090000}"/>
    <cellStyle name="Explanatory Text 2 9" xfId="3104" xr:uid="{00000000-0005-0000-0000-000084090000}"/>
    <cellStyle name="Explanatory Text 3" xfId="100" xr:uid="{00000000-0005-0000-0000-000085090000}"/>
    <cellStyle name="Explanatory Text 3 10" xfId="3106" xr:uid="{00000000-0005-0000-0000-000086090000}"/>
    <cellStyle name="Explanatory Text 3 11" xfId="3107" xr:uid="{00000000-0005-0000-0000-000087090000}"/>
    <cellStyle name="Explanatory Text 3 12" xfId="3105" xr:uid="{00000000-0005-0000-0000-000088090000}"/>
    <cellStyle name="Explanatory Text 3 2" xfId="3108" xr:uid="{00000000-0005-0000-0000-000089090000}"/>
    <cellStyle name="Explanatory Text 3 3" xfId="3109" xr:uid="{00000000-0005-0000-0000-00008A090000}"/>
    <cellStyle name="Explanatory Text 3 4" xfId="3110" xr:uid="{00000000-0005-0000-0000-00008B090000}"/>
    <cellStyle name="Explanatory Text 3 5" xfId="3111" xr:uid="{00000000-0005-0000-0000-00008C090000}"/>
    <cellStyle name="Explanatory Text 3 6" xfId="3112" xr:uid="{00000000-0005-0000-0000-00008D090000}"/>
    <cellStyle name="Explanatory Text 3 7" xfId="3113" xr:uid="{00000000-0005-0000-0000-00008E090000}"/>
    <cellStyle name="Explanatory Text 3 8" xfId="3114" xr:uid="{00000000-0005-0000-0000-00008F090000}"/>
    <cellStyle name="Explanatory Text 3 9" xfId="3115" xr:uid="{00000000-0005-0000-0000-000090090000}"/>
    <cellStyle name="Explanatory Text 4" xfId="3116" xr:uid="{00000000-0005-0000-0000-000091090000}"/>
    <cellStyle name="Explanatory Text 4 10" xfId="3117" xr:uid="{00000000-0005-0000-0000-000092090000}"/>
    <cellStyle name="Explanatory Text 4 11" xfId="3118" xr:uid="{00000000-0005-0000-0000-000093090000}"/>
    <cellStyle name="Explanatory Text 4 2" xfId="3119" xr:uid="{00000000-0005-0000-0000-000094090000}"/>
    <cellStyle name="Explanatory Text 4 3" xfId="3120" xr:uid="{00000000-0005-0000-0000-000095090000}"/>
    <cellStyle name="Explanatory Text 4 4" xfId="3121" xr:uid="{00000000-0005-0000-0000-000096090000}"/>
    <cellStyle name="Explanatory Text 4 5" xfId="3122" xr:uid="{00000000-0005-0000-0000-000097090000}"/>
    <cellStyle name="Explanatory Text 4 6" xfId="3123" xr:uid="{00000000-0005-0000-0000-000098090000}"/>
    <cellStyle name="Explanatory Text 4 7" xfId="3124" xr:uid="{00000000-0005-0000-0000-000099090000}"/>
    <cellStyle name="Explanatory Text 4 8" xfId="3125" xr:uid="{00000000-0005-0000-0000-00009A090000}"/>
    <cellStyle name="Explanatory Text 4 9" xfId="3126" xr:uid="{00000000-0005-0000-0000-00009B090000}"/>
    <cellStyle name="Explanatory Text 5" xfId="3127" xr:uid="{00000000-0005-0000-0000-00009C090000}"/>
    <cellStyle name="Explanatory Text 5 10" xfId="3128" xr:uid="{00000000-0005-0000-0000-00009D090000}"/>
    <cellStyle name="Explanatory Text 5 11" xfId="3129" xr:uid="{00000000-0005-0000-0000-00009E090000}"/>
    <cellStyle name="Explanatory Text 5 2" xfId="3130" xr:uid="{00000000-0005-0000-0000-00009F090000}"/>
    <cellStyle name="Explanatory Text 5 3" xfId="3131" xr:uid="{00000000-0005-0000-0000-0000A0090000}"/>
    <cellStyle name="Explanatory Text 5 4" xfId="3132" xr:uid="{00000000-0005-0000-0000-0000A1090000}"/>
    <cellStyle name="Explanatory Text 5 5" xfId="3133" xr:uid="{00000000-0005-0000-0000-0000A2090000}"/>
    <cellStyle name="Explanatory Text 5 6" xfId="3134" xr:uid="{00000000-0005-0000-0000-0000A3090000}"/>
    <cellStyle name="Explanatory Text 5 7" xfId="3135" xr:uid="{00000000-0005-0000-0000-0000A4090000}"/>
    <cellStyle name="Explanatory Text 5 8" xfId="3136" xr:uid="{00000000-0005-0000-0000-0000A5090000}"/>
    <cellStyle name="Explanatory Text 5 9" xfId="3137" xr:uid="{00000000-0005-0000-0000-0000A6090000}"/>
    <cellStyle name="Explanatory Text 6" xfId="3138" xr:uid="{00000000-0005-0000-0000-0000A7090000}"/>
    <cellStyle name="Explanatory Text 7" xfId="3139" xr:uid="{00000000-0005-0000-0000-0000A8090000}"/>
    <cellStyle name="Explanatory Text 8" xfId="3140" xr:uid="{00000000-0005-0000-0000-0000A9090000}"/>
    <cellStyle name="Explanatory Text 9" xfId="3141" xr:uid="{00000000-0005-0000-0000-0000AA090000}"/>
    <cellStyle name="Good 10" xfId="3142" xr:uid="{00000000-0005-0000-0000-0000AB090000}"/>
    <cellStyle name="Good 11" xfId="3143" xr:uid="{00000000-0005-0000-0000-0000AC090000}"/>
    <cellStyle name="Good 12" xfId="3144" xr:uid="{00000000-0005-0000-0000-0000AD090000}"/>
    <cellStyle name="Good 13" xfId="3145" xr:uid="{00000000-0005-0000-0000-0000AE090000}"/>
    <cellStyle name="Good 14" xfId="3146" xr:uid="{00000000-0005-0000-0000-0000AF090000}"/>
    <cellStyle name="Good 15" xfId="3147" xr:uid="{00000000-0005-0000-0000-0000B0090000}"/>
    <cellStyle name="Good 16" xfId="101" xr:uid="{00000000-0005-0000-0000-0000B1090000}"/>
    <cellStyle name="Good 2" xfId="102" xr:uid="{00000000-0005-0000-0000-0000B2090000}"/>
    <cellStyle name="Good 2 10" xfId="3149" xr:uid="{00000000-0005-0000-0000-0000B3090000}"/>
    <cellStyle name="Good 2 11" xfId="3150" xr:uid="{00000000-0005-0000-0000-0000B4090000}"/>
    <cellStyle name="Good 2 12" xfId="3148" xr:uid="{00000000-0005-0000-0000-0000B5090000}"/>
    <cellStyle name="Good 2 2" xfId="1230" xr:uid="{00000000-0005-0000-0000-0000B6090000}"/>
    <cellStyle name="Good 2 2 2" xfId="3151" xr:uid="{00000000-0005-0000-0000-0000B7090000}"/>
    <cellStyle name="Good 2 3" xfId="3152" xr:uid="{00000000-0005-0000-0000-0000B8090000}"/>
    <cellStyle name="Good 2 4" xfId="3153" xr:uid="{00000000-0005-0000-0000-0000B9090000}"/>
    <cellStyle name="Good 2 5" xfId="3154" xr:uid="{00000000-0005-0000-0000-0000BA090000}"/>
    <cellStyle name="Good 2 6" xfId="3155" xr:uid="{00000000-0005-0000-0000-0000BB090000}"/>
    <cellStyle name="Good 2 7" xfId="3156" xr:uid="{00000000-0005-0000-0000-0000BC090000}"/>
    <cellStyle name="Good 2 8" xfId="3157" xr:uid="{00000000-0005-0000-0000-0000BD090000}"/>
    <cellStyle name="Good 2 9" xfId="3158" xr:uid="{00000000-0005-0000-0000-0000BE090000}"/>
    <cellStyle name="Good 3" xfId="103" xr:uid="{00000000-0005-0000-0000-0000BF090000}"/>
    <cellStyle name="Good 3 10" xfId="3160" xr:uid="{00000000-0005-0000-0000-0000C0090000}"/>
    <cellStyle name="Good 3 11" xfId="3161" xr:uid="{00000000-0005-0000-0000-0000C1090000}"/>
    <cellStyle name="Good 3 12" xfId="3159" xr:uid="{00000000-0005-0000-0000-0000C2090000}"/>
    <cellStyle name="Good 3 2" xfId="3162" xr:uid="{00000000-0005-0000-0000-0000C3090000}"/>
    <cellStyle name="Good 3 3" xfId="3163" xr:uid="{00000000-0005-0000-0000-0000C4090000}"/>
    <cellStyle name="Good 3 4" xfId="3164" xr:uid="{00000000-0005-0000-0000-0000C5090000}"/>
    <cellStyle name="Good 3 5" xfId="3165" xr:uid="{00000000-0005-0000-0000-0000C6090000}"/>
    <cellStyle name="Good 3 6" xfId="3166" xr:uid="{00000000-0005-0000-0000-0000C7090000}"/>
    <cellStyle name="Good 3 7" xfId="3167" xr:uid="{00000000-0005-0000-0000-0000C8090000}"/>
    <cellStyle name="Good 3 8" xfId="3168" xr:uid="{00000000-0005-0000-0000-0000C9090000}"/>
    <cellStyle name="Good 3 9" xfId="3169" xr:uid="{00000000-0005-0000-0000-0000CA090000}"/>
    <cellStyle name="Good 4" xfId="1232" xr:uid="{00000000-0005-0000-0000-0000CB090000}"/>
    <cellStyle name="Good 4 10" xfId="3171" xr:uid="{00000000-0005-0000-0000-0000CC090000}"/>
    <cellStyle name="Good 4 11" xfId="3172" xr:uid="{00000000-0005-0000-0000-0000CD090000}"/>
    <cellStyle name="Good 4 12" xfId="3170" xr:uid="{00000000-0005-0000-0000-0000CE090000}"/>
    <cellStyle name="Good 4 2" xfId="3173" xr:uid="{00000000-0005-0000-0000-0000CF090000}"/>
    <cellStyle name="Good 4 3" xfId="3174" xr:uid="{00000000-0005-0000-0000-0000D0090000}"/>
    <cellStyle name="Good 4 4" xfId="3175" xr:uid="{00000000-0005-0000-0000-0000D1090000}"/>
    <cellStyle name="Good 4 5" xfId="3176" xr:uid="{00000000-0005-0000-0000-0000D2090000}"/>
    <cellStyle name="Good 4 6" xfId="3177" xr:uid="{00000000-0005-0000-0000-0000D3090000}"/>
    <cellStyle name="Good 4 7" xfId="3178" xr:uid="{00000000-0005-0000-0000-0000D4090000}"/>
    <cellStyle name="Good 4 8" xfId="3179" xr:uid="{00000000-0005-0000-0000-0000D5090000}"/>
    <cellStyle name="Good 4 9" xfId="3180" xr:uid="{00000000-0005-0000-0000-0000D6090000}"/>
    <cellStyle name="Good 5" xfId="3181" xr:uid="{00000000-0005-0000-0000-0000D7090000}"/>
    <cellStyle name="Good 5 10" xfId="3182" xr:uid="{00000000-0005-0000-0000-0000D8090000}"/>
    <cellStyle name="Good 5 11" xfId="3183" xr:uid="{00000000-0005-0000-0000-0000D9090000}"/>
    <cellStyle name="Good 5 2" xfId="3184" xr:uid="{00000000-0005-0000-0000-0000DA090000}"/>
    <cellStyle name="Good 5 3" xfId="3185" xr:uid="{00000000-0005-0000-0000-0000DB090000}"/>
    <cellStyle name="Good 5 4" xfId="3186" xr:uid="{00000000-0005-0000-0000-0000DC090000}"/>
    <cellStyle name="Good 5 5" xfId="3187" xr:uid="{00000000-0005-0000-0000-0000DD090000}"/>
    <cellStyle name="Good 5 6" xfId="3188" xr:uid="{00000000-0005-0000-0000-0000DE090000}"/>
    <cellStyle name="Good 5 7" xfId="3189" xr:uid="{00000000-0005-0000-0000-0000DF090000}"/>
    <cellStyle name="Good 5 8" xfId="3190" xr:uid="{00000000-0005-0000-0000-0000E0090000}"/>
    <cellStyle name="Good 5 9" xfId="3191" xr:uid="{00000000-0005-0000-0000-0000E1090000}"/>
    <cellStyle name="Good 6" xfId="3192" xr:uid="{00000000-0005-0000-0000-0000E2090000}"/>
    <cellStyle name="Good 7" xfId="3193" xr:uid="{00000000-0005-0000-0000-0000E3090000}"/>
    <cellStyle name="Good 8" xfId="3194" xr:uid="{00000000-0005-0000-0000-0000E4090000}"/>
    <cellStyle name="Good 9" xfId="3195" xr:uid="{00000000-0005-0000-0000-0000E5090000}"/>
    <cellStyle name="Grey" xfId="316" xr:uid="{00000000-0005-0000-0000-0000E6090000}"/>
    <cellStyle name="Head1" xfId="3196" xr:uid="{00000000-0005-0000-0000-0000E7090000}"/>
    <cellStyle name="Head2" xfId="3197" xr:uid="{00000000-0005-0000-0000-0000E8090000}"/>
    <cellStyle name="Header1" xfId="104" xr:uid="{00000000-0005-0000-0000-0000E9090000}"/>
    <cellStyle name="Header2" xfId="105" xr:uid="{00000000-0005-0000-0000-0000EA090000}"/>
    <cellStyle name="Heading" xfId="3198" xr:uid="{00000000-0005-0000-0000-0000EB090000}"/>
    <cellStyle name="Heading 1 10" xfId="3199" xr:uid="{00000000-0005-0000-0000-0000EC090000}"/>
    <cellStyle name="Heading 1 11" xfId="3200" xr:uid="{00000000-0005-0000-0000-0000ED090000}"/>
    <cellStyle name="Heading 1 12" xfId="3201" xr:uid="{00000000-0005-0000-0000-0000EE090000}"/>
    <cellStyle name="Heading 1 13" xfId="3202" xr:uid="{00000000-0005-0000-0000-0000EF090000}"/>
    <cellStyle name="Heading 1 14" xfId="3203" xr:uid="{00000000-0005-0000-0000-0000F0090000}"/>
    <cellStyle name="Heading 1 15" xfId="3204" xr:uid="{00000000-0005-0000-0000-0000F1090000}"/>
    <cellStyle name="Heading 1 16" xfId="106" xr:uid="{00000000-0005-0000-0000-0000F2090000}"/>
    <cellStyle name="Heading 1 2" xfId="107" xr:uid="{00000000-0005-0000-0000-0000F3090000}"/>
    <cellStyle name="Heading 1 2 10" xfId="3206" xr:uid="{00000000-0005-0000-0000-0000F4090000}"/>
    <cellStyle name="Heading 1 2 11" xfId="3207" xr:uid="{00000000-0005-0000-0000-0000F5090000}"/>
    <cellStyle name="Heading 1 2 12" xfId="3205" xr:uid="{00000000-0005-0000-0000-0000F6090000}"/>
    <cellStyle name="Heading 1 2 2" xfId="1236" xr:uid="{00000000-0005-0000-0000-0000F7090000}"/>
    <cellStyle name="Heading 1 2 2 2" xfId="3208" xr:uid="{00000000-0005-0000-0000-0000F8090000}"/>
    <cellStyle name="Heading 1 2 3" xfId="3209" xr:uid="{00000000-0005-0000-0000-0000F9090000}"/>
    <cellStyle name="Heading 1 2 4" xfId="3210" xr:uid="{00000000-0005-0000-0000-0000FA090000}"/>
    <cellStyle name="Heading 1 2 5" xfId="3211" xr:uid="{00000000-0005-0000-0000-0000FB090000}"/>
    <cellStyle name="Heading 1 2 6" xfId="3212" xr:uid="{00000000-0005-0000-0000-0000FC090000}"/>
    <cellStyle name="Heading 1 2 7" xfId="3213" xr:uid="{00000000-0005-0000-0000-0000FD090000}"/>
    <cellStyle name="Heading 1 2 8" xfId="3214" xr:uid="{00000000-0005-0000-0000-0000FE090000}"/>
    <cellStyle name="Heading 1 2 9" xfId="3215" xr:uid="{00000000-0005-0000-0000-0000FF090000}"/>
    <cellStyle name="Heading 1 3" xfId="108" xr:uid="{00000000-0005-0000-0000-0000000A0000}"/>
    <cellStyle name="Heading 1 3 10" xfId="3217" xr:uid="{00000000-0005-0000-0000-0000010A0000}"/>
    <cellStyle name="Heading 1 3 11" xfId="3218" xr:uid="{00000000-0005-0000-0000-0000020A0000}"/>
    <cellStyle name="Heading 1 3 12" xfId="3216" xr:uid="{00000000-0005-0000-0000-0000030A0000}"/>
    <cellStyle name="Heading 1 3 2" xfId="3219" xr:uid="{00000000-0005-0000-0000-0000040A0000}"/>
    <cellStyle name="Heading 1 3 3" xfId="3220" xr:uid="{00000000-0005-0000-0000-0000050A0000}"/>
    <cellStyle name="Heading 1 3 4" xfId="3221" xr:uid="{00000000-0005-0000-0000-0000060A0000}"/>
    <cellStyle name="Heading 1 3 5" xfId="3222" xr:uid="{00000000-0005-0000-0000-0000070A0000}"/>
    <cellStyle name="Heading 1 3 6" xfId="3223" xr:uid="{00000000-0005-0000-0000-0000080A0000}"/>
    <cellStyle name="Heading 1 3 7" xfId="3224" xr:uid="{00000000-0005-0000-0000-0000090A0000}"/>
    <cellStyle name="Heading 1 3 8" xfId="3225" xr:uid="{00000000-0005-0000-0000-00000A0A0000}"/>
    <cellStyle name="Heading 1 3 9" xfId="3226" xr:uid="{00000000-0005-0000-0000-00000B0A0000}"/>
    <cellStyle name="Heading 1 4" xfId="1238" xr:uid="{00000000-0005-0000-0000-00000C0A0000}"/>
    <cellStyle name="Heading 1 4 10" xfId="3228" xr:uid="{00000000-0005-0000-0000-00000D0A0000}"/>
    <cellStyle name="Heading 1 4 11" xfId="3229" xr:uid="{00000000-0005-0000-0000-00000E0A0000}"/>
    <cellStyle name="Heading 1 4 12" xfId="3227" xr:uid="{00000000-0005-0000-0000-00000F0A0000}"/>
    <cellStyle name="Heading 1 4 2" xfId="3230" xr:uid="{00000000-0005-0000-0000-0000100A0000}"/>
    <cellStyle name="Heading 1 4 3" xfId="3231" xr:uid="{00000000-0005-0000-0000-0000110A0000}"/>
    <cellStyle name="Heading 1 4 4" xfId="3232" xr:uid="{00000000-0005-0000-0000-0000120A0000}"/>
    <cellStyle name="Heading 1 4 5" xfId="3233" xr:uid="{00000000-0005-0000-0000-0000130A0000}"/>
    <cellStyle name="Heading 1 4 6" xfId="3234" xr:uid="{00000000-0005-0000-0000-0000140A0000}"/>
    <cellStyle name="Heading 1 4 7" xfId="3235" xr:uid="{00000000-0005-0000-0000-0000150A0000}"/>
    <cellStyle name="Heading 1 4 8" xfId="3236" xr:uid="{00000000-0005-0000-0000-0000160A0000}"/>
    <cellStyle name="Heading 1 4 9" xfId="3237" xr:uid="{00000000-0005-0000-0000-0000170A0000}"/>
    <cellStyle name="Heading 1 5" xfId="3238" xr:uid="{00000000-0005-0000-0000-0000180A0000}"/>
    <cellStyle name="Heading 1 5 10" xfId="3239" xr:uid="{00000000-0005-0000-0000-0000190A0000}"/>
    <cellStyle name="Heading 1 5 11" xfId="3240" xr:uid="{00000000-0005-0000-0000-00001A0A0000}"/>
    <cellStyle name="Heading 1 5 2" xfId="3241" xr:uid="{00000000-0005-0000-0000-00001B0A0000}"/>
    <cellStyle name="Heading 1 5 3" xfId="3242" xr:uid="{00000000-0005-0000-0000-00001C0A0000}"/>
    <cellStyle name="Heading 1 5 4" xfId="3243" xr:uid="{00000000-0005-0000-0000-00001D0A0000}"/>
    <cellStyle name="Heading 1 5 5" xfId="3244" xr:uid="{00000000-0005-0000-0000-00001E0A0000}"/>
    <cellStyle name="Heading 1 5 6" xfId="3245" xr:uid="{00000000-0005-0000-0000-00001F0A0000}"/>
    <cellStyle name="Heading 1 5 7" xfId="3246" xr:uid="{00000000-0005-0000-0000-0000200A0000}"/>
    <cellStyle name="Heading 1 5 8" xfId="3247" xr:uid="{00000000-0005-0000-0000-0000210A0000}"/>
    <cellStyle name="Heading 1 5 9" xfId="3248" xr:uid="{00000000-0005-0000-0000-0000220A0000}"/>
    <cellStyle name="Heading 1 6" xfId="3249" xr:uid="{00000000-0005-0000-0000-0000230A0000}"/>
    <cellStyle name="Heading 1 7" xfId="3250" xr:uid="{00000000-0005-0000-0000-0000240A0000}"/>
    <cellStyle name="Heading 1 8" xfId="3251" xr:uid="{00000000-0005-0000-0000-0000250A0000}"/>
    <cellStyle name="Heading 1 9" xfId="3252" xr:uid="{00000000-0005-0000-0000-0000260A0000}"/>
    <cellStyle name="Heading 2 10" xfId="3253" xr:uid="{00000000-0005-0000-0000-0000270A0000}"/>
    <cellStyle name="Heading 2 11" xfId="3254" xr:uid="{00000000-0005-0000-0000-0000280A0000}"/>
    <cellStyle name="Heading 2 12" xfId="3255" xr:uid="{00000000-0005-0000-0000-0000290A0000}"/>
    <cellStyle name="Heading 2 13" xfId="3256" xr:uid="{00000000-0005-0000-0000-00002A0A0000}"/>
    <cellStyle name="Heading 2 14" xfId="3257" xr:uid="{00000000-0005-0000-0000-00002B0A0000}"/>
    <cellStyle name="Heading 2 15" xfId="3258" xr:uid="{00000000-0005-0000-0000-00002C0A0000}"/>
    <cellStyle name="Heading 2 16" xfId="109" xr:uid="{00000000-0005-0000-0000-00002D0A0000}"/>
    <cellStyle name="Heading 2 2" xfId="110" xr:uid="{00000000-0005-0000-0000-00002E0A0000}"/>
    <cellStyle name="Heading 2 2 10" xfId="3260" xr:uid="{00000000-0005-0000-0000-00002F0A0000}"/>
    <cellStyle name="Heading 2 2 11" xfId="3261" xr:uid="{00000000-0005-0000-0000-0000300A0000}"/>
    <cellStyle name="Heading 2 2 12" xfId="3259" xr:uid="{00000000-0005-0000-0000-0000310A0000}"/>
    <cellStyle name="Heading 2 2 2" xfId="1239" xr:uid="{00000000-0005-0000-0000-0000320A0000}"/>
    <cellStyle name="Heading 2 2 2 2" xfId="3262" xr:uid="{00000000-0005-0000-0000-0000330A0000}"/>
    <cellStyle name="Heading 2 2 3" xfId="3263" xr:uid="{00000000-0005-0000-0000-0000340A0000}"/>
    <cellStyle name="Heading 2 2 4" xfId="3264" xr:uid="{00000000-0005-0000-0000-0000350A0000}"/>
    <cellStyle name="Heading 2 2 5" xfId="3265" xr:uid="{00000000-0005-0000-0000-0000360A0000}"/>
    <cellStyle name="Heading 2 2 6" xfId="3266" xr:uid="{00000000-0005-0000-0000-0000370A0000}"/>
    <cellStyle name="Heading 2 2 7" xfId="3267" xr:uid="{00000000-0005-0000-0000-0000380A0000}"/>
    <cellStyle name="Heading 2 2 8" xfId="3268" xr:uid="{00000000-0005-0000-0000-0000390A0000}"/>
    <cellStyle name="Heading 2 2 9" xfId="3269" xr:uid="{00000000-0005-0000-0000-00003A0A0000}"/>
    <cellStyle name="Heading 2 3" xfId="111" xr:uid="{00000000-0005-0000-0000-00003B0A0000}"/>
    <cellStyle name="Heading 2 3 10" xfId="3271" xr:uid="{00000000-0005-0000-0000-00003C0A0000}"/>
    <cellStyle name="Heading 2 3 11" xfId="3272" xr:uid="{00000000-0005-0000-0000-00003D0A0000}"/>
    <cellStyle name="Heading 2 3 12" xfId="3270" xr:uid="{00000000-0005-0000-0000-00003E0A0000}"/>
    <cellStyle name="Heading 2 3 2" xfId="3273" xr:uid="{00000000-0005-0000-0000-00003F0A0000}"/>
    <cellStyle name="Heading 2 3 3" xfId="3274" xr:uid="{00000000-0005-0000-0000-0000400A0000}"/>
    <cellStyle name="Heading 2 3 4" xfId="3275" xr:uid="{00000000-0005-0000-0000-0000410A0000}"/>
    <cellStyle name="Heading 2 3 5" xfId="3276" xr:uid="{00000000-0005-0000-0000-0000420A0000}"/>
    <cellStyle name="Heading 2 3 6" xfId="3277" xr:uid="{00000000-0005-0000-0000-0000430A0000}"/>
    <cellStyle name="Heading 2 3 7" xfId="3278" xr:uid="{00000000-0005-0000-0000-0000440A0000}"/>
    <cellStyle name="Heading 2 3 8" xfId="3279" xr:uid="{00000000-0005-0000-0000-0000450A0000}"/>
    <cellStyle name="Heading 2 3 9" xfId="3280" xr:uid="{00000000-0005-0000-0000-0000460A0000}"/>
    <cellStyle name="Heading 2 4" xfId="1241" xr:uid="{00000000-0005-0000-0000-0000470A0000}"/>
    <cellStyle name="Heading 2 4 10" xfId="3282" xr:uid="{00000000-0005-0000-0000-0000480A0000}"/>
    <cellStyle name="Heading 2 4 11" xfId="3283" xr:uid="{00000000-0005-0000-0000-0000490A0000}"/>
    <cellStyle name="Heading 2 4 12" xfId="3281" xr:uid="{00000000-0005-0000-0000-00004A0A0000}"/>
    <cellStyle name="Heading 2 4 2" xfId="3284" xr:uid="{00000000-0005-0000-0000-00004B0A0000}"/>
    <cellStyle name="Heading 2 4 3" xfId="3285" xr:uid="{00000000-0005-0000-0000-00004C0A0000}"/>
    <cellStyle name="Heading 2 4 4" xfId="3286" xr:uid="{00000000-0005-0000-0000-00004D0A0000}"/>
    <cellStyle name="Heading 2 4 5" xfId="3287" xr:uid="{00000000-0005-0000-0000-00004E0A0000}"/>
    <cellStyle name="Heading 2 4 6" xfId="3288" xr:uid="{00000000-0005-0000-0000-00004F0A0000}"/>
    <cellStyle name="Heading 2 4 7" xfId="3289" xr:uid="{00000000-0005-0000-0000-0000500A0000}"/>
    <cellStyle name="Heading 2 4 8" xfId="3290" xr:uid="{00000000-0005-0000-0000-0000510A0000}"/>
    <cellStyle name="Heading 2 4 9" xfId="3291" xr:uid="{00000000-0005-0000-0000-0000520A0000}"/>
    <cellStyle name="Heading 2 5" xfId="3292" xr:uid="{00000000-0005-0000-0000-0000530A0000}"/>
    <cellStyle name="Heading 2 5 10" xfId="3293" xr:uid="{00000000-0005-0000-0000-0000540A0000}"/>
    <cellStyle name="Heading 2 5 11" xfId="3294" xr:uid="{00000000-0005-0000-0000-0000550A0000}"/>
    <cellStyle name="Heading 2 5 2" xfId="3295" xr:uid="{00000000-0005-0000-0000-0000560A0000}"/>
    <cellStyle name="Heading 2 5 3" xfId="3296" xr:uid="{00000000-0005-0000-0000-0000570A0000}"/>
    <cellStyle name="Heading 2 5 4" xfId="3297" xr:uid="{00000000-0005-0000-0000-0000580A0000}"/>
    <cellStyle name="Heading 2 5 5" xfId="3298" xr:uid="{00000000-0005-0000-0000-0000590A0000}"/>
    <cellStyle name="Heading 2 5 6" xfId="3299" xr:uid="{00000000-0005-0000-0000-00005A0A0000}"/>
    <cellStyle name="Heading 2 5 7" xfId="3300" xr:uid="{00000000-0005-0000-0000-00005B0A0000}"/>
    <cellStyle name="Heading 2 5 8" xfId="3301" xr:uid="{00000000-0005-0000-0000-00005C0A0000}"/>
    <cellStyle name="Heading 2 5 9" xfId="3302" xr:uid="{00000000-0005-0000-0000-00005D0A0000}"/>
    <cellStyle name="Heading 2 6" xfId="3303" xr:uid="{00000000-0005-0000-0000-00005E0A0000}"/>
    <cellStyle name="Heading 2 7" xfId="3304" xr:uid="{00000000-0005-0000-0000-00005F0A0000}"/>
    <cellStyle name="Heading 2 8" xfId="3305" xr:uid="{00000000-0005-0000-0000-0000600A0000}"/>
    <cellStyle name="Heading 2 9" xfId="3306" xr:uid="{00000000-0005-0000-0000-0000610A0000}"/>
    <cellStyle name="Heading 3 10" xfId="3307" xr:uid="{00000000-0005-0000-0000-0000620A0000}"/>
    <cellStyle name="Heading 3 11" xfId="3308" xr:uid="{00000000-0005-0000-0000-0000630A0000}"/>
    <cellStyle name="Heading 3 12" xfId="3309" xr:uid="{00000000-0005-0000-0000-0000640A0000}"/>
    <cellStyle name="Heading 3 13" xfId="3310" xr:uid="{00000000-0005-0000-0000-0000650A0000}"/>
    <cellStyle name="Heading 3 14" xfId="3311" xr:uid="{00000000-0005-0000-0000-0000660A0000}"/>
    <cellStyle name="Heading 3 15" xfId="3312" xr:uid="{00000000-0005-0000-0000-0000670A0000}"/>
    <cellStyle name="Heading 3 16" xfId="112" xr:uid="{00000000-0005-0000-0000-0000680A0000}"/>
    <cellStyle name="Heading 3 2" xfId="113" xr:uid="{00000000-0005-0000-0000-0000690A0000}"/>
    <cellStyle name="Heading 3 2 10" xfId="3314" xr:uid="{00000000-0005-0000-0000-00006A0A0000}"/>
    <cellStyle name="Heading 3 2 11" xfId="3315" xr:uid="{00000000-0005-0000-0000-00006B0A0000}"/>
    <cellStyle name="Heading 3 2 12" xfId="3313" xr:uid="{00000000-0005-0000-0000-00006C0A0000}"/>
    <cellStyle name="Heading 3 2 2" xfId="1242" xr:uid="{00000000-0005-0000-0000-00006D0A0000}"/>
    <cellStyle name="Heading 3 2 2 2" xfId="3316" xr:uid="{00000000-0005-0000-0000-00006E0A0000}"/>
    <cellStyle name="Heading 3 2 3" xfId="3317" xr:uid="{00000000-0005-0000-0000-00006F0A0000}"/>
    <cellStyle name="Heading 3 2 4" xfId="3318" xr:uid="{00000000-0005-0000-0000-0000700A0000}"/>
    <cellStyle name="Heading 3 2 5" xfId="3319" xr:uid="{00000000-0005-0000-0000-0000710A0000}"/>
    <cellStyle name="Heading 3 2 6" xfId="3320" xr:uid="{00000000-0005-0000-0000-0000720A0000}"/>
    <cellStyle name="Heading 3 2 7" xfId="3321" xr:uid="{00000000-0005-0000-0000-0000730A0000}"/>
    <cellStyle name="Heading 3 2 8" xfId="3322" xr:uid="{00000000-0005-0000-0000-0000740A0000}"/>
    <cellStyle name="Heading 3 2 9" xfId="3323" xr:uid="{00000000-0005-0000-0000-0000750A0000}"/>
    <cellStyle name="Heading 3 3" xfId="114" xr:uid="{00000000-0005-0000-0000-0000760A0000}"/>
    <cellStyle name="Heading 3 3 10" xfId="3325" xr:uid="{00000000-0005-0000-0000-0000770A0000}"/>
    <cellStyle name="Heading 3 3 11" xfId="3326" xr:uid="{00000000-0005-0000-0000-0000780A0000}"/>
    <cellStyle name="Heading 3 3 12" xfId="3324" xr:uid="{00000000-0005-0000-0000-0000790A0000}"/>
    <cellStyle name="Heading 3 3 2" xfId="3327" xr:uid="{00000000-0005-0000-0000-00007A0A0000}"/>
    <cellStyle name="Heading 3 3 3" xfId="3328" xr:uid="{00000000-0005-0000-0000-00007B0A0000}"/>
    <cellStyle name="Heading 3 3 4" xfId="3329" xr:uid="{00000000-0005-0000-0000-00007C0A0000}"/>
    <cellStyle name="Heading 3 3 5" xfId="3330" xr:uid="{00000000-0005-0000-0000-00007D0A0000}"/>
    <cellStyle name="Heading 3 3 6" xfId="3331" xr:uid="{00000000-0005-0000-0000-00007E0A0000}"/>
    <cellStyle name="Heading 3 3 7" xfId="3332" xr:uid="{00000000-0005-0000-0000-00007F0A0000}"/>
    <cellStyle name="Heading 3 3 8" xfId="3333" xr:uid="{00000000-0005-0000-0000-0000800A0000}"/>
    <cellStyle name="Heading 3 3 9" xfId="3334" xr:uid="{00000000-0005-0000-0000-0000810A0000}"/>
    <cellStyle name="Heading 3 4" xfId="1244" xr:uid="{00000000-0005-0000-0000-0000820A0000}"/>
    <cellStyle name="Heading 3 4 10" xfId="3336" xr:uid="{00000000-0005-0000-0000-0000830A0000}"/>
    <cellStyle name="Heading 3 4 11" xfId="3337" xr:uid="{00000000-0005-0000-0000-0000840A0000}"/>
    <cellStyle name="Heading 3 4 12" xfId="3335" xr:uid="{00000000-0005-0000-0000-0000850A0000}"/>
    <cellStyle name="Heading 3 4 2" xfId="3338" xr:uid="{00000000-0005-0000-0000-0000860A0000}"/>
    <cellStyle name="Heading 3 4 3" xfId="3339" xr:uid="{00000000-0005-0000-0000-0000870A0000}"/>
    <cellStyle name="Heading 3 4 4" xfId="3340" xr:uid="{00000000-0005-0000-0000-0000880A0000}"/>
    <cellStyle name="Heading 3 4 5" xfId="3341" xr:uid="{00000000-0005-0000-0000-0000890A0000}"/>
    <cellStyle name="Heading 3 4 6" xfId="3342" xr:uid="{00000000-0005-0000-0000-00008A0A0000}"/>
    <cellStyle name="Heading 3 4 7" xfId="3343" xr:uid="{00000000-0005-0000-0000-00008B0A0000}"/>
    <cellStyle name="Heading 3 4 8" xfId="3344" xr:uid="{00000000-0005-0000-0000-00008C0A0000}"/>
    <cellStyle name="Heading 3 4 9" xfId="3345" xr:uid="{00000000-0005-0000-0000-00008D0A0000}"/>
    <cellStyle name="Heading 3 5" xfId="3346" xr:uid="{00000000-0005-0000-0000-00008E0A0000}"/>
    <cellStyle name="Heading 3 5 10" xfId="3347" xr:uid="{00000000-0005-0000-0000-00008F0A0000}"/>
    <cellStyle name="Heading 3 5 11" xfId="3348" xr:uid="{00000000-0005-0000-0000-0000900A0000}"/>
    <cellStyle name="Heading 3 5 2" xfId="3349" xr:uid="{00000000-0005-0000-0000-0000910A0000}"/>
    <cellStyle name="Heading 3 5 3" xfId="3350" xr:uid="{00000000-0005-0000-0000-0000920A0000}"/>
    <cellStyle name="Heading 3 5 4" xfId="3351" xr:uid="{00000000-0005-0000-0000-0000930A0000}"/>
    <cellStyle name="Heading 3 5 5" xfId="3352" xr:uid="{00000000-0005-0000-0000-0000940A0000}"/>
    <cellStyle name="Heading 3 5 6" xfId="3353" xr:uid="{00000000-0005-0000-0000-0000950A0000}"/>
    <cellStyle name="Heading 3 5 7" xfId="3354" xr:uid="{00000000-0005-0000-0000-0000960A0000}"/>
    <cellStyle name="Heading 3 5 8" xfId="3355" xr:uid="{00000000-0005-0000-0000-0000970A0000}"/>
    <cellStyle name="Heading 3 5 9" xfId="3356" xr:uid="{00000000-0005-0000-0000-0000980A0000}"/>
    <cellStyle name="Heading 3 6" xfId="3357" xr:uid="{00000000-0005-0000-0000-0000990A0000}"/>
    <cellStyle name="Heading 3 7" xfId="3358" xr:uid="{00000000-0005-0000-0000-00009A0A0000}"/>
    <cellStyle name="Heading 3 8" xfId="3359" xr:uid="{00000000-0005-0000-0000-00009B0A0000}"/>
    <cellStyle name="Heading 3 9" xfId="3360" xr:uid="{00000000-0005-0000-0000-00009C0A0000}"/>
    <cellStyle name="Heading 4 10" xfId="3361" xr:uid="{00000000-0005-0000-0000-00009D0A0000}"/>
    <cellStyle name="Heading 4 11" xfId="3362" xr:uid="{00000000-0005-0000-0000-00009E0A0000}"/>
    <cellStyle name="Heading 4 12" xfId="3363" xr:uid="{00000000-0005-0000-0000-00009F0A0000}"/>
    <cellStyle name="Heading 4 13" xfId="3364" xr:uid="{00000000-0005-0000-0000-0000A00A0000}"/>
    <cellStyle name="Heading 4 14" xfId="3365" xr:uid="{00000000-0005-0000-0000-0000A10A0000}"/>
    <cellStyle name="Heading 4 15" xfId="3366" xr:uid="{00000000-0005-0000-0000-0000A20A0000}"/>
    <cellStyle name="Heading 4 16" xfId="115" xr:uid="{00000000-0005-0000-0000-0000A30A0000}"/>
    <cellStyle name="Heading 4 2" xfId="116" xr:uid="{00000000-0005-0000-0000-0000A40A0000}"/>
    <cellStyle name="Heading 4 2 10" xfId="3368" xr:uid="{00000000-0005-0000-0000-0000A50A0000}"/>
    <cellStyle name="Heading 4 2 11" xfId="3369" xr:uid="{00000000-0005-0000-0000-0000A60A0000}"/>
    <cellStyle name="Heading 4 2 12" xfId="3367" xr:uid="{00000000-0005-0000-0000-0000A70A0000}"/>
    <cellStyle name="Heading 4 2 2" xfId="1245" xr:uid="{00000000-0005-0000-0000-0000A80A0000}"/>
    <cellStyle name="Heading 4 2 2 2" xfId="3370" xr:uid="{00000000-0005-0000-0000-0000A90A0000}"/>
    <cellStyle name="Heading 4 2 3" xfId="3371" xr:uid="{00000000-0005-0000-0000-0000AA0A0000}"/>
    <cellStyle name="Heading 4 2 4" xfId="3372" xr:uid="{00000000-0005-0000-0000-0000AB0A0000}"/>
    <cellStyle name="Heading 4 2 5" xfId="3373" xr:uid="{00000000-0005-0000-0000-0000AC0A0000}"/>
    <cellStyle name="Heading 4 2 6" xfId="3374" xr:uid="{00000000-0005-0000-0000-0000AD0A0000}"/>
    <cellStyle name="Heading 4 2 7" xfId="3375" xr:uid="{00000000-0005-0000-0000-0000AE0A0000}"/>
    <cellStyle name="Heading 4 2 8" xfId="3376" xr:uid="{00000000-0005-0000-0000-0000AF0A0000}"/>
    <cellStyle name="Heading 4 2 9" xfId="3377" xr:uid="{00000000-0005-0000-0000-0000B00A0000}"/>
    <cellStyle name="Heading 4 3" xfId="117" xr:uid="{00000000-0005-0000-0000-0000B10A0000}"/>
    <cellStyle name="Heading 4 3 10" xfId="3379" xr:uid="{00000000-0005-0000-0000-0000B20A0000}"/>
    <cellStyle name="Heading 4 3 11" xfId="3380" xr:uid="{00000000-0005-0000-0000-0000B30A0000}"/>
    <cellStyle name="Heading 4 3 12" xfId="3378" xr:uid="{00000000-0005-0000-0000-0000B40A0000}"/>
    <cellStyle name="Heading 4 3 2" xfId="3381" xr:uid="{00000000-0005-0000-0000-0000B50A0000}"/>
    <cellStyle name="Heading 4 3 3" xfId="3382" xr:uid="{00000000-0005-0000-0000-0000B60A0000}"/>
    <cellStyle name="Heading 4 3 4" xfId="3383" xr:uid="{00000000-0005-0000-0000-0000B70A0000}"/>
    <cellStyle name="Heading 4 3 5" xfId="3384" xr:uid="{00000000-0005-0000-0000-0000B80A0000}"/>
    <cellStyle name="Heading 4 3 6" xfId="3385" xr:uid="{00000000-0005-0000-0000-0000B90A0000}"/>
    <cellStyle name="Heading 4 3 7" xfId="3386" xr:uid="{00000000-0005-0000-0000-0000BA0A0000}"/>
    <cellStyle name="Heading 4 3 8" xfId="3387" xr:uid="{00000000-0005-0000-0000-0000BB0A0000}"/>
    <cellStyle name="Heading 4 3 9" xfId="3388" xr:uid="{00000000-0005-0000-0000-0000BC0A0000}"/>
    <cellStyle name="Heading 4 4" xfId="1247" xr:uid="{00000000-0005-0000-0000-0000BD0A0000}"/>
    <cellStyle name="Heading 4 4 10" xfId="3390" xr:uid="{00000000-0005-0000-0000-0000BE0A0000}"/>
    <cellStyle name="Heading 4 4 11" xfId="3391" xr:uid="{00000000-0005-0000-0000-0000BF0A0000}"/>
    <cellStyle name="Heading 4 4 12" xfId="3389" xr:uid="{00000000-0005-0000-0000-0000C00A0000}"/>
    <cellStyle name="Heading 4 4 2" xfId="3392" xr:uid="{00000000-0005-0000-0000-0000C10A0000}"/>
    <cellStyle name="Heading 4 4 3" xfId="3393" xr:uid="{00000000-0005-0000-0000-0000C20A0000}"/>
    <cellStyle name="Heading 4 4 4" xfId="3394" xr:uid="{00000000-0005-0000-0000-0000C30A0000}"/>
    <cellStyle name="Heading 4 4 5" xfId="3395" xr:uid="{00000000-0005-0000-0000-0000C40A0000}"/>
    <cellStyle name="Heading 4 4 6" xfId="3396" xr:uid="{00000000-0005-0000-0000-0000C50A0000}"/>
    <cellStyle name="Heading 4 4 7" xfId="3397" xr:uid="{00000000-0005-0000-0000-0000C60A0000}"/>
    <cellStyle name="Heading 4 4 8" xfId="3398" xr:uid="{00000000-0005-0000-0000-0000C70A0000}"/>
    <cellStyle name="Heading 4 4 9" xfId="3399" xr:uid="{00000000-0005-0000-0000-0000C80A0000}"/>
    <cellStyle name="Heading 4 5" xfId="3400" xr:uid="{00000000-0005-0000-0000-0000C90A0000}"/>
    <cellStyle name="Heading 4 5 10" xfId="3401" xr:uid="{00000000-0005-0000-0000-0000CA0A0000}"/>
    <cellStyle name="Heading 4 5 11" xfId="3402" xr:uid="{00000000-0005-0000-0000-0000CB0A0000}"/>
    <cellStyle name="Heading 4 5 2" xfId="3403" xr:uid="{00000000-0005-0000-0000-0000CC0A0000}"/>
    <cellStyle name="Heading 4 5 3" xfId="3404" xr:uid="{00000000-0005-0000-0000-0000CD0A0000}"/>
    <cellStyle name="Heading 4 5 4" xfId="3405" xr:uid="{00000000-0005-0000-0000-0000CE0A0000}"/>
    <cellStyle name="Heading 4 5 5" xfId="3406" xr:uid="{00000000-0005-0000-0000-0000CF0A0000}"/>
    <cellStyle name="Heading 4 5 6" xfId="3407" xr:uid="{00000000-0005-0000-0000-0000D00A0000}"/>
    <cellStyle name="Heading 4 5 7" xfId="3408" xr:uid="{00000000-0005-0000-0000-0000D10A0000}"/>
    <cellStyle name="Heading 4 5 8" xfId="3409" xr:uid="{00000000-0005-0000-0000-0000D20A0000}"/>
    <cellStyle name="Heading 4 5 9" xfId="3410" xr:uid="{00000000-0005-0000-0000-0000D30A0000}"/>
    <cellStyle name="Heading 4 6" xfId="3411" xr:uid="{00000000-0005-0000-0000-0000D40A0000}"/>
    <cellStyle name="Heading 4 7" xfId="3412" xr:uid="{00000000-0005-0000-0000-0000D50A0000}"/>
    <cellStyle name="Heading 4 8" xfId="3413" xr:uid="{00000000-0005-0000-0000-0000D60A0000}"/>
    <cellStyle name="Heading 4 9" xfId="3414" xr:uid="{00000000-0005-0000-0000-0000D70A0000}"/>
    <cellStyle name="Hyperlink 10" xfId="317" xr:uid="{00000000-0005-0000-0000-0000D80A0000}"/>
    <cellStyle name="Hyperlink 11" xfId="318" xr:uid="{00000000-0005-0000-0000-0000D90A0000}"/>
    <cellStyle name="Hyperlink 12" xfId="319" xr:uid="{00000000-0005-0000-0000-0000DA0A0000}"/>
    <cellStyle name="Hyperlink 13" xfId="320" xr:uid="{00000000-0005-0000-0000-0000DB0A0000}"/>
    <cellStyle name="Hyperlink 14" xfId="321" xr:uid="{00000000-0005-0000-0000-0000DC0A0000}"/>
    <cellStyle name="Hyperlink 15" xfId="322" xr:uid="{00000000-0005-0000-0000-0000DD0A0000}"/>
    <cellStyle name="Hyperlink 15 2" xfId="1253" xr:uid="{00000000-0005-0000-0000-0000DE0A0000}"/>
    <cellStyle name="Hyperlink 16" xfId="1254" xr:uid="{00000000-0005-0000-0000-0000DF0A0000}"/>
    <cellStyle name="Hyperlink 17" xfId="1255" xr:uid="{00000000-0005-0000-0000-0000E00A0000}"/>
    <cellStyle name="Hyperlink 2" xfId="323" xr:uid="{00000000-0005-0000-0000-0000E10A0000}"/>
    <cellStyle name="Hyperlink 2 2" xfId="3415" xr:uid="{00000000-0005-0000-0000-0000E20A0000}"/>
    <cellStyle name="Hyperlink 3" xfId="324" xr:uid="{00000000-0005-0000-0000-0000E30A0000}"/>
    <cellStyle name="Hyperlink 4" xfId="325" xr:uid="{00000000-0005-0000-0000-0000E40A0000}"/>
    <cellStyle name="Hyperlink 5" xfId="326" xr:uid="{00000000-0005-0000-0000-0000E50A0000}"/>
    <cellStyle name="Hyperlink 6" xfId="327" xr:uid="{00000000-0005-0000-0000-0000E60A0000}"/>
    <cellStyle name="Hyperlink 7" xfId="328" xr:uid="{00000000-0005-0000-0000-0000E70A0000}"/>
    <cellStyle name="Hyperlink 8" xfId="329" xr:uid="{00000000-0005-0000-0000-0000E80A0000}"/>
    <cellStyle name="Hyperlink 9" xfId="330" xr:uid="{00000000-0005-0000-0000-0000E90A0000}"/>
    <cellStyle name="Input [yellow]" xfId="331" xr:uid="{00000000-0005-0000-0000-0000EA0A0000}"/>
    <cellStyle name="Input 10" xfId="1265" xr:uid="{00000000-0005-0000-0000-0000EB0A0000}"/>
    <cellStyle name="Input 10 2" xfId="3416" xr:uid="{00000000-0005-0000-0000-0000EC0A0000}"/>
    <cellStyle name="Input 100" xfId="1266" xr:uid="{00000000-0005-0000-0000-0000ED0A0000}"/>
    <cellStyle name="Input 101" xfId="1267" xr:uid="{00000000-0005-0000-0000-0000EE0A0000}"/>
    <cellStyle name="Input 102" xfId="1268" xr:uid="{00000000-0005-0000-0000-0000EF0A0000}"/>
    <cellStyle name="Input 103" xfId="1269" xr:uid="{00000000-0005-0000-0000-0000F00A0000}"/>
    <cellStyle name="Input 104" xfId="1270" xr:uid="{00000000-0005-0000-0000-0000F10A0000}"/>
    <cellStyle name="Input 105" xfId="1271" xr:uid="{00000000-0005-0000-0000-0000F20A0000}"/>
    <cellStyle name="Input 106" xfId="1272" xr:uid="{00000000-0005-0000-0000-0000F30A0000}"/>
    <cellStyle name="Input 107" xfId="1273" xr:uid="{00000000-0005-0000-0000-0000F40A0000}"/>
    <cellStyle name="Input 108" xfId="118" xr:uid="{00000000-0005-0000-0000-0000F50A0000}"/>
    <cellStyle name="Input 11" xfId="1274" xr:uid="{00000000-0005-0000-0000-0000F60A0000}"/>
    <cellStyle name="Input 11 2" xfId="3417" xr:uid="{00000000-0005-0000-0000-0000F70A0000}"/>
    <cellStyle name="Input 12" xfId="1275" xr:uid="{00000000-0005-0000-0000-0000F80A0000}"/>
    <cellStyle name="Input 12 2" xfId="3418" xr:uid="{00000000-0005-0000-0000-0000F90A0000}"/>
    <cellStyle name="Input 13" xfId="1276" xr:uid="{00000000-0005-0000-0000-0000FA0A0000}"/>
    <cellStyle name="Input 13 2" xfId="3419" xr:uid="{00000000-0005-0000-0000-0000FB0A0000}"/>
    <cellStyle name="Input 14" xfId="1277" xr:uid="{00000000-0005-0000-0000-0000FC0A0000}"/>
    <cellStyle name="Input 14 2" xfId="3420" xr:uid="{00000000-0005-0000-0000-0000FD0A0000}"/>
    <cellStyle name="Input 15" xfId="1278" xr:uid="{00000000-0005-0000-0000-0000FE0A0000}"/>
    <cellStyle name="Input 15 2" xfId="3421" xr:uid="{00000000-0005-0000-0000-0000FF0A0000}"/>
    <cellStyle name="Input 16" xfId="1279" xr:uid="{00000000-0005-0000-0000-0000000B0000}"/>
    <cellStyle name="Input 17" xfId="1280" xr:uid="{00000000-0005-0000-0000-0000010B0000}"/>
    <cellStyle name="Input 18" xfId="1281" xr:uid="{00000000-0005-0000-0000-0000020B0000}"/>
    <cellStyle name="Input 19" xfId="1282" xr:uid="{00000000-0005-0000-0000-0000030B0000}"/>
    <cellStyle name="Input 2" xfId="119" xr:uid="{00000000-0005-0000-0000-0000040B0000}"/>
    <cellStyle name="Input 2 10" xfId="3423" xr:uid="{00000000-0005-0000-0000-0000050B0000}"/>
    <cellStyle name="Input 2 11" xfId="3424" xr:uid="{00000000-0005-0000-0000-0000060B0000}"/>
    <cellStyle name="Input 2 12" xfId="3422" xr:uid="{00000000-0005-0000-0000-0000070B0000}"/>
    <cellStyle name="Input 2 2" xfId="1283" xr:uid="{00000000-0005-0000-0000-0000080B0000}"/>
    <cellStyle name="Input 2 2 2" xfId="3425" xr:uid="{00000000-0005-0000-0000-0000090B0000}"/>
    <cellStyle name="Input 2 3" xfId="3426" xr:uid="{00000000-0005-0000-0000-00000A0B0000}"/>
    <cellStyle name="Input 2 4" xfId="3427" xr:uid="{00000000-0005-0000-0000-00000B0B0000}"/>
    <cellStyle name="Input 2 5" xfId="3428" xr:uid="{00000000-0005-0000-0000-00000C0B0000}"/>
    <cellStyle name="Input 2 6" xfId="3429" xr:uid="{00000000-0005-0000-0000-00000D0B0000}"/>
    <cellStyle name="Input 2 7" xfId="3430" xr:uid="{00000000-0005-0000-0000-00000E0B0000}"/>
    <cellStyle name="Input 2 8" xfId="3431" xr:uid="{00000000-0005-0000-0000-00000F0B0000}"/>
    <cellStyle name="Input 2 9" xfId="3432" xr:uid="{00000000-0005-0000-0000-0000100B0000}"/>
    <cellStyle name="Input 20" xfId="1284" xr:uid="{00000000-0005-0000-0000-0000110B0000}"/>
    <cellStyle name="Input 21" xfId="1285" xr:uid="{00000000-0005-0000-0000-0000120B0000}"/>
    <cellStyle name="Input 22" xfId="1286" xr:uid="{00000000-0005-0000-0000-0000130B0000}"/>
    <cellStyle name="Input 23" xfId="1287" xr:uid="{00000000-0005-0000-0000-0000140B0000}"/>
    <cellStyle name="Input 24" xfId="1288" xr:uid="{00000000-0005-0000-0000-0000150B0000}"/>
    <cellStyle name="Input 25" xfId="1289" xr:uid="{00000000-0005-0000-0000-0000160B0000}"/>
    <cellStyle name="Input 26" xfId="1290" xr:uid="{00000000-0005-0000-0000-0000170B0000}"/>
    <cellStyle name="Input 27" xfId="1291" xr:uid="{00000000-0005-0000-0000-0000180B0000}"/>
    <cellStyle name="Input 28" xfId="1292" xr:uid="{00000000-0005-0000-0000-0000190B0000}"/>
    <cellStyle name="Input 29" xfId="1293" xr:uid="{00000000-0005-0000-0000-00001A0B0000}"/>
    <cellStyle name="Input 3" xfId="120" xr:uid="{00000000-0005-0000-0000-00001B0B0000}"/>
    <cellStyle name="Input 3 10" xfId="3434" xr:uid="{00000000-0005-0000-0000-00001C0B0000}"/>
    <cellStyle name="Input 3 11" xfId="3435" xr:uid="{00000000-0005-0000-0000-00001D0B0000}"/>
    <cellStyle name="Input 3 12" xfId="3433" xr:uid="{00000000-0005-0000-0000-00001E0B0000}"/>
    <cellStyle name="Input 3 2" xfId="1294" xr:uid="{00000000-0005-0000-0000-00001F0B0000}"/>
    <cellStyle name="Input 3 2 2" xfId="3436" xr:uid="{00000000-0005-0000-0000-0000200B0000}"/>
    <cellStyle name="Input 3 3" xfId="3437" xr:uid="{00000000-0005-0000-0000-0000210B0000}"/>
    <cellStyle name="Input 3 4" xfId="3438" xr:uid="{00000000-0005-0000-0000-0000220B0000}"/>
    <cellStyle name="Input 3 5" xfId="3439" xr:uid="{00000000-0005-0000-0000-0000230B0000}"/>
    <cellStyle name="Input 3 6" xfId="3440" xr:uid="{00000000-0005-0000-0000-0000240B0000}"/>
    <cellStyle name="Input 3 7" xfId="3441" xr:uid="{00000000-0005-0000-0000-0000250B0000}"/>
    <cellStyle name="Input 3 8" xfId="3442" xr:uid="{00000000-0005-0000-0000-0000260B0000}"/>
    <cellStyle name="Input 3 9" xfId="3443" xr:uid="{00000000-0005-0000-0000-0000270B0000}"/>
    <cellStyle name="Input 30" xfId="1295" xr:uid="{00000000-0005-0000-0000-0000280B0000}"/>
    <cellStyle name="Input 31" xfId="1296" xr:uid="{00000000-0005-0000-0000-0000290B0000}"/>
    <cellStyle name="Input 32" xfId="1297" xr:uid="{00000000-0005-0000-0000-00002A0B0000}"/>
    <cellStyle name="Input 33" xfId="1298" xr:uid="{00000000-0005-0000-0000-00002B0B0000}"/>
    <cellStyle name="Input 34" xfId="1299" xr:uid="{00000000-0005-0000-0000-00002C0B0000}"/>
    <cellStyle name="Input 35" xfId="1300" xr:uid="{00000000-0005-0000-0000-00002D0B0000}"/>
    <cellStyle name="Input 36" xfId="1301" xr:uid="{00000000-0005-0000-0000-00002E0B0000}"/>
    <cellStyle name="Input 37" xfId="1302" xr:uid="{00000000-0005-0000-0000-00002F0B0000}"/>
    <cellStyle name="Input 38" xfId="1303" xr:uid="{00000000-0005-0000-0000-0000300B0000}"/>
    <cellStyle name="Input 39" xfId="1304" xr:uid="{00000000-0005-0000-0000-0000310B0000}"/>
    <cellStyle name="Input 4" xfId="1305" xr:uid="{00000000-0005-0000-0000-0000320B0000}"/>
    <cellStyle name="Input 4 10" xfId="3445" xr:uid="{00000000-0005-0000-0000-0000330B0000}"/>
    <cellStyle name="Input 4 11" xfId="3446" xr:uid="{00000000-0005-0000-0000-0000340B0000}"/>
    <cellStyle name="Input 4 12" xfId="3444" xr:uid="{00000000-0005-0000-0000-0000350B0000}"/>
    <cellStyle name="Input 4 2" xfId="3447" xr:uid="{00000000-0005-0000-0000-0000360B0000}"/>
    <cellStyle name="Input 4 3" xfId="3448" xr:uid="{00000000-0005-0000-0000-0000370B0000}"/>
    <cellStyle name="Input 4 4" xfId="3449" xr:uid="{00000000-0005-0000-0000-0000380B0000}"/>
    <cellStyle name="Input 4 5" xfId="3450" xr:uid="{00000000-0005-0000-0000-0000390B0000}"/>
    <cellStyle name="Input 4 6" xfId="3451" xr:uid="{00000000-0005-0000-0000-00003A0B0000}"/>
    <cellStyle name="Input 4 7" xfId="3452" xr:uid="{00000000-0005-0000-0000-00003B0B0000}"/>
    <cellStyle name="Input 4 8" xfId="3453" xr:uid="{00000000-0005-0000-0000-00003C0B0000}"/>
    <cellStyle name="Input 4 9" xfId="3454" xr:uid="{00000000-0005-0000-0000-00003D0B0000}"/>
    <cellStyle name="Input 40" xfId="1306" xr:uid="{00000000-0005-0000-0000-00003E0B0000}"/>
    <cellStyle name="Input 41" xfId="1307" xr:uid="{00000000-0005-0000-0000-00003F0B0000}"/>
    <cellStyle name="Input 42" xfId="1308" xr:uid="{00000000-0005-0000-0000-0000400B0000}"/>
    <cellStyle name="Input 43" xfId="1309" xr:uid="{00000000-0005-0000-0000-0000410B0000}"/>
    <cellStyle name="Input 44" xfId="1310" xr:uid="{00000000-0005-0000-0000-0000420B0000}"/>
    <cellStyle name="Input 45" xfId="1311" xr:uid="{00000000-0005-0000-0000-0000430B0000}"/>
    <cellStyle name="Input 46" xfId="1312" xr:uid="{00000000-0005-0000-0000-0000440B0000}"/>
    <cellStyle name="Input 47" xfId="1313" xr:uid="{00000000-0005-0000-0000-0000450B0000}"/>
    <cellStyle name="Input 48" xfId="1314" xr:uid="{00000000-0005-0000-0000-0000460B0000}"/>
    <cellStyle name="Input 49" xfId="1315" xr:uid="{00000000-0005-0000-0000-0000470B0000}"/>
    <cellStyle name="Input 5" xfId="1316" xr:uid="{00000000-0005-0000-0000-0000480B0000}"/>
    <cellStyle name="Input 5 10" xfId="3456" xr:uid="{00000000-0005-0000-0000-0000490B0000}"/>
    <cellStyle name="Input 5 11" xfId="3457" xr:uid="{00000000-0005-0000-0000-00004A0B0000}"/>
    <cellStyle name="Input 5 12" xfId="3455" xr:uid="{00000000-0005-0000-0000-00004B0B0000}"/>
    <cellStyle name="Input 5 2" xfId="3458" xr:uid="{00000000-0005-0000-0000-00004C0B0000}"/>
    <cellStyle name="Input 5 3" xfId="3459" xr:uid="{00000000-0005-0000-0000-00004D0B0000}"/>
    <cellStyle name="Input 5 4" xfId="3460" xr:uid="{00000000-0005-0000-0000-00004E0B0000}"/>
    <cellStyle name="Input 5 5" xfId="3461" xr:uid="{00000000-0005-0000-0000-00004F0B0000}"/>
    <cellStyle name="Input 5 6" xfId="3462" xr:uid="{00000000-0005-0000-0000-0000500B0000}"/>
    <cellStyle name="Input 5 7" xfId="3463" xr:uid="{00000000-0005-0000-0000-0000510B0000}"/>
    <cellStyle name="Input 5 8" xfId="3464" xr:uid="{00000000-0005-0000-0000-0000520B0000}"/>
    <cellStyle name="Input 5 9" xfId="3465" xr:uid="{00000000-0005-0000-0000-0000530B0000}"/>
    <cellStyle name="Input 50" xfId="1317" xr:uid="{00000000-0005-0000-0000-0000540B0000}"/>
    <cellStyle name="Input 51" xfId="1318" xr:uid="{00000000-0005-0000-0000-0000550B0000}"/>
    <cellStyle name="Input 52" xfId="1319" xr:uid="{00000000-0005-0000-0000-0000560B0000}"/>
    <cellStyle name="Input 53" xfId="1320" xr:uid="{00000000-0005-0000-0000-0000570B0000}"/>
    <cellStyle name="Input 54" xfId="1321" xr:uid="{00000000-0005-0000-0000-0000580B0000}"/>
    <cellStyle name="Input 55" xfId="1322" xr:uid="{00000000-0005-0000-0000-0000590B0000}"/>
    <cellStyle name="Input 56" xfId="1323" xr:uid="{00000000-0005-0000-0000-00005A0B0000}"/>
    <cellStyle name="Input 57" xfId="1324" xr:uid="{00000000-0005-0000-0000-00005B0B0000}"/>
    <cellStyle name="Input 58" xfId="1325" xr:uid="{00000000-0005-0000-0000-00005C0B0000}"/>
    <cellStyle name="Input 59" xfId="1326" xr:uid="{00000000-0005-0000-0000-00005D0B0000}"/>
    <cellStyle name="Input 6" xfId="1327" xr:uid="{00000000-0005-0000-0000-00005E0B0000}"/>
    <cellStyle name="Input 6 2" xfId="3466" xr:uid="{00000000-0005-0000-0000-00005F0B0000}"/>
    <cellStyle name="Input 60" xfId="1328" xr:uid="{00000000-0005-0000-0000-0000600B0000}"/>
    <cellStyle name="Input 61" xfId="1329" xr:uid="{00000000-0005-0000-0000-0000610B0000}"/>
    <cellStyle name="Input 62" xfId="1330" xr:uid="{00000000-0005-0000-0000-0000620B0000}"/>
    <cellStyle name="Input 63" xfId="1331" xr:uid="{00000000-0005-0000-0000-0000630B0000}"/>
    <cellStyle name="Input 64" xfId="1332" xr:uid="{00000000-0005-0000-0000-0000640B0000}"/>
    <cellStyle name="Input 65" xfId="1333" xr:uid="{00000000-0005-0000-0000-0000650B0000}"/>
    <cellStyle name="Input 66" xfId="1334" xr:uid="{00000000-0005-0000-0000-0000660B0000}"/>
    <cellStyle name="Input 67" xfId="1335" xr:uid="{00000000-0005-0000-0000-0000670B0000}"/>
    <cellStyle name="Input 68" xfId="1336" xr:uid="{00000000-0005-0000-0000-0000680B0000}"/>
    <cellStyle name="Input 69" xfId="1337" xr:uid="{00000000-0005-0000-0000-0000690B0000}"/>
    <cellStyle name="Input 7" xfId="1338" xr:uid="{00000000-0005-0000-0000-00006A0B0000}"/>
    <cellStyle name="Input 7 2" xfId="3467" xr:uid="{00000000-0005-0000-0000-00006B0B0000}"/>
    <cellStyle name="Input 70" xfId="1339" xr:uid="{00000000-0005-0000-0000-00006C0B0000}"/>
    <cellStyle name="Input 71" xfId="1340" xr:uid="{00000000-0005-0000-0000-00006D0B0000}"/>
    <cellStyle name="Input 72" xfId="1341" xr:uid="{00000000-0005-0000-0000-00006E0B0000}"/>
    <cellStyle name="Input 73" xfId="1342" xr:uid="{00000000-0005-0000-0000-00006F0B0000}"/>
    <cellStyle name="Input 74" xfId="1343" xr:uid="{00000000-0005-0000-0000-0000700B0000}"/>
    <cellStyle name="Input 75" xfId="1344" xr:uid="{00000000-0005-0000-0000-0000710B0000}"/>
    <cellStyle name="Input 76" xfId="1345" xr:uid="{00000000-0005-0000-0000-0000720B0000}"/>
    <cellStyle name="Input 77" xfId="1346" xr:uid="{00000000-0005-0000-0000-0000730B0000}"/>
    <cellStyle name="Input 78" xfId="1347" xr:uid="{00000000-0005-0000-0000-0000740B0000}"/>
    <cellStyle name="Input 79" xfId="1348" xr:uid="{00000000-0005-0000-0000-0000750B0000}"/>
    <cellStyle name="Input 8" xfId="1349" xr:uid="{00000000-0005-0000-0000-0000760B0000}"/>
    <cellStyle name="Input 8 2" xfId="3468" xr:uid="{00000000-0005-0000-0000-0000770B0000}"/>
    <cellStyle name="Input 80" xfId="1350" xr:uid="{00000000-0005-0000-0000-0000780B0000}"/>
    <cellStyle name="Input 81" xfId="1351" xr:uid="{00000000-0005-0000-0000-0000790B0000}"/>
    <cellStyle name="Input 82" xfId="1352" xr:uid="{00000000-0005-0000-0000-00007A0B0000}"/>
    <cellStyle name="Input 83" xfId="1353" xr:uid="{00000000-0005-0000-0000-00007B0B0000}"/>
    <cellStyle name="Input 84" xfId="1354" xr:uid="{00000000-0005-0000-0000-00007C0B0000}"/>
    <cellStyle name="Input 85" xfId="1355" xr:uid="{00000000-0005-0000-0000-00007D0B0000}"/>
    <cellStyle name="Input 86" xfId="1356" xr:uid="{00000000-0005-0000-0000-00007E0B0000}"/>
    <cellStyle name="Input 87" xfId="1357" xr:uid="{00000000-0005-0000-0000-00007F0B0000}"/>
    <cellStyle name="Input 88" xfId="1358" xr:uid="{00000000-0005-0000-0000-0000800B0000}"/>
    <cellStyle name="Input 89" xfId="1359" xr:uid="{00000000-0005-0000-0000-0000810B0000}"/>
    <cellStyle name="Input 9" xfId="1360" xr:uid="{00000000-0005-0000-0000-0000820B0000}"/>
    <cellStyle name="Input 9 2" xfId="3469" xr:uid="{00000000-0005-0000-0000-0000830B0000}"/>
    <cellStyle name="Input 90" xfId="1361" xr:uid="{00000000-0005-0000-0000-0000840B0000}"/>
    <cellStyle name="Input 91" xfId="1362" xr:uid="{00000000-0005-0000-0000-0000850B0000}"/>
    <cellStyle name="Input 92" xfId="1363" xr:uid="{00000000-0005-0000-0000-0000860B0000}"/>
    <cellStyle name="Input 93" xfId="1364" xr:uid="{00000000-0005-0000-0000-0000870B0000}"/>
    <cellStyle name="Input 94" xfId="1365" xr:uid="{00000000-0005-0000-0000-0000880B0000}"/>
    <cellStyle name="Input 95" xfId="1366" xr:uid="{00000000-0005-0000-0000-0000890B0000}"/>
    <cellStyle name="Input 96" xfId="1367" xr:uid="{00000000-0005-0000-0000-00008A0B0000}"/>
    <cellStyle name="Input 97" xfId="1368" xr:uid="{00000000-0005-0000-0000-00008B0B0000}"/>
    <cellStyle name="Input 98" xfId="1369" xr:uid="{00000000-0005-0000-0000-00008C0B0000}"/>
    <cellStyle name="Input 99" xfId="1370" xr:uid="{00000000-0005-0000-0000-00008D0B0000}"/>
    <cellStyle name="Komma [0]_Blad1" xfId="232" xr:uid="{00000000-0005-0000-0000-00008E0B0000}"/>
    <cellStyle name="Komma_Blad1" xfId="228" xr:uid="{00000000-0005-0000-0000-00008F0B0000}"/>
    <cellStyle name="Linked Cell 10" xfId="3470" xr:uid="{00000000-0005-0000-0000-0000900B0000}"/>
    <cellStyle name="Linked Cell 11" xfId="3471" xr:uid="{00000000-0005-0000-0000-0000910B0000}"/>
    <cellStyle name="Linked Cell 12" xfId="3472" xr:uid="{00000000-0005-0000-0000-0000920B0000}"/>
    <cellStyle name="Linked Cell 13" xfId="3473" xr:uid="{00000000-0005-0000-0000-0000930B0000}"/>
    <cellStyle name="Linked Cell 14" xfId="3474" xr:uid="{00000000-0005-0000-0000-0000940B0000}"/>
    <cellStyle name="Linked Cell 15" xfId="3475" xr:uid="{00000000-0005-0000-0000-0000950B0000}"/>
    <cellStyle name="Linked Cell 16" xfId="121" xr:uid="{00000000-0005-0000-0000-0000960B0000}"/>
    <cellStyle name="Linked Cell 2" xfId="122" xr:uid="{00000000-0005-0000-0000-0000970B0000}"/>
    <cellStyle name="Linked Cell 2 10" xfId="3477" xr:uid="{00000000-0005-0000-0000-0000980B0000}"/>
    <cellStyle name="Linked Cell 2 11" xfId="3478" xr:uid="{00000000-0005-0000-0000-0000990B0000}"/>
    <cellStyle name="Linked Cell 2 12" xfId="3476" xr:uid="{00000000-0005-0000-0000-00009A0B0000}"/>
    <cellStyle name="Linked Cell 2 2" xfId="1371" xr:uid="{00000000-0005-0000-0000-00009B0B0000}"/>
    <cellStyle name="Linked Cell 2 2 2" xfId="3479" xr:uid="{00000000-0005-0000-0000-00009C0B0000}"/>
    <cellStyle name="Linked Cell 2 3" xfId="3480" xr:uid="{00000000-0005-0000-0000-00009D0B0000}"/>
    <cellStyle name="Linked Cell 2 4" xfId="3481" xr:uid="{00000000-0005-0000-0000-00009E0B0000}"/>
    <cellStyle name="Linked Cell 2 5" xfId="3482" xr:uid="{00000000-0005-0000-0000-00009F0B0000}"/>
    <cellStyle name="Linked Cell 2 6" xfId="3483" xr:uid="{00000000-0005-0000-0000-0000A00B0000}"/>
    <cellStyle name="Linked Cell 2 7" xfId="3484" xr:uid="{00000000-0005-0000-0000-0000A10B0000}"/>
    <cellStyle name="Linked Cell 2 8" xfId="3485" xr:uid="{00000000-0005-0000-0000-0000A20B0000}"/>
    <cellStyle name="Linked Cell 2 9" xfId="3486" xr:uid="{00000000-0005-0000-0000-0000A30B0000}"/>
    <cellStyle name="Linked Cell 3" xfId="123" xr:uid="{00000000-0005-0000-0000-0000A40B0000}"/>
    <cellStyle name="Linked Cell 3 10" xfId="3488" xr:uid="{00000000-0005-0000-0000-0000A50B0000}"/>
    <cellStyle name="Linked Cell 3 11" xfId="3489" xr:uid="{00000000-0005-0000-0000-0000A60B0000}"/>
    <cellStyle name="Linked Cell 3 12" xfId="3487" xr:uid="{00000000-0005-0000-0000-0000A70B0000}"/>
    <cellStyle name="Linked Cell 3 2" xfId="3490" xr:uid="{00000000-0005-0000-0000-0000A80B0000}"/>
    <cellStyle name="Linked Cell 3 3" xfId="3491" xr:uid="{00000000-0005-0000-0000-0000A90B0000}"/>
    <cellStyle name="Linked Cell 3 4" xfId="3492" xr:uid="{00000000-0005-0000-0000-0000AA0B0000}"/>
    <cellStyle name="Linked Cell 3 5" xfId="3493" xr:uid="{00000000-0005-0000-0000-0000AB0B0000}"/>
    <cellStyle name="Linked Cell 3 6" xfId="3494" xr:uid="{00000000-0005-0000-0000-0000AC0B0000}"/>
    <cellStyle name="Linked Cell 3 7" xfId="3495" xr:uid="{00000000-0005-0000-0000-0000AD0B0000}"/>
    <cellStyle name="Linked Cell 3 8" xfId="3496" xr:uid="{00000000-0005-0000-0000-0000AE0B0000}"/>
    <cellStyle name="Linked Cell 3 9" xfId="3497" xr:uid="{00000000-0005-0000-0000-0000AF0B0000}"/>
    <cellStyle name="Linked Cell 4" xfId="1373" xr:uid="{00000000-0005-0000-0000-0000B00B0000}"/>
    <cellStyle name="Linked Cell 4 10" xfId="3499" xr:uid="{00000000-0005-0000-0000-0000B10B0000}"/>
    <cellStyle name="Linked Cell 4 11" xfId="3500" xr:uid="{00000000-0005-0000-0000-0000B20B0000}"/>
    <cellStyle name="Linked Cell 4 12" xfId="3498" xr:uid="{00000000-0005-0000-0000-0000B30B0000}"/>
    <cellStyle name="Linked Cell 4 2" xfId="3501" xr:uid="{00000000-0005-0000-0000-0000B40B0000}"/>
    <cellStyle name="Linked Cell 4 3" xfId="3502" xr:uid="{00000000-0005-0000-0000-0000B50B0000}"/>
    <cellStyle name="Linked Cell 4 4" xfId="3503" xr:uid="{00000000-0005-0000-0000-0000B60B0000}"/>
    <cellStyle name="Linked Cell 4 5" xfId="3504" xr:uid="{00000000-0005-0000-0000-0000B70B0000}"/>
    <cellStyle name="Linked Cell 4 6" xfId="3505" xr:uid="{00000000-0005-0000-0000-0000B80B0000}"/>
    <cellStyle name="Linked Cell 4 7" xfId="3506" xr:uid="{00000000-0005-0000-0000-0000B90B0000}"/>
    <cellStyle name="Linked Cell 4 8" xfId="3507" xr:uid="{00000000-0005-0000-0000-0000BA0B0000}"/>
    <cellStyle name="Linked Cell 4 9" xfId="3508" xr:uid="{00000000-0005-0000-0000-0000BB0B0000}"/>
    <cellStyle name="Linked Cell 5" xfId="3509" xr:uid="{00000000-0005-0000-0000-0000BC0B0000}"/>
    <cellStyle name="Linked Cell 5 10" xfId="3510" xr:uid="{00000000-0005-0000-0000-0000BD0B0000}"/>
    <cellStyle name="Linked Cell 5 11" xfId="3511" xr:uid="{00000000-0005-0000-0000-0000BE0B0000}"/>
    <cellStyle name="Linked Cell 5 2" xfId="3512" xr:uid="{00000000-0005-0000-0000-0000BF0B0000}"/>
    <cellStyle name="Linked Cell 5 3" xfId="3513" xr:uid="{00000000-0005-0000-0000-0000C00B0000}"/>
    <cellStyle name="Linked Cell 5 4" xfId="3514" xr:uid="{00000000-0005-0000-0000-0000C10B0000}"/>
    <cellStyle name="Linked Cell 5 5" xfId="3515" xr:uid="{00000000-0005-0000-0000-0000C20B0000}"/>
    <cellStyle name="Linked Cell 5 6" xfId="3516" xr:uid="{00000000-0005-0000-0000-0000C30B0000}"/>
    <cellStyle name="Linked Cell 5 7" xfId="3517" xr:uid="{00000000-0005-0000-0000-0000C40B0000}"/>
    <cellStyle name="Linked Cell 5 8" xfId="3518" xr:uid="{00000000-0005-0000-0000-0000C50B0000}"/>
    <cellStyle name="Linked Cell 5 9" xfId="3519" xr:uid="{00000000-0005-0000-0000-0000C60B0000}"/>
    <cellStyle name="Linked Cell 6" xfId="3520" xr:uid="{00000000-0005-0000-0000-0000C70B0000}"/>
    <cellStyle name="Linked Cell 7" xfId="3521" xr:uid="{00000000-0005-0000-0000-0000C80B0000}"/>
    <cellStyle name="Linked Cell 8" xfId="3522" xr:uid="{00000000-0005-0000-0000-0000C90B0000}"/>
    <cellStyle name="Linked Cell 9" xfId="3523" xr:uid="{00000000-0005-0000-0000-0000CA0B0000}"/>
    <cellStyle name="ɱ" xfId="3524" xr:uid="{00000000-0005-0000-0000-0000CB0B0000}"/>
    <cellStyle name="Milliers [0]_AR1194" xfId="332" xr:uid="{00000000-0005-0000-0000-0000CC0B0000}"/>
    <cellStyle name="Milliers_AR1194" xfId="333" xr:uid="{00000000-0005-0000-0000-0000CD0B0000}"/>
    <cellStyle name="Monétaire [0]_AR1194" xfId="334" xr:uid="{00000000-0005-0000-0000-0000CE0B0000}"/>
    <cellStyle name="Monétaire_AR1194" xfId="335" xr:uid="{00000000-0005-0000-0000-0000CF0B0000}"/>
    <cellStyle name="month" xfId="3525" xr:uid="{00000000-0005-0000-0000-0000D00B0000}"/>
    <cellStyle name="Neutral 10" xfId="3526" xr:uid="{00000000-0005-0000-0000-0000D10B0000}"/>
    <cellStyle name="Neutral 11" xfId="3527" xr:uid="{00000000-0005-0000-0000-0000D20B0000}"/>
    <cellStyle name="Neutral 12" xfId="3528" xr:uid="{00000000-0005-0000-0000-0000D30B0000}"/>
    <cellStyle name="Neutral 13" xfId="3529" xr:uid="{00000000-0005-0000-0000-0000D40B0000}"/>
    <cellStyle name="Neutral 14" xfId="3530" xr:uid="{00000000-0005-0000-0000-0000D50B0000}"/>
    <cellStyle name="Neutral 15" xfId="3531" xr:uid="{00000000-0005-0000-0000-0000D60B0000}"/>
    <cellStyle name="Neutral 16" xfId="124" xr:uid="{00000000-0005-0000-0000-0000D70B0000}"/>
    <cellStyle name="Neutral 2" xfId="125" xr:uid="{00000000-0005-0000-0000-0000D80B0000}"/>
    <cellStyle name="Neutral 2 10" xfId="3533" xr:uid="{00000000-0005-0000-0000-0000D90B0000}"/>
    <cellStyle name="Neutral 2 11" xfId="3534" xr:uid="{00000000-0005-0000-0000-0000DA0B0000}"/>
    <cellStyle name="Neutral 2 12" xfId="3532" xr:uid="{00000000-0005-0000-0000-0000DB0B0000}"/>
    <cellStyle name="Neutral 2 2" xfId="1378" xr:uid="{00000000-0005-0000-0000-0000DC0B0000}"/>
    <cellStyle name="Neutral 2 2 2" xfId="3535" xr:uid="{00000000-0005-0000-0000-0000DD0B0000}"/>
    <cellStyle name="Neutral 2 3" xfId="3536" xr:uid="{00000000-0005-0000-0000-0000DE0B0000}"/>
    <cellStyle name="Neutral 2 4" xfId="3537" xr:uid="{00000000-0005-0000-0000-0000DF0B0000}"/>
    <cellStyle name="Neutral 2 5" xfId="3538" xr:uid="{00000000-0005-0000-0000-0000E00B0000}"/>
    <cellStyle name="Neutral 2 6" xfId="3539" xr:uid="{00000000-0005-0000-0000-0000E10B0000}"/>
    <cellStyle name="Neutral 2 7" xfId="3540" xr:uid="{00000000-0005-0000-0000-0000E20B0000}"/>
    <cellStyle name="Neutral 2 8" xfId="3541" xr:uid="{00000000-0005-0000-0000-0000E30B0000}"/>
    <cellStyle name="Neutral 2 9" xfId="3542" xr:uid="{00000000-0005-0000-0000-0000E40B0000}"/>
    <cellStyle name="Neutral 3" xfId="126" xr:uid="{00000000-0005-0000-0000-0000E50B0000}"/>
    <cellStyle name="Neutral 3 10" xfId="3544" xr:uid="{00000000-0005-0000-0000-0000E60B0000}"/>
    <cellStyle name="Neutral 3 11" xfId="3545" xr:uid="{00000000-0005-0000-0000-0000E70B0000}"/>
    <cellStyle name="Neutral 3 12" xfId="3543" xr:uid="{00000000-0005-0000-0000-0000E80B0000}"/>
    <cellStyle name="Neutral 3 2" xfId="3546" xr:uid="{00000000-0005-0000-0000-0000E90B0000}"/>
    <cellStyle name="Neutral 3 3" xfId="3547" xr:uid="{00000000-0005-0000-0000-0000EA0B0000}"/>
    <cellStyle name="Neutral 3 4" xfId="3548" xr:uid="{00000000-0005-0000-0000-0000EB0B0000}"/>
    <cellStyle name="Neutral 3 5" xfId="3549" xr:uid="{00000000-0005-0000-0000-0000EC0B0000}"/>
    <cellStyle name="Neutral 3 6" xfId="3550" xr:uid="{00000000-0005-0000-0000-0000ED0B0000}"/>
    <cellStyle name="Neutral 3 7" xfId="3551" xr:uid="{00000000-0005-0000-0000-0000EE0B0000}"/>
    <cellStyle name="Neutral 3 8" xfId="3552" xr:uid="{00000000-0005-0000-0000-0000EF0B0000}"/>
    <cellStyle name="Neutral 3 9" xfId="3553" xr:uid="{00000000-0005-0000-0000-0000F00B0000}"/>
    <cellStyle name="Neutral 4" xfId="1380" xr:uid="{00000000-0005-0000-0000-0000F10B0000}"/>
    <cellStyle name="Neutral 4 10" xfId="3555" xr:uid="{00000000-0005-0000-0000-0000F20B0000}"/>
    <cellStyle name="Neutral 4 11" xfId="3556" xr:uid="{00000000-0005-0000-0000-0000F30B0000}"/>
    <cellStyle name="Neutral 4 12" xfId="3554" xr:uid="{00000000-0005-0000-0000-0000F40B0000}"/>
    <cellStyle name="Neutral 4 2" xfId="3557" xr:uid="{00000000-0005-0000-0000-0000F50B0000}"/>
    <cellStyle name="Neutral 4 3" xfId="3558" xr:uid="{00000000-0005-0000-0000-0000F60B0000}"/>
    <cellStyle name="Neutral 4 4" xfId="3559" xr:uid="{00000000-0005-0000-0000-0000F70B0000}"/>
    <cellStyle name="Neutral 4 5" xfId="3560" xr:uid="{00000000-0005-0000-0000-0000F80B0000}"/>
    <cellStyle name="Neutral 4 6" xfId="3561" xr:uid="{00000000-0005-0000-0000-0000F90B0000}"/>
    <cellStyle name="Neutral 4 7" xfId="3562" xr:uid="{00000000-0005-0000-0000-0000FA0B0000}"/>
    <cellStyle name="Neutral 4 8" xfId="3563" xr:uid="{00000000-0005-0000-0000-0000FB0B0000}"/>
    <cellStyle name="Neutral 4 9" xfId="3564" xr:uid="{00000000-0005-0000-0000-0000FC0B0000}"/>
    <cellStyle name="Neutral 5" xfId="3565" xr:uid="{00000000-0005-0000-0000-0000FD0B0000}"/>
    <cellStyle name="Neutral 5 10" xfId="3566" xr:uid="{00000000-0005-0000-0000-0000FE0B0000}"/>
    <cellStyle name="Neutral 5 11" xfId="3567" xr:uid="{00000000-0005-0000-0000-0000FF0B0000}"/>
    <cellStyle name="Neutral 5 2" xfId="3568" xr:uid="{00000000-0005-0000-0000-0000000C0000}"/>
    <cellStyle name="Neutral 5 3" xfId="3569" xr:uid="{00000000-0005-0000-0000-0000010C0000}"/>
    <cellStyle name="Neutral 5 4" xfId="3570" xr:uid="{00000000-0005-0000-0000-0000020C0000}"/>
    <cellStyle name="Neutral 5 5" xfId="3571" xr:uid="{00000000-0005-0000-0000-0000030C0000}"/>
    <cellStyle name="Neutral 5 6" xfId="3572" xr:uid="{00000000-0005-0000-0000-0000040C0000}"/>
    <cellStyle name="Neutral 5 7" xfId="3573" xr:uid="{00000000-0005-0000-0000-0000050C0000}"/>
    <cellStyle name="Neutral 5 8" xfId="3574" xr:uid="{00000000-0005-0000-0000-0000060C0000}"/>
    <cellStyle name="Neutral 5 9" xfId="3575" xr:uid="{00000000-0005-0000-0000-0000070C0000}"/>
    <cellStyle name="Neutral 6" xfId="3576" xr:uid="{00000000-0005-0000-0000-0000080C0000}"/>
    <cellStyle name="Neutral 7" xfId="3577" xr:uid="{00000000-0005-0000-0000-0000090C0000}"/>
    <cellStyle name="Neutral 8" xfId="3578" xr:uid="{00000000-0005-0000-0000-00000A0C0000}"/>
    <cellStyle name="Neutral 9" xfId="3579" xr:uid="{00000000-0005-0000-0000-00000B0C0000}"/>
    <cellStyle name="no dec" xfId="336" xr:uid="{00000000-0005-0000-0000-00000C0C0000}"/>
    <cellStyle name="Normal" xfId="0" builtinId="0"/>
    <cellStyle name="Normal - Style1" xfId="127" xr:uid="{00000000-0005-0000-0000-00000E0C0000}"/>
    <cellStyle name="Normal - Style5" xfId="337" xr:uid="{00000000-0005-0000-0000-00000F0C0000}"/>
    <cellStyle name="Normal 10" xfId="169" xr:uid="{00000000-0005-0000-0000-0000100C0000}"/>
    <cellStyle name="Normal 10 2" xfId="338" xr:uid="{00000000-0005-0000-0000-0000110C0000}"/>
    <cellStyle name="Normal 100" xfId="1385" xr:uid="{00000000-0005-0000-0000-0000120C0000}"/>
    <cellStyle name="Normal 101" xfId="1386" xr:uid="{00000000-0005-0000-0000-0000130C0000}"/>
    <cellStyle name="Normal 102" xfId="1387" xr:uid="{00000000-0005-0000-0000-0000140C0000}"/>
    <cellStyle name="Normal 103" xfId="1388" xr:uid="{00000000-0005-0000-0000-0000150C0000}"/>
    <cellStyle name="Normal 104" xfId="1389" xr:uid="{00000000-0005-0000-0000-0000160C0000}"/>
    <cellStyle name="Normal 105" xfId="1390" xr:uid="{00000000-0005-0000-0000-0000170C0000}"/>
    <cellStyle name="Normal 106" xfId="1391" xr:uid="{00000000-0005-0000-0000-0000180C0000}"/>
    <cellStyle name="Normal 107" xfId="1392" xr:uid="{00000000-0005-0000-0000-0000190C0000}"/>
    <cellStyle name="Normal 108" xfId="1393" xr:uid="{00000000-0005-0000-0000-00001A0C0000}"/>
    <cellStyle name="Normal 109" xfId="1394" xr:uid="{00000000-0005-0000-0000-00001B0C0000}"/>
    <cellStyle name="Normal 11" xfId="174" xr:uid="{00000000-0005-0000-0000-00001C0C0000}"/>
    <cellStyle name="Normal 11 2" xfId="223" xr:uid="{00000000-0005-0000-0000-00001D0C0000}"/>
    <cellStyle name="Normal 110" xfId="1396" xr:uid="{00000000-0005-0000-0000-00001E0C0000}"/>
    <cellStyle name="Normal 111" xfId="1397" xr:uid="{00000000-0005-0000-0000-00001F0C0000}"/>
    <cellStyle name="Normal 112" xfId="1398" xr:uid="{00000000-0005-0000-0000-0000200C0000}"/>
    <cellStyle name="Normal 113" xfId="1399" xr:uid="{00000000-0005-0000-0000-0000210C0000}"/>
    <cellStyle name="Normal 114" xfId="1400" xr:uid="{00000000-0005-0000-0000-0000220C0000}"/>
    <cellStyle name="Normal 115" xfId="1401" xr:uid="{00000000-0005-0000-0000-0000230C0000}"/>
    <cellStyle name="Normal 116" xfId="1402" xr:uid="{00000000-0005-0000-0000-0000240C0000}"/>
    <cellStyle name="Normal 117" xfId="1403" xr:uid="{00000000-0005-0000-0000-0000250C0000}"/>
    <cellStyle name="Normal 118" xfId="1404" xr:uid="{00000000-0005-0000-0000-0000260C0000}"/>
    <cellStyle name="Normal 119" xfId="1405" xr:uid="{00000000-0005-0000-0000-0000270C0000}"/>
    <cellStyle name="Normal 12" xfId="214" xr:uid="{00000000-0005-0000-0000-0000280C0000}"/>
    <cellStyle name="Normal 12 2" xfId="229" xr:uid="{00000000-0005-0000-0000-0000290C0000}"/>
    <cellStyle name="Normal 12 3" xfId="339" xr:uid="{00000000-0005-0000-0000-00002A0C0000}"/>
    <cellStyle name="Normal 120" xfId="1407" xr:uid="{00000000-0005-0000-0000-00002B0C0000}"/>
    <cellStyle name="Normal 120 2" xfId="1408" xr:uid="{00000000-0005-0000-0000-00002C0C0000}"/>
    <cellStyle name="Normal 121" xfId="1409" xr:uid="{00000000-0005-0000-0000-00002D0C0000}"/>
    <cellStyle name="Normal 122" xfId="1410" xr:uid="{00000000-0005-0000-0000-00002E0C0000}"/>
    <cellStyle name="Normal 123" xfId="1411" xr:uid="{00000000-0005-0000-0000-00002F0C0000}"/>
    <cellStyle name="Normal 124" xfId="1412" xr:uid="{00000000-0005-0000-0000-0000300C0000}"/>
    <cellStyle name="Normal 125" xfId="1413" xr:uid="{00000000-0005-0000-0000-0000310C0000}"/>
    <cellStyle name="Normal 126" xfId="1414" xr:uid="{00000000-0005-0000-0000-0000320C0000}"/>
    <cellStyle name="Normal 127" xfId="1415" xr:uid="{00000000-0005-0000-0000-0000330C0000}"/>
    <cellStyle name="Normal 128" xfId="1416" xr:uid="{00000000-0005-0000-0000-0000340C0000}"/>
    <cellStyle name="Normal 129" xfId="1417" xr:uid="{00000000-0005-0000-0000-0000350C0000}"/>
    <cellStyle name="Normal 13" xfId="215" xr:uid="{00000000-0005-0000-0000-0000360C0000}"/>
    <cellStyle name="Normal 13 2" xfId="230" xr:uid="{00000000-0005-0000-0000-0000370C0000}"/>
    <cellStyle name="Normal 13 2 2" xfId="3580" xr:uid="{00000000-0005-0000-0000-0000380C0000}"/>
    <cellStyle name="Normal 13 3" xfId="340" xr:uid="{00000000-0005-0000-0000-0000390C0000}"/>
    <cellStyle name="Normal 13 3 2" xfId="3581" xr:uid="{00000000-0005-0000-0000-00003A0C0000}"/>
    <cellStyle name="Normal 130" xfId="1419" xr:uid="{00000000-0005-0000-0000-00003B0C0000}"/>
    <cellStyle name="Normal 131" xfId="1420" xr:uid="{00000000-0005-0000-0000-00003C0C0000}"/>
    <cellStyle name="Normal 132" xfId="1421" xr:uid="{00000000-0005-0000-0000-00003D0C0000}"/>
    <cellStyle name="Normal 133" xfId="1422" xr:uid="{00000000-0005-0000-0000-00003E0C0000}"/>
    <cellStyle name="Normal 134" xfId="1423" xr:uid="{00000000-0005-0000-0000-00003F0C0000}"/>
    <cellStyle name="Normal 135" xfId="1424" xr:uid="{00000000-0005-0000-0000-0000400C0000}"/>
    <cellStyle name="Normal 136" xfId="1425" xr:uid="{00000000-0005-0000-0000-0000410C0000}"/>
    <cellStyle name="Normal 137" xfId="1426" xr:uid="{00000000-0005-0000-0000-0000420C0000}"/>
    <cellStyle name="Normal 138" xfId="1427" xr:uid="{00000000-0005-0000-0000-0000430C0000}"/>
    <cellStyle name="Normal 139" xfId="1428" xr:uid="{00000000-0005-0000-0000-0000440C0000}"/>
    <cellStyle name="Normal 14" xfId="216" xr:uid="{00000000-0005-0000-0000-0000450C0000}"/>
    <cellStyle name="Normal 14 2" xfId="234" xr:uid="{00000000-0005-0000-0000-0000460C0000}"/>
    <cellStyle name="Normal 14 2 2" xfId="3583" xr:uid="{00000000-0005-0000-0000-0000470C0000}"/>
    <cellStyle name="Normal 14 3" xfId="341" xr:uid="{00000000-0005-0000-0000-0000480C0000}"/>
    <cellStyle name="Normal 14 3 2" xfId="3584" xr:uid="{00000000-0005-0000-0000-0000490C0000}"/>
    <cellStyle name="Normal 14 4" xfId="3582" xr:uid="{00000000-0005-0000-0000-00004A0C0000}"/>
    <cellStyle name="Normal 14 5" xfId="4079" xr:uid="{00000000-0005-0000-0000-00004B0C0000}"/>
    <cellStyle name="Normal 14 6" xfId="4090" xr:uid="{00000000-0005-0000-0000-00004C0C0000}"/>
    <cellStyle name="Normal 14 7" xfId="4096" xr:uid="{00000000-0005-0000-0000-00004D0C0000}"/>
    <cellStyle name="Normal 14 8" xfId="4103" xr:uid="{00000000-0005-0000-0000-00004E0C0000}"/>
    <cellStyle name="Normal 140" xfId="1430" xr:uid="{00000000-0005-0000-0000-00004F0C0000}"/>
    <cellStyle name="Normal 141" xfId="1431" xr:uid="{00000000-0005-0000-0000-0000500C0000}"/>
    <cellStyle name="Normal 142" xfId="1432" xr:uid="{00000000-0005-0000-0000-0000510C0000}"/>
    <cellStyle name="Normal 143" xfId="1433" xr:uid="{00000000-0005-0000-0000-0000520C0000}"/>
    <cellStyle name="Normal 144" xfId="1434" xr:uid="{00000000-0005-0000-0000-0000530C0000}"/>
    <cellStyle name="Normal 145" xfId="1435" xr:uid="{00000000-0005-0000-0000-0000540C0000}"/>
    <cellStyle name="Normal 146" xfId="1436" xr:uid="{00000000-0005-0000-0000-0000550C0000}"/>
    <cellStyle name="Normal 147" xfId="1437" xr:uid="{00000000-0005-0000-0000-0000560C0000}"/>
    <cellStyle name="Normal 148" xfId="1438" xr:uid="{00000000-0005-0000-0000-0000570C0000}"/>
    <cellStyle name="Normal 149" xfId="1439" xr:uid="{00000000-0005-0000-0000-0000580C0000}"/>
    <cellStyle name="Normal 15" xfId="220" xr:uid="{00000000-0005-0000-0000-0000590C0000}"/>
    <cellStyle name="Normal 15 2" xfId="238" xr:uid="{00000000-0005-0000-0000-00005A0C0000}"/>
    <cellStyle name="Normal 15 2 2" xfId="3585" xr:uid="{00000000-0005-0000-0000-00005B0C0000}"/>
    <cellStyle name="Normal 150" xfId="1441" xr:uid="{00000000-0005-0000-0000-00005C0C0000}"/>
    <cellStyle name="Normal 151" xfId="1442" xr:uid="{00000000-0005-0000-0000-00005D0C0000}"/>
    <cellStyle name="Normal 152" xfId="1443" xr:uid="{00000000-0005-0000-0000-00005E0C0000}"/>
    <cellStyle name="Normal 153" xfId="1444" xr:uid="{00000000-0005-0000-0000-00005F0C0000}"/>
    <cellStyle name="Normal 154" xfId="1445" xr:uid="{00000000-0005-0000-0000-0000600C0000}"/>
    <cellStyle name="Normal 155" xfId="1446" xr:uid="{00000000-0005-0000-0000-0000610C0000}"/>
    <cellStyle name="Normal 156" xfId="1447" xr:uid="{00000000-0005-0000-0000-0000620C0000}"/>
    <cellStyle name="Normal 157" xfId="1448" xr:uid="{00000000-0005-0000-0000-0000630C0000}"/>
    <cellStyle name="Normal 158" xfId="1449" xr:uid="{00000000-0005-0000-0000-0000640C0000}"/>
    <cellStyle name="Normal 159" xfId="1450" xr:uid="{00000000-0005-0000-0000-0000650C0000}"/>
    <cellStyle name="Normal 16" xfId="221" xr:uid="{00000000-0005-0000-0000-0000660C0000}"/>
    <cellStyle name="Normal 16 2" xfId="239" xr:uid="{00000000-0005-0000-0000-0000670C0000}"/>
    <cellStyle name="Normal 16 2 2" xfId="3586" xr:uid="{00000000-0005-0000-0000-0000680C0000}"/>
    <cellStyle name="Normal 16 3" xfId="342" xr:uid="{00000000-0005-0000-0000-0000690C0000}"/>
    <cellStyle name="Normal 160" xfId="1452" xr:uid="{00000000-0005-0000-0000-00006A0C0000}"/>
    <cellStyle name="Normal 161" xfId="1453" xr:uid="{00000000-0005-0000-0000-00006B0C0000}"/>
    <cellStyle name="Normal 162" xfId="1454" xr:uid="{00000000-0005-0000-0000-00006C0C0000}"/>
    <cellStyle name="Normal 163" xfId="1455" xr:uid="{00000000-0005-0000-0000-00006D0C0000}"/>
    <cellStyle name="Normal 164" xfId="1456" xr:uid="{00000000-0005-0000-0000-00006E0C0000}"/>
    <cellStyle name="Normal 165" xfId="1457" xr:uid="{00000000-0005-0000-0000-00006F0C0000}"/>
    <cellStyle name="Normal 166" xfId="1458" xr:uid="{00000000-0005-0000-0000-0000700C0000}"/>
    <cellStyle name="Normal 167" xfId="1459" xr:uid="{00000000-0005-0000-0000-0000710C0000}"/>
    <cellStyle name="Normal 168" xfId="1460" xr:uid="{00000000-0005-0000-0000-0000720C0000}"/>
    <cellStyle name="Normal 169" xfId="1461" xr:uid="{00000000-0005-0000-0000-0000730C0000}"/>
    <cellStyle name="Normal 17" xfId="222" xr:uid="{00000000-0005-0000-0000-0000740C0000}"/>
    <cellStyle name="Normal 17 2" xfId="343" xr:uid="{00000000-0005-0000-0000-0000750C0000}"/>
    <cellStyle name="Normal 17 2 2" xfId="3588" xr:uid="{00000000-0005-0000-0000-0000760C0000}"/>
    <cellStyle name="Normal 17 3" xfId="3587" xr:uid="{00000000-0005-0000-0000-0000770C0000}"/>
    <cellStyle name="Normal 17 4" xfId="4076" xr:uid="{00000000-0005-0000-0000-0000780C0000}"/>
    <cellStyle name="Normal 17 5" xfId="4088" xr:uid="{00000000-0005-0000-0000-0000790C0000}"/>
    <cellStyle name="Normal 17 6" xfId="4094" xr:uid="{00000000-0005-0000-0000-00007A0C0000}"/>
    <cellStyle name="Normal 17 7" xfId="4101" xr:uid="{00000000-0005-0000-0000-00007B0C0000}"/>
    <cellStyle name="Normal 170" xfId="1463" xr:uid="{00000000-0005-0000-0000-00007C0C0000}"/>
    <cellStyle name="Normal 171" xfId="1464" xr:uid="{00000000-0005-0000-0000-00007D0C0000}"/>
    <cellStyle name="Normal 172" xfId="1465" xr:uid="{00000000-0005-0000-0000-00007E0C0000}"/>
    <cellStyle name="Normal 173" xfId="1466" xr:uid="{00000000-0005-0000-0000-00007F0C0000}"/>
    <cellStyle name="Normal 174" xfId="1467" xr:uid="{00000000-0005-0000-0000-0000800C0000}"/>
    <cellStyle name="Normal 175" xfId="1468" xr:uid="{00000000-0005-0000-0000-0000810C0000}"/>
    <cellStyle name="Normal 176" xfId="1469" xr:uid="{00000000-0005-0000-0000-0000820C0000}"/>
    <cellStyle name="Normal 177" xfId="1470" xr:uid="{00000000-0005-0000-0000-0000830C0000}"/>
    <cellStyle name="Normal 178" xfId="1471" xr:uid="{00000000-0005-0000-0000-0000840C0000}"/>
    <cellStyle name="Normal 179" xfId="1472" xr:uid="{00000000-0005-0000-0000-0000850C0000}"/>
    <cellStyle name="Normal 18" xfId="233" xr:uid="{00000000-0005-0000-0000-0000860C0000}"/>
    <cellStyle name="Normal 18 2" xfId="344" xr:uid="{00000000-0005-0000-0000-0000870C0000}"/>
    <cellStyle name="Normal 18 2 2" xfId="3590" xr:uid="{00000000-0005-0000-0000-0000880C0000}"/>
    <cellStyle name="Normal 18 3" xfId="3589" xr:uid="{00000000-0005-0000-0000-0000890C0000}"/>
    <cellStyle name="Normal 180" xfId="1474" xr:uid="{00000000-0005-0000-0000-00008A0C0000}"/>
    <cellStyle name="Normal 181" xfId="1475" xr:uid="{00000000-0005-0000-0000-00008B0C0000}"/>
    <cellStyle name="Normal 182" xfId="1476" xr:uid="{00000000-0005-0000-0000-00008C0C0000}"/>
    <cellStyle name="Normal 183" xfId="1477" xr:uid="{00000000-0005-0000-0000-00008D0C0000}"/>
    <cellStyle name="Normal 184" xfId="1478" xr:uid="{00000000-0005-0000-0000-00008E0C0000}"/>
    <cellStyle name="Normal 185" xfId="1479" xr:uid="{00000000-0005-0000-0000-00008F0C0000}"/>
    <cellStyle name="Normal 186" xfId="1480" xr:uid="{00000000-0005-0000-0000-0000900C0000}"/>
    <cellStyle name="Normal 187" xfId="1481" xr:uid="{00000000-0005-0000-0000-0000910C0000}"/>
    <cellStyle name="Normal 188" xfId="1482" xr:uid="{00000000-0005-0000-0000-0000920C0000}"/>
    <cellStyle name="Normal 189" xfId="1483" xr:uid="{00000000-0005-0000-0000-0000930C0000}"/>
    <cellStyle name="Normal 19" xfId="236" xr:uid="{00000000-0005-0000-0000-0000940C0000}"/>
    <cellStyle name="Normal 19 2" xfId="345" xr:uid="{00000000-0005-0000-0000-0000950C0000}"/>
    <cellStyle name="Normal 19 2 2" xfId="3592" xr:uid="{00000000-0005-0000-0000-0000960C0000}"/>
    <cellStyle name="Normal 19 3" xfId="3591" xr:uid="{00000000-0005-0000-0000-0000970C0000}"/>
    <cellStyle name="Normal 190" xfId="1485" xr:uid="{00000000-0005-0000-0000-0000980C0000}"/>
    <cellStyle name="Normal 191" xfId="1486" xr:uid="{00000000-0005-0000-0000-0000990C0000}"/>
    <cellStyle name="Normal 192" xfId="1487" xr:uid="{00000000-0005-0000-0000-00009A0C0000}"/>
    <cellStyle name="Normal 193" xfId="1488" xr:uid="{00000000-0005-0000-0000-00009B0C0000}"/>
    <cellStyle name="Normal 194" xfId="1489" xr:uid="{00000000-0005-0000-0000-00009C0C0000}"/>
    <cellStyle name="Normal 195" xfId="1490" xr:uid="{00000000-0005-0000-0000-00009D0C0000}"/>
    <cellStyle name="Normal 196" xfId="1491" xr:uid="{00000000-0005-0000-0000-00009E0C0000}"/>
    <cellStyle name="Normal 197" xfId="1492" xr:uid="{00000000-0005-0000-0000-00009F0C0000}"/>
    <cellStyle name="Normal 198" xfId="1493" xr:uid="{00000000-0005-0000-0000-0000A00C0000}"/>
    <cellStyle name="Normal 199" xfId="1494" xr:uid="{00000000-0005-0000-0000-0000A10C0000}"/>
    <cellStyle name="Normal 2" xfId="5" xr:uid="{00000000-0005-0000-0000-0000A20C0000}"/>
    <cellStyle name="Normal 2 2" xfId="129" xr:uid="{00000000-0005-0000-0000-0000A30C0000}"/>
    <cellStyle name="Normal 2 2 2" xfId="1497" xr:uid="{00000000-0005-0000-0000-0000A40C0000}"/>
    <cellStyle name="Normal 2 2 2 2" xfId="3594" xr:uid="{00000000-0005-0000-0000-0000A50C0000}"/>
    <cellStyle name="Normal 2 2 3" xfId="3593" xr:uid="{00000000-0005-0000-0000-0000A60C0000}"/>
    <cellStyle name="Normal 2 3" xfId="130" xr:uid="{00000000-0005-0000-0000-0000A70C0000}"/>
    <cellStyle name="Normal 2 3 2" xfId="1498" xr:uid="{00000000-0005-0000-0000-0000A80C0000}"/>
    <cellStyle name="Normal 2 3 2 2" xfId="3595" xr:uid="{00000000-0005-0000-0000-0000A90C0000}"/>
    <cellStyle name="Normal 2 4" xfId="162" xr:uid="{00000000-0005-0000-0000-0000AA0C0000}"/>
    <cellStyle name="Normal 2 4 2" xfId="1499" xr:uid="{00000000-0005-0000-0000-0000AB0C0000}"/>
    <cellStyle name="Normal 2 4 3" xfId="3596" xr:uid="{00000000-0005-0000-0000-0000AC0C0000}"/>
    <cellStyle name="Normal 2 5" xfId="240" xr:uid="{00000000-0005-0000-0000-0000AD0C0000}"/>
    <cellStyle name="Normal 2 5 2" xfId="1500" xr:uid="{00000000-0005-0000-0000-0000AE0C0000}"/>
    <cellStyle name="Normal 2 5 3" xfId="3597" xr:uid="{00000000-0005-0000-0000-0000AF0C0000}"/>
    <cellStyle name="Normal 2 6" xfId="1501" xr:uid="{00000000-0005-0000-0000-0000B00C0000}"/>
    <cellStyle name="Normal 2 6 2" xfId="3598" xr:uid="{00000000-0005-0000-0000-0000B10C0000}"/>
    <cellStyle name="Normal 2 7" xfId="1502" xr:uid="{00000000-0005-0000-0000-0000B20C0000}"/>
    <cellStyle name="Normal 2 7 2" xfId="3599" xr:uid="{00000000-0005-0000-0000-0000B30C0000}"/>
    <cellStyle name="Normal 2 8" xfId="3600" xr:uid="{00000000-0005-0000-0000-0000B40C0000}"/>
    <cellStyle name="Normal 2 9" xfId="128" xr:uid="{00000000-0005-0000-0000-0000B50C0000}"/>
    <cellStyle name="Normal 20" xfId="256" xr:uid="{00000000-0005-0000-0000-0000B60C0000}"/>
    <cellStyle name="Normal 20 2" xfId="346" xr:uid="{00000000-0005-0000-0000-0000B70C0000}"/>
    <cellStyle name="Normal 20 2 2" xfId="3602" xr:uid="{00000000-0005-0000-0000-0000B80C0000}"/>
    <cellStyle name="Normal 20 3" xfId="3601" xr:uid="{00000000-0005-0000-0000-0000B90C0000}"/>
    <cellStyle name="Normal 200" xfId="1504" xr:uid="{00000000-0005-0000-0000-0000BA0C0000}"/>
    <cellStyle name="Normal 201" xfId="1505" xr:uid="{00000000-0005-0000-0000-0000BB0C0000}"/>
    <cellStyle name="Normal 202" xfId="1506" xr:uid="{00000000-0005-0000-0000-0000BC0C0000}"/>
    <cellStyle name="Normal 203" xfId="1507" xr:uid="{00000000-0005-0000-0000-0000BD0C0000}"/>
    <cellStyle name="Normal 204" xfId="1508" xr:uid="{00000000-0005-0000-0000-0000BE0C0000}"/>
    <cellStyle name="Normal 205" xfId="1509" xr:uid="{00000000-0005-0000-0000-0000BF0C0000}"/>
    <cellStyle name="Normal 206" xfId="1510" xr:uid="{00000000-0005-0000-0000-0000C00C0000}"/>
    <cellStyle name="Normal 207" xfId="1511" xr:uid="{00000000-0005-0000-0000-0000C10C0000}"/>
    <cellStyle name="Normal 208" xfId="1512" xr:uid="{00000000-0005-0000-0000-0000C20C0000}"/>
    <cellStyle name="Normal 209" xfId="1513" xr:uid="{00000000-0005-0000-0000-0000C30C0000}"/>
    <cellStyle name="Normal 21" xfId="347" xr:uid="{00000000-0005-0000-0000-0000C40C0000}"/>
    <cellStyle name="Normal 21 2" xfId="3603" xr:uid="{00000000-0005-0000-0000-0000C50C0000}"/>
    <cellStyle name="Normal 210" xfId="1515" xr:uid="{00000000-0005-0000-0000-0000C60C0000}"/>
    <cellStyle name="Normal 211" xfId="1516" xr:uid="{00000000-0005-0000-0000-0000C70C0000}"/>
    <cellStyle name="Normal 212" xfId="1517" xr:uid="{00000000-0005-0000-0000-0000C80C0000}"/>
    <cellStyle name="Normal 213" xfId="1518" xr:uid="{00000000-0005-0000-0000-0000C90C0000}"/>
    <cellStyle name="Normal 214" xfId="1519" xr:uid="{00000000-0005-0000-0000-0000CA0C0000}"/>
    <cellStyle name="Normal 215" xfId="1520" xr:uid="{00000000-0005-0000-0000-0000CB0C0000}"/>
    <cellStyle name="Normal 216" xfId="1521" xr:uid="{00000000-0005-0000-0000-0000CC0C0000}"/>
    <cellStyle name="Normal 217" xfId="1522" xr:uid="{00000000-0005-0000-0000-0000CD0C0000}"/>
    <cellStyle name="Normal 218" xfId="1523" xr:uid="{00000000-0005-0000-0000-0000CE0C0000}"/>
    <cellStyle name="Normal 219" xfId="1524" xr:uid="{00000000-0005-0000-0000-0000CF0C0000}"/>
    <cellStyle name="Normal 22" xfId="348" xr:uid="{00000000-0005-0000-0000-0000D00C0000}"/>
    <cellStyle name="Normal 22 2" xfId="3604" xr:uid="{00000000-0005-0000-0000-0000D10C0000}"/>
    <cellStyle name="Normal 220" xfId="1526" xr:uid="{00000000-0005-0000-0000-0000D20C0000}"/>
    <cellStyle name="Normal 221" xfId="1527" xr:uid="{00000000-0005-0000-0000-0000D30C0000}"/>
    <cellStyle name="Normal 222" xfId="1528" xr:uid="{00000000-0005-0000-0000-0000D40C0000}"/>
    <cellStyle name="Normal 223" xfId="1529" xr:uid="{00000000-0005-0000-0000-0000D50C0000}"/>
    <cellStyle name="Normal 224" xfId="1530" xr:uid="{00000000-0005-0000-0000-0000D60C0000}"/>
    <cellStyle name="Normal 225" xfId="1531" xr:uid="{00000000-0005-0000-0000-0000D70C0000}"/>
    <cellStyle name="Normal 226" xfId="1532" xr:uid="{00000000-0005-0000-0000-0000D80C0000}"/>
    <cellStyle name="Normal 227" xfId="1533" xr:uid="{00000000-0005-0000-0000-0000D90C0000}"/>
    <cellStyle name="Normal 228" xfId="1534" xr:uid="{00000000-0005-0000-0000-0000DA0C0000}"/>
    <cellStyle name="Normal 229" xfId="1535" xr:uid="{00000000-0005-0000-0000-0000DB0C0000}"/>
    <cellStyle name="Normal 23" xfId="349" xr:uid="{00000000-0005-0000-0000-0000DC0C0000}"/>
    <cellStyle name="Normal 23 2" xfId="3605" xr:uid="{00000000-0005-0000-0000-0000DD0C0000}"/>
    <cellStyle name="Normal 230" xfId="1537" xr:uid="{00000000-0005-0000-0000-0000DE0C0000}"/>
    <cellStyle name="Normal 231" xfId="1538" xr:uid="{00000000-0005-0000-0000-0000DF0C0000}"/>
    <cellStyle name="Normal 232" xfId="1539" xr:uid="{00000000-0005-0000-0000-0000E00C0000}"/>
    <cellStyle name="Normal 233" xfId="1540" xr:uid="{00000000-0005-0000-0000-0000E10C0000}"/>
    <cellStyle name="Normal 234" xfId="1541" xr:uid="{00000000-0005-0000-0000-0000E20C0000}"/>
    <cellStyle name="Normal 235" xfId="1542" xr:uid="{00000000-0005-0000-0000-0000E30C0000}"/>
    <cellStyle name="Normal 236" xfId="1543" xr:uid="{00000000-0005-0000-0000-0000E40C0000}"/>
    <cellStyle name="Normal 237" xfId="1544" xr:uid="{00000000-0005-0000-0000-0000E50C0000}"/>
    <cellStyle name="Normal 238" xfId="1545" xr:uid="{00000000-0005-0000-0000-0000E60C0000}"/>
    <cellStyle name="Normal 239" xfId="440" xr:uid="{00000000-0005-0000-0000-0000E70C0000}"/>
    <cellStyle name="Normal 24" xfId="350" xr:uid="{00000000-0005-0000-0000-0000E80C0000}"/>
    <cellStyle name="Normal 24 2" xfId="3606" xr:uid="{00000000-0005-0000-0000-0000E90C0000}"/>
    <cellStyle name="Normal 240" xfId="1777" xr:uid="{00000000-0005-0000-0000-0000EA0C0000}"/>
    <cellStyle name="Normal 241" xfId="2933" xr:uid="{00000000-0005-0000-0000-0000EB0C0000}"/>
    <cellStyle name="Normal 242" xfId="4060" xr:uid="{00000000-0005-0000-0000-0000EC0C0000}"/>
    <cellStyle name="Normal 243" xfId="4072" xr:uid="{00000000-0005-0000-0000-0000ED0C0000}"/>
    <cellStyle name="Normal 244" xfId="4074" xr:uid="{00000000-0005-0000-0000-0000EE0C0000}"/>
    <cellStyle name="Normal 245" xfId="4086" xr:uid="{00000000-0005-0000-0000-0000EF0C0000}"/>
    <cellStyle name="Normal 246" xfId="4092" xr:uid="{00000000-0005-0000-0000-0000F00C0000}"/>
    <cellStyle name="Normal 247" xfId="4099" xr:uid="{00000000-0005-0000-0000-0000F10C0000}"/>
    <cellStyle name="Normal 248" xfId="4105" xr:uid="{00000000-0005-0000-0000-0000F20C0000}"/>
    <cellStyle name="Normal 249" xfId="7" xr:uid="{00000000-0005-0000-0000-0000F30C0000}"/>
    <cellStyle name="Normal 25" xfId="351" xr:uid="{00000000-0005-0000-0000-0000F40C0000}"/>
    <cellStyle name="Normal 25 2" xfId="1547" xr:uid="{00000000-0005-0000-0000-0000F50C0000}"/>
    <cellStyle name="Normal 25 3" xfId="3607" xr:uid="{00000000-0005-0000-0000-0000F60C0000}"/>
    <cellStyle name="Normal 26" xfId="352" xr:uid="{00000000-0005-0000-0000-0000F70C0000}"/>
    <cellStyle name="Normal 26 2" xfId="1548" xr:uid="{00000000-0005-0000-0000-0000F80C0000}"/>
    <cellStyle name="Normal 26 3" xfId="3608" xr:uid="{00000000-0005-0000-0000-0000F90C0000}"/>
    <cellStyle name="Normal 27" xfId="353" xr:uid="{00000000-0005-0000-0000-0000FA0C0000}"/>
    <cellStyle name="Normal 27 2" xfId="3609" xr:uid="{00000000-0005-0000-0000-0000FB0C0000}"/>
    <cellStyle name="Normal 28" xfId="354" xr:uid="{00000000-0005-0000-0000-0000FC0C0000}"/>
    <cellStyle name="Normal 28 2" xfId="3610" xr:uid="{00000000-0005-0000-0000-0000FD0C0000}"/>
    <cellStyle name="Normal 29" xfId="355" xr:uid="{00000000-0005-0000-0000-0000FE0C0000}"/>
    <cellStyle name="Normal 29 2" xfId="3611" xr:uid="{00000000-0005-0000-0000-0000FF0C0000}"/>
    <cellStyle name="Normal 3" xfId="131" xr:uid="{00000000-0005-0000-0000-0000000D0000}"/>
    <cellStyle name="Normal 3 10" xfId="3612" xr:uid="{00000000-0005-0000-0000-0000010D0000}"/>
    <cellStyle name="Normal 3 11" xfId="3613" xr:uid="{00000000-0005-0000-0000-0000020D0000}"/>
    <cellStyle name="Normal 3 2" xfId="132" xr:uid="{00000000-0005-0000-0000-0000030D0000}"/>
    <cellStyle name="Normal 3 2 2" xfId="242" xr:uid="{00000000-0005-0000-0000-0000040D0000}"/>
    <cellStyle name="Normal 3 2 2 2" xfId="357" xr:uid="{00000000-0005-0000-0000-0000050D0000}"/>
    <cellStyle name="Normal 3 2 2 3" xfId="3615" xr:uid="{00000000-0005-0000-0000-0000060D0000}"/>
    <cellStyle name="Normal 3 2 3" xfId="356" xr:uid="{00000000-0005-0000-0000-0000070D0000}"/>
    <cellStyle name="Normal 3 2 4" xfId="3614" xr:uid="{00000000-0005-0000-0000-0000080D0000}"/>
    <cellStyle name="Normal 3 3" xfId="163" xr:uid="{00000000-0005-0000-0000-0000090D0000}"/>
    <cellStyle name="Normal 3 3 2" xfId="3616" xr:uid="{00000000-0005-0000-0000-00000A0D0000}"/>
    <cellStyle name="Normal 3 4" xfId="241" xr:uid="{00000000-0005-0000-0000-00000B0D0000}"/>
    <cellStyle name="Normal 3 4 2" xfId="3617" xr:uid="{00000000-0005-0000-0000-00000C0D0000}"/>
    <cellStyle name="Normal 3 5" xfId="1552" xr:uid="{00000000-0005-0000-0000-00000D0D0000}"/>
    <cellStyle name="Normal 3 5 2" xfId="3618" xr:uid="{00000000-0005-0000-0000-00000E0D0000}"/>
    <cellStyle name="Normal 3 6" xfId="3619" xr:uid="{00000000-0005-0000-0000-00000F0D0000}"/>
    <cellStyle name="Normal 3 7" xfId="3620" xr:uid="{00000000-0005-0000-0000-0000100D0000}"/>
    <cellStyle name="Normal 3 8" xfId="3621" xr:uid="{00000000-0005-0000-0000-0000110D0000}"/>
    <cellStyle name="Normal 3 9" xfId="3622" xr:uid="{00000000-0005-0000-0000-0000120D0000}"/>
    <cellStyle name="Normal 30" xfId="358" xr:uid="{00000000-0005-0000-0000-0000130D0000}"/>
    <cellStyle name="Normal 30 2" xfId="3623" xr:uid="{00000000-0005-0000-0000-0000140D0000}"/>
    <cellStyle name="Normal 31" xfId="359" xr:uid="{00000000-0005-0000-0000-0000150D0000}"/>
    <cellStyle name="Normal 31 2" xfId="3625" xr:uid="{00000000-0005-0000-0000-0000160D0000}"/>
    <cellStyle name="Normal 31 2 2" xfId="4085" xr:uid="{00000000-0005-0000-0000-0000170D0000}"/>
    <cellStyle name="Normal 31 2 2 2 2" xfId="4098" xr:uid="{00000000-0005-0000-0000-0000180D0000}"/>
    <cellStyle name="Normal 31 2 2 2 2 2" xfId="4107" xr:uid="{00000000-0005-0000-0000-0000190D0000}"/>
    <cellStyle name="Normal 31 2 3" xfId="4091" xr:uid="{00000000-0005-0000-0000-00001A0D0000}"/>
    <cellStyle name="Normal 31 2 4" xfId="4097" xr:uid="{00000000-0005-0000-0000-00001B0D0000}"/>
    <cellStyle name="Normal 31 2 5" xfId="4106" xr:uid="{00000000-0005-0000-0000-00001C0D0000}"/>
    <cellStyle name="Normal 31 3" xfId="3624" xr:uid="{00000000-0005-0000-0000-00001D0D0000}"/>
    <cellStyle name="Normal 32" xfId="360" xr:uid="{00000000-0005-0000-0000-00001E0D0000}"/>
    <cellStyle name="Normal 33" xfId="361" xr:uid="{00000000-0005-0000-0000-00001F0D0000}"/>
    <cellStyle name="Normal 34" xfId="362" xr:uid="{00000000-0005-0000-0000-0000200D0000}"/>
    <cellStyle name="Normal 35" xfId="363" xr:uid="{00000000-0005-0000-0000-0000210D0000}"/>
    <cellStyle name="Normal 36" xfId="364" xr:uid="{00000000-0005-0000-0000-0000220D0000}"/>
    <cellStyle name="Normal 37" xfId="365" xr:uid="{00000000-0005-0000-0000-0000230D0000}"/>
    <cellStyle name="Normal 38" xfId="366" xr:uid="{00000000-0005-0000-0000-0000240D0000}"/>
    <cellStyle name="Normal 39" xfId="367" xr:uid="{00000000-0005-0000-0000-0000250D0000}"/>
    <cellStyle name="Normal 399" xfId="3" xr:uid="{00000000-0005-0000-0000-0000260D0000}"/>
    <cellStyle name="Normal 4" xfId="160" xr:uid="{00000000-0005-0000-0000-0000270D0000}"/>
    <cellStyle name="Normal 4 10" xfId="3627" xr:uid="{00000000-0005-0000-0000-0000280D0000}"/>
    <cellStyle name="Normal 4 11" xfId="3628" xr:uid="{00000000-0005-0000-0000-0000290D0000}"/>
    <cellStyle name="Normal 4 12" xfId="3629" xr:uid="{00000000-0005-0000-0000-00002A0D0000}"/>
    <cellStyle name="Normal 4 13" xfId="3626" xr:uid="{00000000-0005-0000-0000-00002B0D0000}"/>
    <cellStyle name="Normal 4 2" xfId="219" xr:uid="{00000000-0005-0000-0000-00002C0D0000}"/>
    <cellStyle name="Normal 4 2 2" xfId="3631" xr:uid="{00000000-0005-0000-0000-00002D0D0000}"/>
    <cellStyle name="Normal 4 2 3" xfId="3632" xr:uid="{00000000-0005-0000-0000-00002E0D0000}"/>
    <cellStyle name="Normal 4 2 4" xfId="3630" xr:uid="{00000000-0005-0000-0000-00002F0D0000}"/>
    <cellStyle name="Normal 4 3" xfId="368" xr:uid="{00000000-0005-0000-0000-0000300D0000}"/>
    <cellStyle name="Normal 4 3 2" xfId="3633" xr:uid="{00000000-0005-0000-0000-0000310D0000}"/>
    <cellStyle name="Normal 4 4" xfId="3634" xr:uid="{00000000-0005-0000-0000-0000320D0000}"/>
    <cellStyle name="Normal 4 5" xfId="3635" xr:uid="{00000000-0005-0000-0000-0000330D0000}"/>
    <cellStyle name="Normal 4 6" xfId="3636" xr:uid="{00000000-0005-0000-0000-0000340D0000}"/>
    <cellStyle name="Normal 4 7" xfId="3637" xr:uid="{00000000-0005-0000-0000-0000350D0000}"/>
    <cellStyle name="Normal 4 8" xfId="3638" xr:uid="{00000000-0005-0000-0000-0000360D0000}"/>
    <cellStyle name="Normal 4 9" xfId="3639" xr:uid="{00000000-0005-0000-0000-0000370D0000}"/>
    <cellStyle name="Normal 40" xfId="369" xr:uid="{00000000-0005-0000-0000-0000380D0000}"/>
    <cellStyle name="Normal 41" xfId="370" xr:uid="{00000000-0005-0000-0000-0000390D0000}"/>
    <cellStyle name="Normal 42" xfId="371" xr:uid="{00000000-0005-0000-0000-00003A0D0000}"/>
    <cellStyle name="Normal 43" xfId="372" xr:uid="{00000000-0005-0000-0000-00003B0D0000}"/>
    <cellStyle name="Normal 44" xfId="373" xr:uid="{00000000-0005-0000-0000-00003C0D0000}"/>
    <cellStyle name="Normal 45" xfId="374" xr:uid="{00000000-0005-0000-0000-00003D0D0000}"/>
    <cellStyle name="Normal 46" xfId="375" xr:uid="{00000000-0005-0000-0000-00003E0D0000}"/>
    <cellStyle name="Normal 47" xfId="376" xr:uid="{00000000-0005-0000-0000-00003F0D0000}"/>
    <cellStyle name="Normal 48" xfId="377" xr:uid="{00000000-0005-0000-0000-0000400D0000}"/>
    <cellStyle name="Normal 49" xfId="378" xr:uid="{00000000-0005-0000-0000-0000410D0000}"/>
    <cellStyle name="Normal 5" xfId="170" xr:uid="{00000000-0005-0000-0000-0000420D0000}"/>
    <cellStyle name="Normal 5 10" xfId="3640" xr:uid="{00000000-0005-0000-0000-0000430D0000}"/>
    <cellStyle name="Normal 5 11" xfId="3641" xr:uid="{00000000-0005-0000-0000-0000440D0000}"/>
    <cellStyle name="Normal 5 12" xfId="3642" xr:uid="{00000000-0005-0000-0000-0000450D0000}"/>
    <cellStyle name="Normal 5 2" xfId="244" xr:uid="{00000000-0005-0000-0000-0000460D0000}"/>
    <cellStyle name="Normal 5 2 2" xfId="380" xr:uid="{00000000-0005-0000-0000-0000470D0000}"/>
    <cellStyle name="Normal 5 3" xfId="243" xr:uid="{00000000-0005-0000-0000-0000480D0000}"/>
    <cellStyle name="Normal 5 3 2" xfId="3643" xr:uid="{00000000-0005-0000-0000-0000490D0000}"/>
    <cellStyle name="Normal 5 4" xfId="379" xr:uid="{00000000-0005-0000-0000-00004A0D0000}"/>
    <cellStyle name="Normal 5 4 2" xfId="3644" xr:uid="{00000000-0005-0000-0000-00004B0D0000}"/>
    <cellStyle name="Normal 5 5" xfId="1576" xr:uid="{00000000-0005-0000-0000-00004C0D0000}"/>
    <cellStyle name="Normal 5 5 2" xfId="3645" xr:uid="{00000000-0005-0000-0000-00004D0D0000}"/>
    <cellStyle name="Normal 5 6" xfId="3646" xr:uid="{00000000-0005-0000-0000-00004E0D0000}"/>
    <cellStyle name="Normal 5 7" xfId="3647" xr:uid="{00000000-0005-0000-0000-00004F0D0000}"/>
    <cellStyle name="Normal 5 8" xfId="3648" xr:uid="{00000000-0005-0000-0000-0000500D0000}"/>
    <cellStyle name="Normal 5 9" xfId="3649" xr:uid="{00000000-0005-0000-0000-0000510D0000}"/>
    <cellStyle name="Normal 5_Assumption of Load SCOD_data updated_22 Jun 2010_send out" xfId="3650" xr:uid="{00000000-0005-0000-0000-0000520D0000}"/>
    <cellStyle name="Normal 50" xfId="381" xr:uid="{00000000-0005-0000-0000-0000530D0000}"/>
    <cellStyle name="Normal 51" xfId="382" xr:uid="{00000000-0005-0000-0000-0000540D0000}"/>
    <cellStyle name="Normal 52" xfId="383" xr:uid="{00000000-0005-0000-0000-0000550D0000}"/>
    <cellStyle name="Normal 53" xfId="384" xr:uid="{00000000-0005-0000-0000-0000560D0000}"/>
    <cellStyle name="Normal 54" xfId="385" xr:uid="{00000000-0005-0000-0000-0000570D0000}"/>
    <cellStyle name="Normal 55" xfId="386" xr:uid="{00000000-0005-0000-0000-0000580D0000}"/>
    <cellStyle name="Normal 56" xfId="387" xr:uid="{00000000-0005-0000-0000-0000590D0000}"/>
    <cellStyle name="Normal 57" xfId="388" xr:uid="{00000000-0005-0000-0000-00005A0D0000}"/>
    <cellStyle name="Normal 58" xfId="389" xr:uid="{00000000-0005-0000-0000-00005B0D0000}"/>
    <cellStyle name="Normal 59" xfId="390" xr:uid="{00000000-0005-0000-0000-00005C0D0000}"/>
    <cellStyle name="Normal 6" xfId="161" xr:uid="{00000000-0005-0000-0000-00005D0D0000}"/>
    <cellStyle name="Normal 6 10" xfId="3651" xr:uid="{00000000-0005-0000-0000-00005E0D0000}"/>
    <cellStyle name="Normal 6 11" xfId="3652" xr:uid="{00000000-0005-0000-0000-00005F0D0000}"/>
    <cellStyle name="Normal 6 2" xfId="246" xr:uid="{00000000-0005-0000-0000-0000600D0000}"/>
    <cellStyle name="Normal 6 2 2" xfId="1590" xr:uid="{00000000-0005-0000-0000-0000610D0000}"/>
    <cellStyle name="Normal 6 2 2 2" xfId="3653" xr:uid="{00000000-0005-0000-0000-0000620D0000}"/>
    <cellStyle name="Normal 6 2 3" xfId="1589" xr:uid="{00000000-0005-0000-0000-0000630D0000}"/>
    <cellStyle name="Normal 6 3" xfId="245" xr:uid="{00000000-0005-0000-0000-0000640D0000}"/>
    <cellStyle name="Normal 6 3 2" xfId="3654" xr:uid="{00000000-0005-0000-0000-0000650D0000}"/>
    <cellStyle name="Normal 6 4" xfId="391" xr:uid="{00000000-0005-0000-0000-0000660D0000}"/>
    <cellStyle name="Normal 6 4 2" xfId="3655" xr:uid="{00000000-0005-0000-0000-0000670D0000}"/>
    <cellStyle name="Normal 6 5" xfId="3656" xr:uid="{00000000-0005-0000-0000-0000680D0000}"/>
    <cellStyle name="Normal 6 6" xfId="3657" xr:uid="{00000000-0005-0000-0000-0000690D0000}"/>
    <cellStyle name="Normal 6 7" xfId="3658" xr:uid="{00000000-0005-0000-0000-00006A0D0000}"/>
    <cellStyle name="Normal 6 8" xfId="3659" xr:uid="{00000000-0005-0000-0000-00006B0D0000}"/>
    <cellStyle name="Normal 6 9" xfId="3660" xr:uid="{00000000-0005-0000-0000-00006C0D0000}"/>
    <cellStyle name="Normal 60" xfId="392" xr:uid="{00000000-0005-0000-0000-00006D0D0000}"/>
    <cellStyle name="Normal 61" xfId="393" xr:uid="{00000000-0005-0000-0000-00006E0D0000}"/>
    <cellStyle name="Normal 62" xfId="394" xr:uid="{00000000-0005-0000-0000-00006F0D0000}"/>
    <cellStyle name="Normal 63" xfId="395" xr:uid="{00000000-0005-0000-0000-0000700D0000}"/>
    <cellStyle name="Normal 64" xfId="396" xr:uid="{00000000-0005-0000-0000-0000710D0000}"/>
    <cellStyle name="Normal 65" xfId="397" xr:uid="{00000000-0005-0000-0000-0000720D0000}"/>
    <cellStyle name="Normal 66" xfId="398" xr:uid="{00000000-0005-0000-0000-0000730D0000}"/>
    <cellStyle name="Normal 67" xfId="399" xr:uid="{00000000-0005-0000-0000-0000740D0000}"/>
    <cellStyle name="Normal 68" xfId="400" xr:uid="{00000000-0005-0000-0000-0000750D0000}"/>
    <cellStyle name="Normal 69" xfId="401" xr:uid="{00000000-0005-0000-0000-0000760D0000}"/>
    <cellStyle name="Normal 7" xfId="164" xr:uid="{00000000-0005-0000-0000-0000770D0000}"/>
    <cellStyle name="Normal 7 10" xfId="3661" xr:uid="{00000000-0005-0000-0000-0000780D0000}"/>
    <cellStyle name="Normal 7 11" xfId="3662" xr:uid="{00000000-0005-0000-0000-0000790D0000}"/>
    <cellStyle name="Normal 7 2" xfId="248" xr:uid="{00000000-0005-0000-0000-00007A0D0000}"/>
    <cellStyle name="Normal 7 2 2" xfId="1602" xr:uid="{00000000-0005-0000-0000-00007B0D0000}"/>
    <cellStyle name="Normal 7 2 2 2" xfId="3663" xr:uid="{00000000-0005-0000-0000-00007C0D0000}"/>
    <cellStyle name="Normal 7 3" xfId="247" xr:uid="{00000000-0005-0000-0000-00007D0D0000}"/>
    <cellStyle name="Normal 7 3 2" xfId="3664" xr:uid="{00000000-0005-0000-0000-00007E0D0000}"/>
    <cellStyle name="Normal 7 4" xfId="402" xr:uid="{00000000-0005-0000-0000-00007F0D0000}"/>
    <cellStyle name="Normal 7 4 2" xfId="3665" xr:uid="{00000000-0005-0000-0000-0000800D0000}"/>
    <cellStyle name="Normal 7 5" xfId="3666" xr:uid="{00000000-0005-0000-0000-0000810D0000}"/>
    <cellStyle name="Normal 7 6" xfId="3667" xr:uid="{00000000-0005-0000-0000-0000820D0000}"/>
    <cellStyle name="Normal 7 7" xfId="3668" xr:uid="{00000000-0005-0000-0000-0000830D0000}"/>
    <cellStyle name="Normal 7 8" xfId="3669" xr:uid="{00000000-0005-0000-0000-0000840D0000}"/>
    <cellStyle name="Normal 7 9" xfId="3670" xr:uid="{00000000-0005-0000-0000-0000850D0000}"/>
    <cellStyle name="Normal 70" xfId="403" xr:uid="{00000000-0005-0000-0000-0000860D0000}"/>
    <cellStyle name="Normal 71" xfId="404" xr:uid="{00000000-0005-0000-0000-0000870D0000}"/>
    <cellStyle name="Normal 72" xfId="405" xr:uid="{00000000-0005-0000-0000-0000880D0000}"/>
    <cellStyle name="Normal 73" xfId="406" xr:uid="{00000000-0005-0000-0000-0000890D0000}"/>
    <cellStyle name="Normal 74" xfId="407" xr:uid="{00000000-0005-0000-0000-00008A0D0000}"/>
    <cellStyle name="Normal 75" xfId="408" xr:uid="{00000000-0005-0000-0000-00008B0D0000}"/>
    <cellStyle name="Normal 76" xfId="409" xr:uid="{00000000-0005-0000-0000-00008C0D0000}"/>
    <cellStyle name="Normal 77" xfId="410" xr:uid="{00000000-0005-0000-0000-00008D0D0000}"/>
    <cellStyle name="Normal 78" xfId="411" xr:uid="{00000000-0005-0000-0000-00008E0D0000}"/>
    <cellStyle name="Normal 79" xfId="412" xr:uid="{00000000-0005-0000-0000-00008F0D0000}"/>
    <cellStyle name="Normal 8" xfId="172" xr:uid="{00000000-0005-0000-0000-0000900D0000}"/>
    <cellStyle name="Normal 8 10" xfId="1614" xr:uid="{00000000-0005-0000-0000-0000910D0000}"/>
    <cellStyle name="Normal 8 11" xfId="1615" xr:uid="{00000000-0005-0000-0000-0000920D0000}"/>
    <cellStyle name="Normal 8 12" xfId="1616" xr:uid="{00000000-0005-0000-0000-0000930D0000}"/>
    <cellStyle name="Normal 8 13" xfId="1617" xr:uid="{00000000-0005-0000-0000-0000940D0000}"/>
    <cellStyle name="Normal 8 14" xfId="1618" xr:uid="{00000000-0005-0000-0000-0000950D0000}"/>
    <cellStyle name="Normal 8 15" xfId="1619" xr:uid="{00000000-0005-0000-0000-0000960D0000}"/>
    <cellStyle name="Normal 8 16" xfId="1620" xr:uid="{00000000-0005-0000-0000-0000970D0000}"/>
    <cellStyle name="Normal 8 17" xfId="1621" xr:uid="{00000000-0005-0000-0000-0000980D0000}"/>
    <cellStyle name="Normal 8 18" xfId="1622" xr:uid="{00000000-0005-0000-0000-0000990D0000}"/>
    <cellStyle name="Normal 8 19" xfId="1623" xr:uid="{00000000-0005-0000-0000-00009A0D0000}"/>
    <cellStyle name="Normal 8 2" xfId="249" xr:uid="{00000000-0005-0000-0000-00009B0D0000}"/>
    <cellStyle name="Normal 8 2 2" xfId="414" xr:uid="{00000000-0005-0000-0000-00009C0D0000}"/>
    <cellStyle name="Normal 8 2 2 2" xfId="1625" xr:uid="{00000000-0005-0000-0000-00009D0D0000}"/>
    <cellStyle name="Normal 8 2 3" xfId="1624" xr:uid="{00000000-0005-0000-0000-00009E0D0000}"/>
    <cellStyle name="Normal 8 20" xfId="1626" xr:uid="{00000000-0005-0000-0000-00009F0D0000}"/>
    <cellStyle name="Normal 8 21" xfId="1627" xr:uid="{00000000-0005-0000-0000-0000A00D0000}"/>
    <cellStyle name="Normal 8 22" xfId="1628" xr:uid="{00000000-0005-0000-0000-0000A10D0000}"/>
    <cellStyle name="Normal 8 23" xfId="1629" xr:uid="{00000000-0005-0000-0000-0000A20D0000}"/>
    <cellStyle name="Normal 8 3" xfId="413" xr:uid="{00000000-0005-0000-0000-0000A30D0000}"/>
    <cellStyle name="Normal 8 3 2" xfId="1630" xr:uid="{00000000-0005-0000-0000-0000A40D0000}"/>
    <cellStyle name="Normal 8 4" xfId="1631" xr:uid="{00000000-0005-0000-0000-0000A50D0000}"/>
    <cellStyle name="Normal 8 5" xfId="1632" xr:uid="{00000000-0005-0000-0000-0000A60D0000}"/>
    <cellStyle name="Normal 8 6" xfId="1633" xr:uid="{00000000-0005-0000-0000-0000A70D0000}"/>
    <cellStyle name="Normal 8 7" xfId="1634" xr:uid="{00000000-0005-0000-0000-0000A80D0000}"/>
    <cellStyle name="Normal 8 8" xfId="1635" xr:uid="{00000000-0005-0000-0000-0000A90D0000}"/>
    <cellStyle name="Normal 8 9" xfId="1636" xr:uid="{00000000-0005-0000-0000-0000AA0D0000}"/>
    <cellStyle name="Normal 80" xfId="415" xr:uid="{00000000-0005-0000-0000-0000AB0D0000}"/>
    <cellStyle name="Normal 81" xfId="416" xr:uid="{00000000-0005-0000-0000-0000AC0D0000}"/>
    <cellStyle name="Normal 82" xfId="417" xr:uid="{00000000-0005-0000-0000-0000AD0D0000}"/>
    <cellStyle name="Normal 83" xfId="418" xr:uid="{00000000-0005-0000-0000-0000AE0D0000}"/>
    <cellStyle name="Normal 84" xfId="419" xr:uid="{00000000-0005-0000-0000-0000AF0D0000}"/>
    <cellStyle name="Normal 85" xfId="420" xr:uid="{00000000-0005-0000-0000-0000B00D0000}"/>
    <cellStyle name="Normal 85 2" xfId="1642" xr:uid="{00000000-0005-0000-0000-0000B10D0000}"/>
    <cellStyle name="Normal 86" xfId="421" xr:uid="{00000000-0005-0000-0000-0000B20D0000}"/>
    <cellStyle name="Normal 87" xfId="422" xr:uid="{00000000-0005-0000-0000-0000B30D0000}"/>
    <cellStyle name="Normal 88" xfId="423" xr:uid="{00000000-0005-0000-0000-0000B40D0000}"/>
    <cellStyle name="Normal 88 2" xfId="424" xr:uid="{00000000-0005-0000-0000-0000B50D0000}"/>
    <cellStyle name="Normal 89" xfId="260" xr:uid="{00000000-0005-0000-0000-0000B60D0000}"/>
    <cellStyle name="Normal 89 2" xfId="1647" xr:uid="{00000000-0005-0000-0000-0000B70D0000}"/>
    <cellStyle name="Normal 9" xfId="173" xr:uid="{00000000-0005-0000-0000-0000B80D0000}"/>
    <cellStyle name="Normal 9 2" xfId="251" xr:uid="{00000000-0005-0000-0000-0000B90D0000}"/>
    <cellStyle name="Normal 9 3" xfId="250" xr:uid="{00000000-0005-0000-0000-0000BA0D0000}"/>
    <cellStyle name="Normal 90" xfId="436" xr:uid="{00000000-0005-0000-0000-0000BB0D0000}"/>
    <cellStyle name="Normal 90 2" xfId="1649" xr:uid="{00000000-0005-0000-0000-0000BC0D0000}"/>
    <cellStyle name="Normal 91" xfId="437" xr:uid="{00000000-0005-0000-0000-0000BD0D0000}"/>
    <cellStyle name="Normal 91 2" xfId="1650" xr:uid="{00000000-0005-0000-0000-0000BE0D0000}"/>
    <cellStyle name="Normal 92" xfId="438" xr:uid="{00000000-0005-0000-0000-0000BF0D0000}"/>
    <cellStyle name="Normal 92 2" xfId="1651" xr:uid="{00000000-0005-0000-0000-0000C00D0000}"/>
    <cellStyle name="Normal 93" xfId="439" xr:uid="{00000000-0005-0000-0000-0000C10D0000}"/>
    <cellStyle name="Normal 93 2" xfId="1652" xr:uid="{00000000-0005-0000-0000-0000C20D0000}"/>
    <cellStyle name="Normal 94" xfId="1653" xr:uid="{00000000-0005-0000-0000-0000C30D0000}"/>
    <cellStyle name="Normal 95" xfId="1654" xr:uid="{00000000-0005-0000-0000-0000C40D0000}"/>
    <cellStyle name="Normal 96" xfId="1655" xr:uid="{00000000-0005-0000-0000-0000C50D0000}"/>
    <cellStyle name="Normal 96 2" xfId="1656" xr:uid="{00000000-0005-0000-0000-0000C60D0000}"/>
    <cellStyle name="Normal 97" xfId="1657" xr:uid="{00000000-0005-0000-0000-0000C70D0000}"/>
    <cellStyle name="Normal 98" xfId="1658" xr:uid="{00000000-0005-0000-0000-0000C80D0000}"/>
    <cellStyle name="Normal 99" xfId="1659" xr:uid="{00000000-0005-0000-0000-0000C90D0000}"/>
    <cellStyle name="Normal_NGL_Balance" xfId="4111" xr:uid="{CD66ABA3-7796-254D-8DAB-8C692901A6E4}"/>
    <cellStyle name="Note 10" xfId="3671" xr:uid="{00000000-0005-0000-0000-0000CA0D0000}"/>
    <cellStyle name="Note 11" xfId="3672" xr:uid="{00000000-0005-0000-0000-0000CB0D0000}"/>
    <cellStyle name="Note 12" xfId="3673" xr:uid="{00000000-0005-0000-0000-0000CC0D0000}"/>
    <cellStyle name="Note 13" xfId="3674" xr:uid="{00000000-0005-0000-0000-0000CD0D0000}"/>
    <cellStyle name="Note 14" xfId="3675" xr:uid="{00000000-0005-0000-0000-0000CE0D0000}"/>
    <cellStyle name="Note 15" xfId="3676" xr:uid="{00000000-0005-0000-0000-0000CF0D0000}"/>
    <cellStyle name="Note 16" xfId="133" xr:uid="{00000000-0005-0000-0000-0000D00D0000}"/>
    <cellStyle name="Note 2" xfId="134" xr:uid="{00000000-0005-0000-0000-0000D10D0000}"/>
    <cellStyle name="Note 2 10" xfId="3678" xr:uid="{00000000-0005-0000-0000-0000D20D0000}"/>
    <cellStyle name="Note 2 11" xfId="3679" xr:uid="{00000000-0005-0000-0000-0000D30D0000}"/>
    <cellStyle name="Note 2 12" xfId="3677" xr:uid="{00000000-0005-0000-0000-0000D40D0000}"/>
    <cellStyle name="Note 2 2" xfId="1662" xr:uid="{00000000-0005-0000-0000-0000D50D0000}"/>
    <cellStyle name="Note 2 2 2" xfId="3680" xr:uid="{00000000-0005-0000-0000-0000D60D0000}"/>
    <cellStyle name="Note 2 3" xfId="3681" xr:uid="{00000000-0005-0000-0000-0000D70D0000}"/>
    <cellStyle name="Note 2 4" xfId="3682" xr:uid="{00000000-0005-0000-0000-0000D80D0000}"/>
    <cellStyle name="Note 2 5" xfId="3683" xr:uid="{00000000-0005-0000-0000-0000D90D0000}"/>
    <cellStyle name="Note 2 6" xfId="3684" xr:uid="{00000000-0005-0000-0000-0000DA0D0000}"/>
    <cellStyle name="Note 2 7" xfId="3685" xr:uid="{00000000-0005-0000-0000-0000DB0D0000}"/>
    <cellStyle name="Note 2 8" xfId="3686" xr:uid="{00000000-0005-0000-0000-0000DC0D0000}"/>
    <cellStyle name="Note 2 9" xfId="3687" xr:uid="{00000000-0005-0000-0000-0000DD0D0000}"/>
    <cellStyle name="Note 3" xfId="135" xr:uid="{00000000-0005-0000-0000-0000DE0D0000}"/>
    <cellStyle name="Note 3 10" xfId="3689" xr:uid="{00000000-0005-0000-0000-0000DF0D0000}"/>
    <cellStyle name="Note 3 11" xfId="3690" xr:uid="{00000000-0005-0000-0000-0000E00D0000}"/>
    <cellStyle name="Note 3 12" xfId="3688" xr:uid="{00000000-0005-0000-0000-0000E10D0000}"/>
    <cellStyle name="Note 3 2" xfId="3691" xr:uid="{00000000-0005-0000-0000-0000E20D0000}"/>
    <cellStyle name="Note 3 3" xfId="3692" xr:uid="{00000000-0005-0000-0000-0000E30D0000}"/>
    <cellStyle name="Note 3 4" xfId="3693" xr:uid="{00000000-0005-0000-0000-0000E40D0000}"/>
    <cellStyle name="Note 3 5" xfId="3694" xr:uid="{00000000-0005-0000-0000-0000E50D0000}"/>
    <cellStyle name="Note 3 6" xfId="3695" xr:uid="{00000000-0005-0000-0000-0000E60D0000}"/>
    <cellStyle name="Note 3 7" xfId="3696" xr:uid="{00000000-0005-0000-0000-0000E70D0000}"/>
    <cellStyle name="Note 3 8" xfId="3697" xr:uid="{00000000-0005-0000-0000-0000E80D0000}"/>
    <cellStyle name="Note 3 9" xfId="3698" xr:uid="{00000000-0005-0000-0000-0000E90D0000}"/>
    <cellStyle name="Note 4" xfId="1664" xr:uid="{00000000-0005-0000-0000-0000EA0D0000}"/>
    <cellStyle name="Note 4 10" xfId="3700" xr:uid="{00000000-0005-0000-0000-0000EB0D0000}"/>
    <cellStyle name="Note 4 11" xfId="3701" xr:uid="{00000000-0005-0000-0000-0000EC0D0000}"/>
    <cellStyle name="Note 4 12" xfId="3699" xr:uid="{00000000-0005-0000-0000-0000ED0D0000}"/>
    <cellStyle name="Note 4 2" xfId="3702" xr:uid="{00000000-0005-0000-0000-0000EE0D0000}"/>
    <cellStyle name="Note 4 3" xfId="3703" xr:uid="{00000000-0005-0000-0000-0000EF0D0000}"/>
    <cellStyle name="Note 4 4" xfId="3704" xr:uid="{00000000-0005-0000-0000-0000F00D0000}"/>
    <cellStyle name="Note 4 5" xfId="3705" xr:uid="{00000000-0005-0000-0000-0000F10D0000}"/>
    <cellStyle name="Note 4 6" xfId="3706" xr:uid="{00000000-0005-0000-0000-0000F20D0000}"/>
    <cellStyle name="Note 4 7" xfId="3707" xr:uid="{00000000-0005-0000-0000-0000F30D0000}"/>
    <cellStyle name="Note 4 8" xfId="3708" xr:uid="{00000000-0005-0000-0000-0000F40D0000}"/>
    <cellStyle name="Note 4 9" xfId="3709" xr:uid="{00000000-0005-0000-0000-0000F50D0000}"/>
    <cellStyle name="Note 5" xfId="3710" xr:uid="{00000000-0005-0000-0000-0000F60D0000}"/>
    <cellStyle name="Note 5 10" xfId="3711" xr:uid="{00000000-0005-0000-0000-0000F70D0000}"/>
    <cellStyle name="Note 5 11" xfId="3712" xr:uid="{00000000-0005-0000-0000-0000F80D0000}"/>
    <cellStyle name="Note 5 2" xfId="3713" xr:uid="{00000000-0005-0000-0000-0000F90D0000}"/>
    <cellStyle name="Note 5 3" xfId="3714" xr:uid="{00000000-0005-0000-0000-0000FA0D0000}"/>
    <cellStyle name="Note 5 4" xfId="3715" xr:uid="{00000000-0005-0000-0000-0000FB0D0000}"/>
    <cellStyle name="Note 5 5" xfId="3716" xr:uid="{00000000-0005-0000-0000-0000FC0D0000}"/>
    <cellStyle name="Note 5 6" xfId="3717" xr:uid="{00000000-0005-0000-0000-0000FD0D0000}"/>
    <cellStyle name="Note 5 7" xfId="3718" xr:uid="{00000000-0005-0000-0000-0000FE0D0000}"/>
    <cellStyle name="Note 5 8" xfId="3719" xr:uid="{00000000-0005-0000-0000-0000FF0D0000}"/>
    <cellStyle name="Note 5 9" xfId="3720" xr:uid="{00000000-0005-0000-0000-0000000E0000}"/>
    <cellStyle name="Note 6" xfId="3721" xr:uid="{00000000-0005-0000-0000-0000010E0000}"/>
    <cellStyle name="Note 7" xfId="3722" xr:uid="{00000000-0005-0000-0000-0000020E0000}"/>
    <cellStyle name="Note 8" xfId="3723" xr:uid="{00000000-0005-0000-0000-0000030E0000}"/>
    <cellStyle name="Note 9" xfId="3724" xr:uid="{00000000-0005-0000-0000-0000040E0000}"/>
    <cellStyle name="Output 10" xfId="3725" xr:uid="{00000000-0005-0000-0000-0000050E0000}"/>
    <cellStyle name="Output 11" xfId="3726" xr:uid="{00000000-0005-0000-0000-0000060E0000}"/>
    <cellStyle name="Output 12" xfId="3727" xr:uid="{00000000-0005-0000-0000-0000070E0000}"/>
    <cellStyle name="Output 13" xfId="3728" xr:uid="{00000000-0005-0000-0000-0000080E0000}"/>
    <cellStyle name="Output 14" xfId="3729" xr:uid="{00000000-0005-0000-0000-0000090E0000}"/>
    <cellStyle name="Output 15" xfId="3730" xr:uid="{00000000-0005-0000-0000-00000A0E0000}"/>
    <cellStyle name="Output 16" xfId="136" xr:uid="{00000000-0005-0000-0000-00000B0E0000}"/>
    <cellStyle name="Output 2" xfId="137" xr:uid="{00000000-0005-0000-0000-00000C0E0000}"/>
    <cellStyle name="Output 2 10" xfId="3732" xr:uid="{00000000-0005-0000-0000-00000D0E0000}"/>
    <cellStyle name="Output 2 11" xfId="3733" xr:uid="{00000000-0005-0000-0000-00000E0E0000}"/>
    <cellStyle name="Output 2 12" xfId="3731" xr:uid="{00000000-0005-0000-0000-00000F0E0000}"/>
    <cellStyle name="Output 2 2" xfId="1665" xr:uid="{00000000-0005-0000-0000-0000100E0000}"/>
    <cellStyle name="Output 2 2 2" xfId="3734" xr:uid="{00000000-0005-0000-0000-0000110E0000}"/>
    <cellStyle name="Output 2 3" xfId="3735" xr:uid="{00000000-0005-0000-0000-0000120E0000}"/>
    <cellStyle name="Output 2 4" xfId="3736" xr:uid="{00000000-0005-0000-0000-0000130E0000}"/>
    <cellStyle name="Output 2 5" xfId="3737" xr:uid="{00000000-0005-0000-0000-0000140E0000}"/>
    <cellStyle name="Output 2 6" xfId="3738" xr:uid="{00000000-0005-0000-0000-0000150E0000}"/>
    <cellStyle name="Output 2 7" xfId="3739" xr:uid="{00000000-0005-0000-0000-0000160E0000}"/>
    <cellStyle name="Output 2 8" xfId="3740" xr:uid="{00000000-0005-0000-0000-0000170E0000}"/>
    <cellStyle name="Output 2 9" xfId="3741" xr:uid="{00000000-0005-0000-0000-0000180E0000}"/>
    <cellStyle name="Output 3" xfId="138" xr:uid="{00000000-0005-0000-0000-0000190E0000}"/>
    <cellStyle name="Output 3 10" xfId="3743" xr:uid="{00000000-0005-0000-0000-00001A0E0000}"/>
    <cellStyle name="Output 3 11" xfId="3744" xr:uid="{00000000-0005-0000-0000-00001B0E0000}"/>
    <cellStyle name="Output 3 12" xfId="3742" xr:uid="{00000000-0005-0000-0000-00001C0E0000}"/>
    <cellStyle name="Output 3 2" xfId="3745" xr:uid="{00000000-0005-0000-0000-00001D0E0000}"/>
    <cellStyle name="Output 3 3" xfId="3746" xr:uid="{00000000-0005-0000-0000-00001E0E0000}"/>
    <cellStyle name="Output 3 4" xfId="3747" xr:uid="{00000000-0005-0000-0000-00001F0E0000}"/>
    <cellStyle name="Output 3 5" xfId="3748" xr:uid="{00000000-0005-0000-0000-0000200E0000}"/>
    <cellStyle name="Output 3 6" xfId="3749" xr:uid="{00000000-0005-0000-0000-0000210E0000}"/>
    <cellStyle name="Output 3 7" xfId="3750" xr:uid="{00000000-0005-0000-0000-0000220E0000}"/>
    <cellStyle name="Output 3 8" xfId="3751" xr:uid="{00000000-0005-0000-0000-0000230E0000}"/>
    <cellStyle name="Output 3 9" xfId="3752" xr:uid="{00000000-0005-0000-0000-0000240E0000}"/>
    <cellStyle name="Output 4" xfId="1667" xr:uid="{00000000-0005-0000-0000-0000250E0000}"/>
    <cellStyle name="Output 4 10" xfId="3754" xr:uid="{00000000-0005-0000-0000-0000260E0000}"/>
    <cellStyle name="Output 4 11" xfId="3755" xr:uid="{00000000-0005-0000-0000-0000270E0000}"/>
    <cellStyle name="Output 4 12" xfId="3753" xr:uid="{00000000-0005-0000-0000-0000280E0000}"/>
    <cellStyle name="Output 4 2" xfId="3756" xr:uid="{00000000-0005-0000-0000-0000290E0000}"/>
    <cellStyle name="Output 4 3" xfId="3757" xr:uid="{00000000-0005-0000-0000-00002A0E0000}"/>
    <cellStyle name="Output 4 4" xfId="3758" xr:uid="{00000000-0005-0000-0000-00002B0E0000}"/>
    <cellStyle name="Output 4 5" xfId="3759" xr:uid="{00000000-0005-0000-0000-00002C0E0000}"/>
    <cellStyle name="Output 4 6" xfId="3760" xr:uid="{00000000-0005-0000-0000-00002D0E0000}"/>
    <cellStyle name="Output 4 7" xfId="3761" xr:uid="{00000000-0005-0000-0000-00002E0E0000}"/>
    <cellStyle name="Output 4 8" xfId="3762" xr:uid="{00000000-0005-0000-0000-00002F0E0000}"/>
    <cellStyle name="Output 4 9" xfId="3763" xr:uid="{00000000-0005-0000-0000-0000300E0000}"/>
    <cellStyle name="Output 5" xfId="3764" xr:uid="{00000000-0005-0000-0000-0000310E0000}"/>
    <cellStyle name="Output 5 10" xfId="3765" xr:uid="{00000000-0005-0000-0000-0000320E0000}"/>
    <cellStyle name="Output 5 11" xfId="3766" xr:uid="{00000000-0005-0000-0000-0000330E0000}"/>
    <cellStyle name="Output 5 2" xfId="3767" xr:uid="{00000000-0005-0000-0000-0000340E0000}"/>
    <cellStyle name="Output 5 3" xfId="3768" xr:uid="{00000000-0005-0000-0000-0000350E0000}"/>
    <cellStyle name="Output 5 4" xfId="3769" xr:uid="{00000000-0005-0000-0000-0000360E0000}"/>
    <cellStyle name="Output 5 5" xfId="3770" xr:uid="{00000000-0005-0000-0000-0000370E0000}"/>
    <cellStyle name="Output 5 6" xfId="3771" xr:uid="{00000000-0005-0000-0000-0000380E0000}"/>
    <cellStyle name="Output 5 7" xfId="3772" xr:uid="{00000000-0005-0000-0000-0000390E0000}"/>
    <cellStyle name="Output 5 8" xfId="3773" xr:uid="{00000000-0005-0000-0000-00003A0E0000}"/>
    <cellStyle name="Output 5 9" xfId="3774" xr:uid="{00000000-0005-0000-0000-00003B0E0000}"/>
    <cellStyle name="Output 6" xfId="3775" xr:uid="{00000000-0005-0000-0000-00003C0E0000}"/>
    <cellStyle name="Output 7" xfId="3776" xr:uid="{00000000-0005-0000-0000-00003D0E0000}"/>
    <cellStyle name="Output 8" xfId="3777" xr:uid="{00000000-0005-0000-0000-00003E0E0000}"/>
    <cellStyle name="Output 9" xfId="3778" xr:uid="{00000000-0005-0000-0000-00003F0E0000}"/>
    <cellStyle name="PATHEnvVariable֌_x0008_e4" xfId="3779" xr:uid="{00000000-0005-0000-0000-0000400E0000}"/>
    <cellStyle name="Percent" xfId="2" builtinId="5"/>
    <cellStyle name="Percent [2]" xfId="425" xr:uid="{00000000-0005-0000-0000-0000420E0000}"/>
    <cellStyle name="Percent 2" xfId="171" xr:uid="{00000000-0005-0000-0000-0000430E0000}"/>
    <cellStyle name="Percent 2 2" xfId="252" xr:uid="{00000000-0005-0000-0000-0000440E0000}"/>
    <cellStyle name="Percent 2 2 2" xfId="1671" xr:uid="{00000000-0005-0000-0000-0000450E0000}"/>
    <cellStyle name="Percent 2 2 3" xfId="3780" xr:uid="{00000000-0005-0000-0000-0000460E0000}"/>
    <cellStyle name="Percent 2 3" xfId="426" xr:uid="{00000000-0005-0000-0000-0000470E0000}"/>
    <cellStyle name="Percent 3" xfId="253" xr:uid="{00000000-0005-0000-0000-0000480E0000}"/>
    <cellStyle name="Percent 3 2" xfId="428" xr:uid="{00000000-0005-0000-0000-0000490E0000}"/>
    <cellStyle name="Percent 3 3" xfId="427" xr:uid="{00000000-0005-0000-0000-00004A0E0000}"/>
    <cellStyle name="Percent 3 3 2" xfId="1674" xr:uid="{00000000-0005-0000-0000-00004B0E0000}"/>
    <cellStyle name="Percent 3 4" xfId="3781" xr:uid="{00000000-0005-0000-0000-00004C0E0000}"/>
    <cellStyle name="Percent 4" xfId="254" xr:uid="{00000000-0005-0000-0000-00004D0E0000}"/>
    <cellStyle name="Percent 4 2" xfId="429" xr:uid="{00000000-0005-0000-0000-00004E0E0000}"/>
    <cellStyle name="Percent 4 3" xfId="1675" xr:uid="{00000000-0005-0000-0000-00004F0E0000}"/>
    <cellStyle name="Percent 4 4" xfId="3782" xr:uid="{00000000-0005-0000-0000-0000500E0000}"/>
    <cellStyle name="Percent 5" xfId="255" xr:uid="{00000000-0005-0000-0000-0000510E0000}"/>
    <cellStyle name="Percent 5 2" xfId="1676" xr:uid="{00000000-0005-0000-0000-0000520E0000}"/>
    <cellStyle name="Percent 6" xfId="1677" xr:uid="{00000000-0005-0000-0000-0000530E0000}"/>
    <cellStyle name="Percent 6 2" xfId="3783" xr:uid="{00000000-0005-0000-0000-0000540E0000}"/>
    <cellStyle name="Percent 7" xfId="1668" xr:uid="{00000000-0005-0000-0000-0000550E0000}"/>
    <cellStyle name="Percent 8" xfId="2818" xr:uid="{00000000-0005-0000-0000-0000560E0000}"/>
    <cellStyle name="PERCENTAGE" xfId="430" xr:uid="{00000000-0005-0000-0000-0000570E0000}"/>
    <cellStyle name="ProjectPDP" xfId="3784" xr:uid="{00000000-0005-0000-0000-0000580E0000}"/>
    <cellStyle name="Quantity" xfId="431" xr:uid="{00000000-0005-0000-0000-0000590E0000}"/>
    <cellStyle name="report" xfId="3785" xr:uid="{00000000-0005-0000-0000-00005A0E0000}"/>
    <cellStyle name="SAPBEXaggData" xfId="139" xr:uid="{00000000-0005-0000-0000-00005B0E0000}"/>
    <cellStyle name="SAPBEXaggData 2" xfId="175" xr:uid="{00000000-0005-0000-0000-00005C0E0000}"/>
    <cellStyle name="SAPBEXaggData 2 2" xfId="1681" xr:uid="{00000000-0005-0000-0000-00005D0E0000}"/>
    <cellStyle name="SAPBEXaggDataEmph" xfId="176" xr:uid="{00000000-0005-0000-0000-00005E0E0000}"/>
    <cellStyle name="SAPBEXaggDataEmph 2" xfId="1683" xr:uid="{00000000-0005-0000-0000-00005F0E0000}"/>
    <cellStyle name="SAPBEXaggDataEmph 3" xfId="1682" xr:uid="{00000000-0005-0000-0000-0000600E0000}"/>
    <cellStyle name="SAPBEXaggItem" xfId="140" xr:uid="{00000000-0005-0000-0000-0000610E0000}"/>
    <cellStyle name="SAPBEXaggItem 2" xfId="177" xr:uid="{00000000-0005-0000-0000-0000620E0000}"/>
    <cellStyle name="SAPBEXaggItem 3" xfId="1686" xr:uid="{00000000-0005-0000-0000-0000630E0000}"/>
    <cellStyle name="SAPBEXaggItemX" xfId="178" xr:uid="{00000000-0005-0000-0000-0000640E0000}"/>
    <cellStyle name="SAPBEXaggItemX 2" xfId="1688" xr:uid="{00000000-0005-0000-0000-0000650E0000}"/>
    <cellStyle name="SAPBEXaggItemX 3" xfId="1687" xr:uid="{00000000-0005-0000-0000-0000660E0000}"/>
    <cellStyle name="SAPBEXchaText" xfId="141" xr:uid="{00000000-0005-0000-0000-0000670E0000}"/>
    <cellStyle name="SAPBEXchaText 2" xfId="179" xr:uid="{00000000-0005-0000-0000-0000680E0000}"/>
    <cellStyle name="SAPBEXchaText 3" xfId="1691" xr:uid="{00000000-0005-0000-0000-0000690E0000}"/>
    <cellStyle name="SAPBEXchaText 3 2" xfId="3786" xr:uid="{00000000-0005-0000-0000-00006A0E0000}"/>
    <cellStyle name="SAPBEXchaText 4" xfId="3787" xr:uid="{00000000-0005-0000-0000-00006B0E0000}"/>
    <cellStyle name="SAPBEXchaText 5" xfId="3788" xr:uid="{00000000-0005-0000-0000-00006C0E0000}"/>
    <cellStyle name="SAPBEXchaText 6" xfId="3789" xr:uid="{00000000-0005-0000-0000-00006D0E0000}"/>
    <cellStyle name="SAPBEXchaText 7" xfId="3790" xr:uid="{00000000-0005-0000-0000-00006E0E0000}"/>
    <cellStyle name="SAPBEXchaText 8" xfId="3791" xr:uid="{00000000-0005-0000-0000-00006F0E0000}"/>
    <cellStyle name="SAPBEXexcBad7" xfId="180" xr:uid="{00000000-0005-0000-0000-0000700E0000}"/>
    <cellStyle name="SAPBEXexcBad7 2" xfId="1693" xr:uid="{00000000-0005-0000-0000-0000710E0000}"/>
    <cellStyle name="SAPBEXexcBad7 3" xfId="1692" xr:uid="{00000000-0005-0000-0000-0000720E0000}"/>
    <cellStyle name="SAPBEXexcBad8" xfId="181" xr:uid="{00000000-0005-0000-0000-0000730E0000}"/>
    <cellStyle name="SAPBEXexcBad8 2" xfId="1695" xr:uid="{00000000-0005-0000-0000-0000740E0000}"/>
    <cellStyle name="SAPBEXexcBad8 3" xfId="1694" xr:uid="{00000000-0005-0000-0000-0000750E0000}"/>
    <cellStyle name="SAPBEXexcBad9" xfId="182" xr:uid="{00000000-0005-0000-0000-0000760E0000}"/>
    <cellStyle name="SAPBEXexcBad9 2" xfId="1697" xr:uid="{00000000-0005-0000-0000-0000770E0000}"/>
    <cellStyle name="SAPBEXexcBad9 3" xfId="1696" xr:uid="{00000000-0005-0000-0000-0000780E0000}"/>
    <cellStyle name="SAPBEXexcCritical4" xfId="183" xr:uid="{00000000-0005-0000-0000-0000790E0000}"/>
    <cellStyle name="SAPBEXexcCritical4 2" xfId="1699" xr:uid="{00000000-0005-0000-0000-00007A0E0000}"/>
    <cellStyle name="SAPBEXexcCritical4 3" xfId="1698" xr:uid="{00000000-0005-0000-0000-00007B0E0000}"/>
    <cellStyle name="SAPBEXexcCritical5" xfId="184" xr:uid="{00000000-0005-0000-0000-00007C0E0000}"/>
    <cellStyle name="SAPBEXexcCritical5 2" xfId="1701" xr:uid="{00000000-0005-0000-0000-00007D0E0000}"/>
    <cellStyle name="SAPBEXexcCritical5 3" xfId="1700" xr:uid="{00000000-0005-0000-0000-00007E0E0000}"/>
    <cellStyle name="SAPBEXexcCritical6" xfId="185" xr:uid="{00000000-0005-0000-0000-00007F0E0000}"/>
    <cellStyle name="SAPBEXexcCritical6 2" xfId="1703" xr:uid="{00000000-0005-0000-0000-0000800E0000}"/>
    <cellStyle name="SAPBEXexcCritical6 3" xfId="1702" xr:uid="{00000000-0005-0000-0000-0000810E0000}"/>
    <cellStyle name="SAPBEXexcGood1" xfId="186" xr:uid="{00000000-0005-0000-0000-0000820E0000}"/>
    <cellStyle name="SAPBEXexcGood1 2" xfId="1705" xr:uid="{00000000-0005-0000-0000-0000830E0000}"/>
    <cellStyle name="SAPBEXexcGood1 3" xfId="1704" xr:uid="{00000000-0005-0000-0000-0000840E0000}"/>
    <cellStyle name="SAPBEXexcGood2" xfId="187" xr:uid="{00000000-0005-0000-0000-0000850E0000}"/>
    <cellStyle name="SAPBEXexcGood2 2" xfId="1707" xr:uid="{00000000-0005-0000-0000-0000860E0000}"/>
    <cellStyle name="SAPBEXexcGood2 3" xfId="1706" xr:uid="{00000000-0005-0000-0000-0000870E0000}"/>
    <cellStyle name="SAPBEXexcGood3" xfId="188" xr:uid="{00000000-0005-0000-0000-0000880E0000}"/>
    <cellStyle name="SAPBEXexcGood3 2" xfId="1709" xr:uid="{00000000-0005-0000-0000-0000890E0000}"/>
    <cellStyle name="SAPBEXexcGood3 3" xfId="1708" xr:uid="{00000000-0005-0000-0000-00008A0E0000}"/>
    <cellStyle name="SAPBEXfilterDrill" xfId="189" xr:uid="{00000000-0005-0000-0000-00008B0E0000}"/>
    <cellStyle name="SAPBEXfilterDrill 2" xfId="1711" xr:uid="{00000000-0005-0000-0000-00008C0E0000}"/>
    <cellStyle name="SAPBEXfilterDrill 3" xfId="1710" xr:uid="{00000000-0005-0000-0000-00008D0E0000}"/>
    <cellStyle name="SAPBEXfilterItem" xfId="190" xr:uid="{00000000-0005-0000-0000-00008E0E0000}"/>
    <cellStyle name="SAPBEXfilterItem 2" xfId="1713" xr:uid="{00000000-0005-0000-0000-00008F0E0000}"/>
    <cellStyle name="SAPBEXfilterItem 3" xfId="1712" xr:uid="{00000000-0005-0000-0000-0000900E0000}"/>
    <cellStyle name="SAPBEXfilterText" xfId="191" xr:uid="{00000000-0005-0000-0000-0000910E0000}"/>
    <cellStyle name="SAPBEXfilterText 2" xfId="1715" xr:uid="{00000000-0005-0000-0000-0000920E0000}"/>
    <cellStyle name="SAPBEXfilterText 2 2" xfId="3792" xr:uid="{00000000-0005-0000-0000-0000930E0000}"/>
    <cellStyle name="SAPBEXfilterText 3" xfId="3793" xr:uid="{00000000-0005-0000-0000-0000940E0000}"/>
    <cellStyle name="SAPBEXfilterText 4" xfId="3794" xr:uid="{00000000-0005-0000-0000-0000950E0000}"/>
    <cellStyle name="SAPBEXformats" xfId="142" xr:uid="{00000000-0005-0000-0000-0000960E0000}"/>
    <cellStyle name="SAPBEXformats 2" xfId="192" xr:uid="{00000000-0005-0000-0000-0000970E0000}"/>
    <cellStyle name="SAPBEXformats 2 2" xfId="1717" xr:uid="{00000000-0005-0000-0000-0000980E0000}"/>
    <cellStyle name="SAPBEXformats 3" xfId="3795" xr:uid="{00000000-0005-0000-0000-0000990E0000}"/>
    <cellStyle name="SAPBEXformats 4" xfId="3796" xr:uid="{00000000-0005-0000-0000-00009A0E0000}"/>
    <cellStyle name="SAPBEXformats 5" xfId="3797" xr:uid="{00000000-0005-0000-0000-00009B0E0000}"/>
    <cellStyle name="SAPBEXformats 6" xfId="3798" xr:uid="{00000000-0005-0000-0000-00009C0E0000}"/>
    <cellStyle name="SAPBEXformats 7" xfId="3799" xr:uid="{00000000-0005-0000-0000-00009D0E0000}"/>
    <cellStyle name="SAPBEXformats 8" xfId="3800" xr:uid="{00000000-0005-0000-0000-00009E0E0000}"/>
    <cellStyle name="SAPBEXheaderItem" xfId="193" xr:uid="{00000000-0005-0000-0000-00009F0E0000}"/>
    <cellStyle name="SAPBEXheaderItem 2" xfId="1719" xr:uid="{00000000-0005-0000-0000-0000A00E0000}"/>
    <cellStyle name="SAPBEXheaderItem 2 2" xfId="3801" xr:uid="{00000000-0005-0000-0000-0000A10E0000}"/>
    <cellStyle name="SAPBEXheaderItem 3" xfId="1718" xr:uid="{00000000-0005-0000-0000-0000A20E0000}"/>
    <cellStyle name="SAPBEXheaderItem 3 2" xfId="3802" xr:uid="{00000000-0005-0000-0000-0000A30E0000}"/>
    <cellStyle name="SAPBEXheaderItem 4" xfId="3803" xr:uid="{00000000-0005-0000-0000-0000A40E0000}"/>
    <cellStyle name="SAPBEXheaderItem 5" xfId="3804" xr:uid="{00000000-0005-0000-0000-0000A50E0000}"/>
    <cellStyle name="SAPBEXheaderItem 6" xfId="3805" xr:uid="{00000000-0005-0000-0000-0000A60E0000}"/>
    <cellStyle name="SAPBEXheaderItem 7" xfId="3806" xr:uid="{00000000-0005-0000-0000-0000A70E0000}"/>
    <cellStyle name="SAPBEXheaderItem 8" xfId="3807" xr:uid="{00000000-0005-0000-0000-0000A80E0000}"/>
    <cellStyle name="SAPBEXheaderText" xfId="194" xr:uid="{00000000-0005-0000-0000-0000A90E0000}"/>
    <cellStyle name="SAPBEXheaderText 2" xfId="1721" xr:uid="{00000000-0005-0000-0000-0000AA0E0000}"/>
    <cellStyle name="SAPBEXheaderText 2 2" xfId="3808" xr:uid="{00000000-0005-0000-0000-0000AB0E0000}"/>
    <cellStyle name="SAPBEXheaderText 3" xfId="1720" xr:uid="{00000000-0005-0000-0000-0000AC0E0000}"/>
    <cellStyle name="SAPBEXheaderText 3 2" xfId="3809" xr:uid="{00000000-0005-0000-0000-0000AD0E0000}"/>
    <cellStyle name="SAPBEXheaderText 4" xfId="3810" xr:uid="{00000000-0005-0000-0000-0000AE0E0000}"/>
    <cellStyle name="SAPBEXheaderText 5" xfId="3811" xr:uid="{00000000-0005-0000-0000-0000AF0E0000}"/>
    <cellStyle name="SAPBEXheaderText 6" xfId="3812" xr:uid="{00000000-0005-0000-0000-0000B00E0000}"/>
    <cellStyle name="SAPBEXheaderText 7" xfId="3813" xr:uid="{00000000-0005-0000-0000-0000B10E0000}"/>
    <cellStyle name="SAPBEXheaderText 8" xfId="3814" xr:uid="{00000000-0005-0000-0000-0000B20E0000}"/>
    <cellStyle name="SAPBEXHLevel0" xfId="195" xr:uid="{00000000-0005-0000-0000-0000B30E0000}"/>
    <cellStyle name="SAPBEXHLevel0 2" xfId="1723" xr:uid="{00000000-0005-0000-0000-0000B40E0000}"/>
    <cellStyle name="SAPBEXHLevel0 2 2" xfId="3815" xr:uid="{00000000-0005-0000-0000-0000B50E0000}"/>
    <cellStyle name="SAPBEXHLevel0 3" xfId="1722" xr:uid="{00000000-0005-0000-0000-0000B60E0000}"/>
    <cellStyle name="SAPBEXHLevel0 3 2" xfId="3816" xr:uid="{00000000-0005-0000-0000-0000B70E0000}"/>
    <cellStyle name="SAPBEXHLevel0 4" xfId="3817" xr:uid="{00000000-0005-0000-0000-0000B80E0000}"/>
    <cellStyle name="SAPBEXHLevel0 5" xfId="3818" xr:uid="{00000000-0005-0000-0000-0000B90E0000}"/>
    <cellStyle name="SAPBEXHLevel0 6" xfId="3819" xr:uid="{00000000-0005-0000-0000-0000BA0E0000}"/>
    <cellStyle name="SAPBEXHLevel0 7" xfId="3820" xr:uid="{00000000-0005-0000-0000-0000BB0E0000}"/>
    <cellStyle name="SAPBEXHLevel0 8" xfId="3821" xr:uid="{00000000-0005-0000-0000-0000BC0E0000}"/>
    <cellStyle name="SAPBEXHLevel0X" xfId="196" xr:uid="{00000000-0005-0000-0000-0000BD0E0000}"/>
    <cellStyle name="SAPBEXHLevel0X 2" xfId="1725" xr:uid="{00000000-0005-0000-0000-0000BE0E0000}"/>
    <cellStyle name="SAPBEXHLevel0X 2 2" xfId="3822" xr:uid="{00000000-0005-0000-0000-0000BF0E0000}"/>
    <cellStyle name="SAPBEXHLevel0X 3" xfId="1724" xr:uid="{00000000-0005-0000-0000-0000C00E0000}"/>
    <cellStyle name="SAPBEXHLevel0X 3 2" xfId="3823" xr:uid="{00000000-0005-0000-0000-0000C10E0000}"/>
    <cellStyle name="SAPBEXHLevel0X 4" xfId="3824" xr:uid="{00000000-0005-0000-0000-0000C20E0000}"/>
    <cellStyle name="SAPBEXHLevel0X 5" xfId="3825" xr:uid="{00000000-0005-0000-0000-0000C30E0000}"/>
    <cellStyle name="SAPBEXHLevel0X 6" xfId="3826" xr:uid="{00000000-0005-0000-0000-0000C40E0000}"/>
    <cellStyle name="SAPBEXHLevel0X 7" xfId="3827" xr:uid="{00000000-0005-0000-0000-0000C50E0000}"/>
    <cellStyle name="SAPBEXHLevel0X 8" xfId="3828" xr:uid="{00000000-0005-0000-0000-0000C60E0000}"/>
    <cellStyle name="SAPBEXHLevel1" xfId="197" xr:uid="{00000000-0005-0000-0000-0000C70E0000}"/>
    <cellStyle name="SAPBEXHLevel1 2" xfId="1727" xr:uid="{00000000-0005-0000-0000-0000C80E0000}"/>
    <cellStyle name="SAPBEXHLevel1 2 2" xfId="3829" xr:uid="{00000000-0005-0000-0000-0000C90E0000}"/>
    <cellStyle name="SAPBEXHLevel1 3" xfId="1726" xr:uid="{00000000-0005-0000-0000-0000CA0E0000}"/>
    <cellStyle name="SAPBEXHLevel1 3 2" xfId="3830" xr:uid="{00000000-0005-0000-0000-0000CB0E0000}"/>
    <cellStyle name="SAPBEXHLevel1 4" xfId="3831" xr:uid="{00000000-0005-0000-0000-0000CC0E0000}"/>
    <cellStyle name="SAPBEXHLevel1 5" xfId="3832" xr:uid="{00000000-0005-0000-0000-0000CD0E0000}"/>
    <cellStyle name="SAPBEXHLevel1 6" xfId="3833" xr:uid="{00000000-0005-0000-0000-0000CE0E0000}"/>
    <cellStyle name="SAPBEXHLevel1 7" xfId="3834" xr:uid="{00000000-0005-0000-0000-0000CF0E0000}"/>
    <cellStyle name="SAPBEXHLevel1 8" xfId="3835" xr:uid="{00000000-0005-0000-0000-0000D00E0000}"/>
    <cellStyle name="SAPBEXHLevel1X" xfId="198" xr:uid="{00000000-0005-0000-0000-0000D10E0000}"/>
    <cellStyle name="SAPBEXHLevel1X 2" xfId="1729" xr:uid="{00000000-0005-0000-0000-0000D20E0000}"/>
    <cellStyle name="SAPBEXHLevel1X 2 2" xfId="3836" xr:uid="{00000000-0005-0000-0000-0000D30E0000}"/>
    <cellStyle name="SAPBEXHLevel1X 3" xfId="1728" xr:uid="{00000000-0005-0000-0000-0000D40E0000}"/>
    <cellStyle name="SAPBEXHLevel1X 3 2" xfId="3837" xr:uid="{00000000-0005-0000-0000-0000D50E0000}"/>
    <cellStyle name="SAPBEXHLevel1X 4" xfId="3838" xr:uid="{00000000-0005-0000-0000-0000D60E0000}"/>
    <cellStyle name="SAPBEXHLevel1X 5" xfId="3839" xr:uid="{00000000-0005-0000-0000-0000D70E0000}"/>
    <cellStyle name="SAPBEXHLevel1X 6" xfId="3840" xr:uid="{00000000-0005-0000-0000-0000D80E0000}"/>
    <cellStyle name="SAPBEXHLevel1X 7" xfId="3841" xr:uid="{00000000-0005-0000-0000-0000D90E0000}"/>
    <cellStyle name="SAPBEXHLevel1X 8" xfId="3842" xr:uid="{00000000-0005-0000-0000-0000DA0E0000}"/>
    <cellStyle name="SAPBEXHLevel2" xfId="199" xr:uid="{00000000-0005-0000-0000-0000DB0E0000}"/>
    <cellStyle name="SAPBEXHLevel2 2" xfId="1731" xr:uid="{00000000-0005-0000-0000-0000DC0E0000}"/>
    <cellStyle name="SAPBEXHLevel2 2 2" xfId="3843" xr:uid="{00000000-0005-0000-0000-0000DD0E0000}"/>
    <cellStyle name="SAPBEXHLevel2 3" xfId="1730" xr:uid="{00000000-0005-0000-0000-0000DE0E0000}"/>
    <cellStyle name="SAPBEXHLevel2 3 2" xfId="3844" xr:uid="{00000000-0005-0000-0000-0000DF0E0000}"/>
    <cellStyle name="SAPBEXHLevel2 4" xfId="3845" xr:uid="{00000000-0005-0000-0000-0000E00E0000}"/>
    <cellStyle name="SAPBEXHLevel2 5" xfId="3846" xr:uid="{00000000-0005-0000-0000-0000E10E0000}"/>
    <cellStyle name="SAPBEXHLevel2 6" xfId="3847" xr:uid="{00000000-0005-0000-0000-0000E20E0000}"/>
    <cellStyle name="SAPBEXHLevel2 7" xfId="3848" xr:uid="{00000000-0005-0000-0000-0000E30E0000}"/>
    <cellStyle name="SAPBEXHLevel2 8" xfId="3849" xr:uid="{00000000-0005-0000-0000-0000E40E0000}"/>
    <cellStyle name="SAPBEXHLevel2X" xfId="200" xr:uid="{00000000-0005-0000-0000-0000E50E0000}"/>
    <cellStyle name="SAPBEXHLevel2X 2" xfId="1733" xr:uid="{00000000-0005-0000-0000-0000E60E0000}"/>
    <cellStyle name="SAPBEXHLevel2X 2 2" xfId="3850" xr:uid="{00000000-0005-0000-0000-0000E70E0000}"/>
    <cellStyle name="SAPBEXHLevel2X 3" xfId="1732" xr:uid="{00000000-0005-0000-0000-0000E80E0000}"/>
    <cellStyle name="SAPBEXHLevel2X 3 2" xfId="3851" xr:uid="{00000000-0005-0000-0000-0000E90E0000}"/>
    <cellStyle name="SAPBEXHLevel2X 4" xfId="3852" xr:uid="{00000000-0005-0000-0000-0000EA0E0000}"/>
    <cellStyle name="SAPBEXHLevel2X 5" xfId="3853" xr:uid="{00000000-0005-0000-0000-0000EB0E0000}"/>
    <cellStyle name="SAPBEXHLevel2X 6" xfId="3854" xr:uid="{00000000-0005-0000-0000-0000EC0E0000}"/>
    <cellStyle name="SAPBEXHLevel2X 7" xfId="3855" xr:uid="{00000000-0005-0000-0000-0000ED0E0000}"/>
    <cellStyle name="SAPBEXHLevel2X 8" xfId="3856" xr:uid="{00000000-0005-0000-0000-0000EE0E0000}"/>
    <cellStyle name="SAPBEXHLevel3" xfId="201" xr:uid="{00000000-0005-0000-0000-0000EF0E0000}"/>
    <cellStyle name="SAPBEXHLevel3 2" xfId="1735" xr:uid="{00000000-0005-0000-0000-0000F00E0000}"/>
    <cellStyle name="SAPBEXHLevel3 2 2" xfId="3857" xr:uid="{00000000-0005-0000-0000-0000F10E0000}"/>
    <cellStyle name="SAPBEXHLevel3 3" xfId="1734" xr:uid="{00000000-0005-0000-0000-0000F20E0000}"/>
    <cellStyle name="SAPBEXHLevel3 3 2" xfId="3858" xr:uid="{00000000-0005-0000-0000-0000F30E0000}"/>
    <cellStyle name="SAPBEXHLevel3 4" xfId="3859" xr:uid="{00000000-0005-0000-0000-0000F40E0000}"/>
    <cellStyle name="SAPBEXHLevel3 5" xfId="3860" xr:uid="{00000000-0005-0000-0000-0000F50E0000}"/>
    <cellStyle name="SAPBEXHLevel3 6" xfId="3861" xr:uid="{00000000-0005-0000-0000-0000F60E0000}"/>
    <cellStyle name="SAPBEXHLevel3 7" xfId="3862" xr:uid="{00000000-0005-0000-0000-0000F70E0000}"/>
    <cellStyle name="SAPBEXHLevel3 8" xfId="3863" xr:uid="{00000000-0005-0000-0000-0000F80E0000}"/>
    <cellStyle name="SAPBEXHLevel3X" xfId="202" xr:uid="{00000000-0005-0000-0000-0000F90E0000}"/>
    <cellStyle name="SAPBEXHLevel3X 2" xfId="1737" xr:uid="{00000000-0005-0000-0000-0000FA0E0000}"/>
    <cellStyle name="SAPBEXHLevel3X 2 2" xfId="3864" xr:uid="{00000000-0005-0000-0000-0000FB0E0000}"/>
    <cellStyle name="SAPBEXHLevel3X 3" xfId="1736" xr:uid="{00000000-0005-0000-0000-0000FC0E0000}"/>
    <cellStyle name="SAPBEXHLevel3X 3 2" xfId="3865" xr:uid="{00000000-0005-0000-0000-0000FD0E0000}"/>
    <cellStyle name="SAPBEXHLevel3X 4" xfId="3866" xr:uid="{00000000-0005-0000-0000-0000FE0E0000}"/>
    <cellStyle name="SAPBEXHLevel3X 5" xfId="3867" xr:uid="{00000000-0005-0000-0000-0000FF0E0000}"/>
    <cellStyle name="SAPBEXHLevel3X 6" xfId="3868" xr:uid="{00000000-0005-0000-0000-0000000F0000}"/>
    <cellStyle name="SAPBEXHLevel3X 7" xfId="3869" xr:uid="{00000000-0005-0000-0000-0000010F0000}"/>
    <cellStyle name="SAPBEXHLevel3X 8" xfId="3870" xr:uid="{00000000-0005-0000-0000-0000020F0000}"/>
    <cellStyle name="SAPBEXinputData" xfId="1738" xr:uid="{00000000-0005-0000-0000-0000030F0000}"/>
    <cellStyle name="SAPBEXItemHeader" xfId="1739" xr:uid="{00000000-0005-0000-0000-0000040F0000}"/>
    <cellStyle name="SAPBEXresData" xfId="203" xr:uid="{00000000-0005-0000-0000-0000050F0000}"/>
    <cellStyle name="SAPBEXresData 2" xfId="1741" xr:uid="{00000000-0005-0000-0000-0000060F0000}"/>
    <cellStyle name="SAPBEXresData 3" xfId="1740" xr:uid="{00000000-0005-0000-0000-0000070F0000}"/>
    <cellStyle name="SAPBEXresDataEmph" xfId="204" xr:uid="{00000000-0005-0000-0000-0000080F0000}"/>
    <cellStyle name="SAPBEXresDataEmph 2" xfId="1743" xr:uid="{00000000-0005-0000-0000-0000090F0000}"/>
    <cellStyle name="SAPBEXresDataEmph 3" xfId="1742" xr:uid="{00000000-0005-0000-0000-00000A0F0000}"/>
    <cellStyle name="SAPBEXresItem" xfId="205" xr:uid="{00000000-0005-0000-0000-00000B0F0000}"/>
    <cellStyle name="SAPBEXresItem 2" xfId="1745" xr:uid="{00000000-0005-0000-0000-00000C0F0000}"/>
    <cellStyle name="SAPBEXresItem 3" xfId="1744" xr:uid="{00000000-0005-0000-0000-00000D0F0000}"/>
    <cellStyle name="SAPBEXresItemX" xfId="206" xr:uid="{00000000-0005-0000-0000-00000E0F0000}"/>
    <cellStyle name="SAPBEXresItemX 2" xfId="1747" xr:uid="{00000000-0005-0000-0000-00000F0F0000}"/>
    <cellStyle name="SAPBEXresItemX 3" xfId="1746" xr:uid="{00000000-0005-0000-0000-0000100F0000}"/>
    <cellStyle name="SAPBEXstdData" xfId="143" xr:uid="{00000000-0005-0000-0000-0000110F0000}"/>
    <cellStyle name="SAPBEXstdData 2" xfId="207" xr:uid="{00000000-0005-0000-0000-0000120F0000}"/>
    <cellStyle name="SAPBEXstdData 2 2" xfId="432" xr:uid="{00000000-0005-0000-0000-0000130F0000}"/>
    <cellStyle name="SAPBEXstdData 3" xfId="1750" xr:uid="{00000000-0005-0000-0000-0000140F0000}"/>
    <cellStyle name="SAPBEXstdDataEmph" xfId="208" xr:uid="{00000000-0005-0000-0000-0000150F0000}"/>
    <cellStyle name="SAPBEXstdDataEmph 2" xfId="1752" xr:uid="{00000000-0005-0000-0000-0000160F0000}"/>
    <cellStyle name="SAPBEXstdDataEmph 3" xfId="1751" xr:uid="{00000000-0005-0000-0000-0000170F0000}"/>
    <cellStyle name="SAPBEXstdItem" xfId="144" xr:uid="{00000000-0005-0000-0000-0000180F0000}"/>
    <cellStyle name="SAPBEXstdItem 2" xfId="209" xr:uid="{00000000-0005-0000-0000-0000190F0000}"/>
    <cellStyle name="SAPBEXstdItem 2 2" xfId="433" xr:uid="{00000000-0005-0000-0000-00001A0F0000}"/>
    <cellStyle name="SAPBEXstdItem 3" xfId="1755" xr:uid="{00000000-0005-0000-0000-00001B0F0000}"/>
    <cellStyle name="SAPBEXstdItem 3 2" xfId="3871" xr:uid="{00000000-0005-0000-0000-00001C0F0000}"/>
    <cellStyle name="SAPBEXstdItem 4" xfId="3872" xr:uid="{00000000-0005-0000-0000-00001D0F0000}"/>
    <cellStyle name="SAPBEXstdItem 5" xfId="3873" xr:uid="{00000000-0005-0000-0000-00001E0F0000}"/>
    <cellStyle name="SAPBEXstdItem 6" xfId="3874" xr:uid="{00000000-0005-0000-0000-00001F0F0000}"/>
    <cellStyle name="SAPBEXstdItem 7" xfId="3875" xr:uid="{00000000-0005-0000-0000-0000200F0000}"/>
    <cellStyle name="SAPBEXstdItem 8" xfId="3876" xr:uid="{00000000-0005-0000-0000-0000210F0000}"/>
    <cellStyle name="SAPBEXstdItemX" xfId="210" xr:uid="{00000000-0005-0000-0000-0000220F0000}"/>
    <cellStyle name="SAPBEXstdItemX 2" xfId="434" xr:uid="{00000000-0005-0000-0000-0000230F0000}"/>
    <cellStyle name="SAPBEXstdItemX 2 2" xfId="1757" xr:uid="{00000000-0005-0000-0000-0000240F0000}"/>
    <cellStyle name="SAPBEXstdItemX 3" xfId="1758" xr:uid="{00000000-0005-0000-0000-0000250F0000}"/>
    <cellStyle name="SAPBEXstdItemX 3 2" xfId="3877" xr:uid="{00000000-0005-0000-0000-0000260F0000}"/>
    <cellStyle name="SAPBEXstdItemX 4" xfId="3878" xr:uid="{00000000-0005-0000-0000-0000270F0000}"/>
    <cellStyle name="SAPBEXstdItemX 5" xfId="3879" xr:uid="{00000000-0005-0000-0000-0000280F0000}"/>
    <cellStyle name="SAPBEXstdItemX 6" xfId="3880" xr:uid="{00000000-0005-0000-0000-0000290F0000}"/>
    <cellStyle name="SAPBEXstdItemX 7" xfId="3881" xr:uid="{00000000-0005-0000-0000-00002A0F0000}"/>
    <cellStyle name="SAPBEXstdItemX 8" xfId="3882" xr:uid="{00000000-0005-0000-0000-00002B0F0000}"/>
    <cellStyle name="SAPBEXtitle" xfId="211" xr:uid="{00000000-0005-0000-0000-00002C0F0000}"/>
    <cellStyle name="SAPBEXtitle 2" xfId="435" xr:uid="{00000000-0005-0000-0000-00002D0F0000}"/>
    <cellStyle name="SAPBEXtitle 2 2" xfId="1760" xr:uid="{00000000-0005-0000-0000-00002E0F0000}"/>
    <cellStyle name="SAPBEXtitle 3" xfId="1761" xr:uid="{00000000-0005-0000-0000-00002F0F0000}"/>
    <cellStyle name="SAPBEXtitle 3 2" xfId="3883" xr:uid="{00000000-0005-0000-0000-0000300F0000}"/>
    <cellStyle name="SAPBEXtitle 4" xfId="3884" xr:uid="{00000000-0005-0000-0000-0000310F0000}"/>
    <cellStyle name="SAPBEXunassignedItem" xfId="1762" xr:uid="{00000000-0005-0000-0000-0000320F0000}"/>
    <cellStyle name="SAPBEXundefined" xfId="212" xr:uid="{00000000-0005-0000-0000-0000330F0000}"/>
    <cellStyle name="SAPBEXundefined 2" xfId="1764" xr:uid="{00000000-0005-0000-0000-0000340F0000}"/>
    <cellStyle name="SAPBEXundefined 3" xfId="1763" xr:uid="{00000000-0005-0000-0000-0000350F0000}"/>
    <cellStyle name="Sheet Title" xfId="1765" xr:uid="{00000000-0005-0000-0000-0000360F0000}"/>
    <cellStyle name="Standaard_Blad1" xfId="257" xr:uid="{00000000-0005-0000-0000-0000370F0000}"/>
    <cellStyle name="Title 10" xfId="3885" xr:uid="{00000000-0005-0000-0000-0000380F0000}"/>
    <cellStyle name="Title 11" xfId="3886" xr:uid="{00000000-0005-0000-0000-0000390F0000}"/>
    <cellStyle name="Title 12" xfId="3887" xr:uid="{00000000-0005-0000-0000-00003A0F0000}"/>
    <cellStyle name="Title 13" xfId="3888" xr:uid="{00000000-0005-0000-0000-00003B0F0000}"/>
    <cellStyle name="Title 14" xfId="3889" xr:uid="{00000000-0005-0000-0000-00003C0F0000}"/>
    <cellStyle name="Title 15" xfId="3890" xr:uid="{00000000-0005-0000-0000-00003D0F0000}"/>
    <cellStyle name="Title 16" xfId="145" xr:uid="{00000000-0005-0000-0000-00003E0F0000}"/>
    <cellStyle name="Title 2" xfId="146" xr:uid="{00000000-0005-0000-0000-00003F0F0000}"/>
    <cellStyle name="Title 2 10" xfId="3892" xr:uid="{00000000-0005-0000-0000-0000400F0000}"/>
    <cellStyle name="Title 2 11" xfId="3893" xr:uid="{00000000-0005-0000-0000-0000410F0000}"/>
    <cellStyle name="Title 2 12" xfId="3891" xr:uid="{00000000-0005-0000-0000-0000420F0000}"/>
    <cellStyle name="Title 2 2" xfId="1766" xr:uid="{00000000-0005-0000-0000-0000430F0000}"/>
    <cellStyle name="Title 2 2 2" xfId="3894" xr:uid="{00000000-0005-0000-0000-0000440F0000}"/>
    <cellStyle name="Title 2 3" xfId="3895" xr:uid="{00000000-0005-0000-0000-0000450F0000}"/>
    <cellStyle name="Title 2 4" xfId="3896" xr:uid="{00000000-0005-0000-0000-0000460F0000}"/>
    <cellStyle name="Title 2 5" xfId="3897" xr:uid="{00000000-0005-0000-0000-0000470F0000}"/>
    <cellStyle name="Title 2 6" xfId="3898" xr:uid="{00000000-0005-0000-0000-0000480F0000}"/>
    <cellStyle name="Title 2 7" xfId="3899" xr:uid="{00000000-0005-0000-0000-0000490F0000}"/>
    <cellStyle name="Title 2 8" xfId="3900" xr:uid="{00000000-0005-0000-0000-00004A0F0000}"/>
    <cellStyle name="Title 2 9" xfId="3901" xr:uid="{00000000-0005-0000-0000-00004B0F0000}"/>
    <cellStyle name="Title 3" xfId="147" xr:uid="{00000000-0005-0000-0000-00004C0F0000}"/>
    <cellStyle name="Title 3 10" xfId="3903" xr:uid="{00000000-0005-0000-0000-00004D0F0000}"/>
    <cellStyle name="Title 3 11" xfId="3904" xr:uid="{00000000-0005-0000-0000-00004E0F0000}"/>
    <cellStyle name="Title 3 12" xfId="3902" xr:uid="{00000000-0005-0000-0000-00004F0F0000}"/>
    <cellStyle name="Title 3 2" xfId="3905" xr:uid="{00000000-0005-0000-0000-0000500F0000}"/>
    <cellStyle name="Title 3 3" xfId="3906" xr:uid="{00000000-0005-0000-0000-0000510F0000}"/>
    <cellStyle name="Title 3 4" xfId="3907" xr:uid="{00000000-0005-0000-0000-0000520F0000}"/>
    <cellStyle name="Title 3 5" xfId="3908" xr:uid="{00000000-0005-0000-0000-0000530F0000}"/>
    <cellStyle name="Title 3 6" xfId="3909" xr:uid="{00000000-0005-0000-0000-0000540F0000}"/>
    <cellStyle name="Title 3 7" xfId="3910" xr:uid="{00000000-0005-0000-0000-0000550F0000}"/>
    <cellStyle name="Title 3 8" xfId="3911" xr:uid="{00000000-0005-0000-0000-0000560F0000}"/>
    <cellStyle name="Title 3 9" xfId="3912" xr:uid="{00000000-0005-0000-0000-0000570F0000}"/>
    <cellStyle name="Title 4" xfId="3913" xr:uid="{00000000-0005-0000-0000-0000580F0000}"/>
    <cellStyle name="Title 4 10" xfId="3914" xr:uid="{00000000-0005-0000-0000-0000590F0000}"/>
    <cellStyle name="Title 4 11" xfId="3915" xr:uid="{00000000-0005-0000-0000-00005A0F0000}"/>
    <cellStyle name="Title 4 2" xfId="3916" xr:uid="{00000000-0005-0000-0000-00005B0F0000}"/>
    <cellStyle name="Title 4 3" xfId="3917" xr:uid="{00000000-0005-0000-0000-00005C0F0000}"/>
    <cellStyle name="Title 4 4" xfId="3918" xr:uid="{00000000-0005-0000-0000-00005D0F0000}"/>
    <cellStyle name="Title 4 5" xfId="3919" xr:uid="{00000000-0005-0000-0000-00005E0F0000}"/>
    <cellStyle name="Title 4 6" xfId="3920" xr:uid="{00000000-0005-0000-0000-00005F0F0000}"/>
    <cellStyle name="Title 4 7" xfId="3921" xr:uid="{00000000-0005-0000-0000-0000600F0000}"/>
    <cellStyle name="Title 4 8" xfId="3922" xr:uid="{00000000-0005-0000-0000-0000610F0000}"/>
    <cellStyle name="Title 4 9" xfId="3923" xr:uid="{00000000-0005-0000-0000-0000620F0000}"/>
    <cellStyle name="Title 5" xfId="3924" xr:uid="{00000000-0005-0000-0000-0000630F0000}"/>
    <cellStyle name="Title 5 10" xfId="3925" xr:uid="{00000000-0005-0000-0000-0000640F0000}"/>
    <cellStyle name="Title 5 11" xfId="3926" xr:uid="{00000000-0005-0000-0000-0000650F0000}"/>
    <cellStyle name="Title 5 2" xfId="3927" xr:uid="{00000000-0005-0000-0000-0000660F0000}"/>
    <cellStyle name="Title 5 3" xfId="3928" xr:uid="{00000000-0005-0000-0000-0000670F0000}"/>
    <cellStyle name="Title 5 4" xfId="3929" xr:uid="{00000000-0005-0000-0000-0000680F0000}"/>
    <cellStyle name="Title 5 5" xfId="3930" xr:uid="{00000000-0005-0000-0000-0000690F0000}"/>
    <cellStyle name="Title 5 6" xfId="3931" xr:uid="{00000000-0005-0000-0000-00006A0F0000}"/>
    <cellStyle name="Title 5 7" xfId="3932" xr:uid="{00000000-0005-0000-0000-00006B0F0000}"/>
    <cellStyle name="Title 5 8" xfId="3933" xr:uid="{00000000-0005-0000-0000-00006C0F0000}"/>
    <cellStyle name="Title 5 9" xfId="3934" xr:uid="{00000000-0005-0000-0000-00006D0F0000}"/>
    <cellStyle name="Title 6" xfId="3935" xr:uid="{00000000-0005-0000-0000-00006E0F0000}"/>
    <cellStyle name="Title 7" xfId="3936" xr:uid="{00000000-0005-0000-0000-00006F0F0000}"/>
    <cellStyle name="Title 8" xfId="3937" xr:uid="{00000000-0005-0000-0000-0000700F0000}"/>
    <cellStyle name="Title 9" xfId="3938" xr:uid="{00000000-0005-0000-0000-0000710F0000}"/>
    <cellStyle name="Total 10" xfId="3939" xr:uid="{00000000-0005-0000-0000-0000720F0000}"/>
    <cellStyle name="Total 11" xfId="3940" xr:uid="{00000000-0005-0000-0000-0000730F0000}"/>
    <cellStyle name="Total 12" xfId="3941" xr:uid="{00000000-0005-0000-0000-0000740F0000}"/>
    <cellStyle name="Total 13" xfId="3942" xr:uid="{00000000-0005-0000-0000-0000750F0000}"/>
    <cellStyle name="Total 14" xfId="3943" xr:uid="{00000000-0005-0000-0000-0000760F0000}"/>
    <cellStyle name="Total 15" xfId="3944" xr:uid="{00000000-0005-0000-0000-0000770F0000}"/>
    <cellStyle name="Total 16" xfId="148" xr:uid="{00000000-0005-0000-0000-0000780F0000}"/>
    <cellStyle name="Total 2" xfId="149" xr:uid="{00000000-0005-0000-0000-0000790F0000}"/>
    <cellStyle name="Total 2 10" xfId="3946" xr:uid="{00000000-0005-0000-0000-00007A0F0000}"/>
    <cellStyle name="Total 2 11" xfId="3947" xr:uid="{00000000-0005-0000-0000-00007B0F0000}"/>
    <cellStyle name="Total 2 12" xfId="3945" xr:uid="{00000000-0005-0000-0000-00007C0F0000}"/>
    <cellStyle name="Total 2 2" xfId="1768" xr:uid="{00000000-0005-0000-0000-00007D0F0000}"/>
    <cellStyle name="Total 2 2 2" xfId="3948" xr:uid="{00000000-0005-0000-0000-00007E0F0000}"/>
    <cellStyle name="Total 2 3" xfId="3949" xr:uid="{00000000-0005-0000-0000-00007F0F0000}"/>
    <cellStyle name="Total 2 4" xfId="3950" xr:uid="{00000000-0005-0000-0000-0000800F0000}"/>
    <cellStyle name="Total 2 5" xfId="3951" xr:uid="{00000000-0005-0000-0000-0000810F0000}"/>
    <cellStyle name="Total 2 6" xfId="3952" xr:uid="{00000000-0005-0000-0000-0000820F0000}"/>
    <cellStyle name="Total 2 7" xfId="3953" xr:uid="{00000000-0005-0000-0000-0000830F0000}"/>
    <cellStyle name="Total 2 8" xfId="3954" xr:uid="{00000000-0005-0000-0000-0000840F0000}"/>
    <cellStyle name="Total 2 9" xfId="3955" xr:uid="{00000000-0005-0000-0000-0000850F0000}"/>
    <cellStyle name="Total 3" xfId="150" xr:uid="{00000000-0005-0000-0000-0000860F0000}"/>
    <cellStyle name="Total 3 10" xfId="3957" xr:uid="{00000000-0005-0000-0000-0000870F0000}"/>
    <cellStyle name="Total 3 11" xfId="3958" xr:uid="{00000000-0005-0000-0000-0000880F0000}"/>
    <cellStyle name="Total 3 12" xfId="3956" xr:uid="{00000000-0005-0000-0000-0000890F0000}"/>
    <cellStyle name="Total 3 2" xfId="1769" xr:uid="{00000000-0005-0000-0000-00008A0F0000}"/>
    <cellStyle name="Total 3 2 2" xfId="3959" xr:uid="{00000000-0005-0000-0000-00008B0F0000}"/>
    <cellStyle name="Total 3 3" xfId="3960" xr:uid="{00000000-0005-0000-0000-00008C0F0000}"/>
    <cellStyle name="Total 3 4" xfId="3961" xr:uid="{00000000-0005-0000-0000-00008D0F0000}"/>
    <cellStyle name="Total 3 5" xfId="3962" xr:uid="{00000000-0005-0000-0000-00008E0F0000}"/>
    <cellStyle name="Total 3 6" xfId="3963" xr:uid="{00000000-0005-0000-0000-00008F0F0000}"/>
    <cellStyle name="Total 3 7" xfId="3964" xr:uid="{00000000-0005-0000-0000-0000900F0000}"/>
    <cellStyle name="Total 3 8" xfId="3965" xr:uid="{00000000-0005-0000-0000-0000910F0000}"/>
    <cellStyle name="Total 3 9" xfId="3966" xr:uid="{00000000-0005-0000-0000-0000920F0000}"/>
    <cellStyle name="Total 4" xfId="1770" xr:uid="{00000000-0005-0000-0000-0000930F0000}"/>
    <cellStyle name="Total 4 10" xfId="3968" xr:uid="{00000000-0005-0000-0000-0000940F0000}"/>
    <cellStyle name="Total 4 11" xfId="3969" xr:uid="{00000000-0005-0000-0000-0000950F0000}"/>
    <cellStyle name="Total 4 12" xfId="3967" xr:uid="{00000000-0005-0000-0000-0000960F0000}"/>
    <cellStyle name="Total 4 2" xfId="3970" xr:uid="{00000000-0005-0000-0000-0000970F0000}"/>
    <cellStyle name="Total 4 3" xfId="3971" xr:uid="{00000000-0005-0000-0000-0000980F0000}"/>
    <cellStyle name="Total 4 4" xfId="3972" xr:uid="{00000000-0005-0000-0000-0000990F0000}"/>
    <cellStyle name="Total 4 5" xfId="3973" xr:uid="{00000000-0005-0000-0000-00009A0F0000}"/>
    <cellStyle name="Total 4 6" xfId="3974" xr:uid="{00000000-0005-0000-0000-00009B0F0000}"/>
    <cellStyle name="Total 4 7" xfId="3975" xr:uid="{00000000-0005-0000-0000-00009C0F0000}"/>
    <cellStyle name="Total 4 8" xfId="3976" xr:uid="{00000000-0005-0000-0000-00009D0F0000}"/>
    <cellStyle name="Total 4 9" xfId="3977" xr:uid="{00000000-0005-0000-0000-00009E0F0000}"/>
    <cellStyle name="Total 5" xfId="3978" xr:uid="{00000000-0005-0000-0000-00009F0F0000}"/>
    <cellStyle name="Total 5 10" xfId="3979" xr:uid="{00000000-0005-0000-0000-0000A00F0000}"/>
    <cellStyle name="Total 5 11" xfId="3980" xr:uid="{00000000-0005-0000-0000-0000A10F0000}"/>
    <cellStyle name="Total 5 2" xfId="3981" xr:uid="{00000000-0005-0000-0000-0000A20F0000}"/>
    <cellStyle name="Total 5 3" xfId="3982" xr:uid="{00000000-0005-0000-0000-0000A30F0000}"/>
    <cellStyle name="Total 5 4" xfId="3983" xr:uid="{00000000-0005-0000-0000-0000A40F0000}"/>
    <cellStyle name="Total 5 5" xfId="3984" xr:uid="{00000000-0005-0000-0000-0000A50F0000}"/>
    <cellStyle name="Total 5 6" xfId="3985" xr:uid="{00000000-0005-0000-0000-0000A60F0000}"/>
    <cellStyle name="Total 5 7" xfId="3986" xr:uid="{00000000-0005-0000-0000-0000A70F0000}"/>
    <cellStyle name="Total 5 8" xfId="3987" xr:uid="{00000000-0005-0000-0000-0000A80F0000}"/>
    <cellStyle name="Total 5 9" xfId="3988" xr:uid="{00000000-0005-0000-0000-0000A90F0000}"/>
    <cellStyle name="Total 6" xfId="3989" xr:uid="{00000000-0005-0000-0000-0000AA0F0000}"/>
    <cellStyle name="Total 7" xfId="3990" xr:uid="{00000000-0005-0000-0000-0000AB0F0000}"/>
    <cellStyle name="Total 8" xfId="3991" xr:uid="{00000000-0005-0000-0000-0000AC0F0000}"/>
    <cellStyle name="Total 9" xfId="3992" xr:uid="{00000000-0005-0000-0000-0000AD0F0000}"/>
    <cellStyle name="Valuta [0]_Blad1" xfId="258" xr:uid="{00000000-0005-0000-0000-0000AE0F0000}"/>
    <cellStyle name="Valuta_Blad1" xfId="259" xr:uid="{00000000-0005-0000-0000-0000AF0F0000}"/>
    <cellStyle name="Warning Text 10" xfId="3993" xr:uid="{00000000-0005-0000-0000-0000B00F0000}"/>
    <cellStyle name="Warning Text 11" xfId="3994" xr:uid="{00000000-0005-0000-0000-0000B10F0000}"/>
    <cellStyle name="Warning Text 12" xfId="3995" xr:uid="{00000000-0005-0000-0000-0000B20F0000}"/>
    <cellStyle name="Warning Text 13" xfId="3996" xr:uid="{00000000-0005-0000-0000-0000B30F0000}"/>
    <cellStyle name="Warning Text 14" xfId="3997" xr:uid="{00000000-0005-0000-0000-0000B40F0000}"/>
    <cellStyle name="Warning Text 15" xfId="3998" xr:uid="{00000000-0005-0000-0000-0000B50F0000}"/>
    <cellStyle name="Warning Text 16" xfId="151" xr:uid="{00000000-0005-0000-0000-0000B60F0000}"/>
    <cellStyle name="Warning Text 2" xfId="152" xr:uid="{00000000-0005-0000-0000-0000B70F0000}"/>
    <cellStyle name="Warning Text 2 10" xfId="4000" xr:uid="{00000000-0005-0000-0000-0000B80F0000}"/>
    <cellStyle name="Warning Text 2 11" xfId="4001" xr:uid="{00000000-0005-0000-0000-0000B90F0000}"/>
    <cellStyle name="Warning Text 2 12" xfId="3999" xr:uid="{00000000-0005-0000-0000-0000BA0F0000}"/>
    <cellStyle name="Warning Text 2 2" xfId="1771" xr:uid="{00000000-0005-0000-0000-0000BB0F0000}"/>
    <cellStyle name="Warning Text 2 2 2" xfId="4002" xr:uid="{00000000-0005-0000-0000-0000BC0F0000}"/>
    <cellStyle name="Warning Text 2 3" xfId="4003" xr:uid="{00000000-0005-0000-0000-0000BD0F0000}"/>
    <cellStyle name="Warning Text 2 4" xfId="4004" xr:uid="{00000000-0005-0000-0000-0000BE0F0000}"/>
    <cellStyle name="Warning Text 2 5" xfId="4005" xr:uid="{00000000-0005-0000-0000-0000BF0F0000}"/>
    <cellStyle name="Warning Text 2 6" xfId="4006" xr:uid="{00000000-0005-0000-0000-0000C00F0000}"/>
    <cellStyle name="Warning Text 2 7" xfId="4007" xr:uid="{00000000-0005-0000-0000-0000C10F0000}"/>
    <cellStyle name="Warning Text 2 8" xfId="4008" xr:uid="{00000000-0005-0000-0000-0000C20F0000}"/>
    <cellStyle name="Warning Text 2 9" xfId="4009" xr:uid="{00000000-0005-0000-0000-0000C30F0000}"/>
    <cellStyle name="Warning Text 3" xfId="153" xr:uid="{00000000-0005-0000-0000-0000C40F0000}"/>
    <cellStyle name="Warning Text 3 10" xfId="4011" xr:uid="{00000000-0005-0000-0000-0000C50F0000}"/>
    <cellStyle name="Warning Text 3 11" xfId="4012" xr:uid="{00000000-0005-0000-0000-0000C60F0000}"/>
    <cellStyle name="Warning Text 3 12" xfId="4010" xr:uid="{00000000-0005-0000-0000-0000C70F0000}"/>
    <cellStyle name="Warning Text 3 2" xfId="1772" xr:uid="{00000000-0005-0000-0000-0000C80F0000}"/>
    <cellStyle name="Warning Text 3 2 2" xfId="4013" xr:uid="{00000000-0005-0000-0000-0000C90F0000}"/>
    <cellStyle name="Warning Text 3 3" xfId="4014" xr:uid="{00000000-0005-0000-0000-0000CA0F0000}"/>
    <cellStyle name="Warning Text 3 4" xfId="4015" xr:uid="{00000000-0005-0000-0000-0000CB0F0000}"/>
    <cellStyle name="Warning Text 3 5" xfId="4016" xr:uid="{00000000-0005-0000-0000-0000CC0F0000}"/>
    <cellStyle name="Warning Text 3 6" xfId="4017" xr:uid="{00000000-0005-0000-0000-0000CD0F0000}"/>
    <cellStyle name="Warning Text 3 7" xfId="4018" xr:uid="{00000000-0005-0000-0000-0000CE0F0000}"/>
    <cellStyle name="Warning Text 3 8" xfId="4019" xr:uid="{00000000-0005-0000-0000-0000CF0F0000}"/>
    <cellStyle name="Warning Text 3 9" xfId="4020" xr:uid="{00000000-0005-0000-0000-0000D00F0000}"/>
    <cellStyle name="Warning Text 4" xfId="1773" xr:uid="{00000000-0005-0000-0000-0000D10F0000}"/>
    <cellStyle name="Warning Text 4 10" xfId="4022" xr:uid="{00000000-0005-0000-0000-0000D20F0000}"/>
    <cellStyle name="Warning Text 4 11" xfId="4023" xr:uid="{00000000-0005-0000-0000-0000D30F0000}"/>
    <cellStyle name="Warning Text 4 12" xfId="4021" xr:uid="{00000000-0005-0000-0000-0000D40F0000}"/>
    <cellStyle name="Warning Text 4 2" xfId="4024" xr:uid="{00000000-0005-0000-0000-0000D50F0000}"/>
    <cellStyle name="Warning Text 4 3" xfId="4025" xr:uid="{00000000-0005-0000-0000-0000D60F0000}"/>
    <cellStyle name="Warning Text 4 4" xfId="4026" xr:uid="{00000000-0005-0000-0000-0000D70F0000}"/>
    <cellStyle name="Warning Text 4 5" xfId="4027" xr:uid="{00000000-0005-0000-0000-0000D80F0000}"/>
    <cellStyle name="Warning Text 4 6" xfId="4028" xr:uid="{00000000-0005-0000-0000-0000D90F0000}"/>
    <cellStyle name="Warning Text 4 7" xfId="4029" xr:uid="{00000000-0005-0000-0000-0000DA0F0000}"/>
    <cellStyle name="Warning Text 4 8" xfId="4030" xr:uid="{00000000-0005-0000-0000-0000DB0F0000}"/>
    <cellStyle name="Warning Text 4 9" xfId="4031" xr:uid="{00000000-0005-0000-0000-0000DC0F0000}"/>
    <cellStyle name="Warning Text 5" xfId="4032" xr:uid="{00000000-0005-0000-0000-0000DD0F0000}"/>
    <cellStyle name="Warning Text 5 10" xfId="4033" xr:uid="{00000000-0005-0000-0000-0000DE0F0000}"/>
    <cellStyle name="Warning Text 5 11" xfId="4034" xr:uid="{00000000-0005-0000-0000-0000DF0F0000}"/>
    <cellStyle name="Warning Text 5 2" xfId="4035" xr:uid="{00000000-0005-0000-0000-0000E00F0000}"/>
    <cellStyle name="Warning Text 5 3" xfId="4036" xr:uid="{00000000-0005-0000-0000-0000E10F0000}"/>
    <cellStyle name="Warning Text 5 4" xfId="4037" xr:uid="{00000000-0005-0000-0000-0000E20F0000}"/>
    <cellStyle name="Warning Text 5 5" xfId="4038" xr:uid="{00000000-0005-0000-0000-0000E30F0000}"/>
    <cellStyle name="Warning Text 5 6" xfId="4039" xr:uid="{00000000-0005-0000-0000-0000E40F0000}"/>
    <cellStyle name="Warning Text 5 7" xfId="4040" xr:uid="{00000000-0005-0000-0000-0000E50F0000}"/>
    <cellStyle name="Warning Text 5 8" xfId="4041" xr:uid="{00000000-0005-0000-0000-0000E60F0000}"/>
    <cellStyle name="Warning Text 5 9" xfId="4042" xr:uid="{00000000-0005-0000-0000-0000E70F0000}"/>
    <cellStyle name="Warning Text 6" xfId="4043" xr:uid="{00000000-0005-0000-0000-0000E80F0000}"/>
    <cellStyle name="Warning Text 7" xfId="4044" xr:uid="{00000000-0005-0000-0000-0000E90F0000}"/>
    <cellStyle name="Warning Text 8" xfId="4045" xr:uid="{00000000-0005-0000-0000-0000EA0F0000}"/>
    <cellStyle name="Warning Text 9" xfId="4046" xr:uid="{00000000-0005-0000-0000-0000EB0F0000}"/>
    <cellStyle name="Year" xfId="4047" xr:uid="{00000000-0005-0000-0000-0000EC0F0000}"/>
    <cellStyle name="เครื่องหมายจุลภาค [0]_FEB00" xfId="4080" xr:uid="{00000000-0005-0000-0000-0000F00F0000}"/>
    <cellStyle name="เครื่องหมายจุลภาค_FEB00" xfId="4081" xr:uid="{00000000-0005-0000-0000-0000F10F0000}"/>
    <cellStyle name="เครื่องหมายสกุลเงิน [0]_FEB00" xfId="4082" xr:uid="{00000000-0005-0000-0000-0000F20F0000}"/>
    <cellStyle name="เครื่องหมายสกุลเงิน_FEB00" xfId="4083" xr:uid="{00000000-0005-0000-0000-0000F30F0000}"/>
    <cellStyle name="เซลล์ตรวจสอบ" xfId="4048" xr:uid="{00000000-0005-0000-0000-0000F50F0000}"/>
    <cellStyle name="เซลล์ที่มีการเชื่อมโยง" xfId="4049" xr:uid="{00000000-0005-0000-0000-0000F60F0000}"/>
    <cellStyle name="แย่" xfId="4050" xr:uid="{00000000-0005-0000-0000-0000FD0F0000}"/>
    <cellStyle name="แสดงผล" xfId="4051" xr:uid="{00000000-0005-0000-0000-000009100000}"/>
    <cellStyle name="การคำนวณ" xfId="4052" xr:uid="{00000000-0005-0000-0000-0000ED0F0000}"/>
    <cellStyle name="ข้อความเตือน" xfId="4053" xr:uid="{00000000-0005-0000-0000-0000EE0F0000}"/>
    <cellStyle name="ข้อความอธิบาย" xfId="4054" xr:uid="{00000000-0005-0000-0000-0000EF0F0000}"/>
    <cellStyle name="ชื่อเรื่อง" xfId="4055" xr:uid="{00000000-0005-0000-0000-0000F40F0000}"/>
    <cellStyle name="ดี" xfId="4056" xr:uid="{00000000-0005-0000-0000-0000F70F0000}"/>
    <cellStyle name="น้บะภฒ_95" xfId="154" xr:uid="{00000000-0005-0000-0000-0000F80F0000}"/>
    <cellStyle name="ปกติ_C04AUG42" xfId="4084" xr:uid="{00000000-0005-0000-0000-0000F90F0000}"/>
    <cellStyle name="ป้อนค่า" xfId="4057" xr:uid="{00000000-0005-0000-0000-0000FA0F0000}"/>
    <cellStyle name="ปานกลาง" xfId="4058" xr:uid="{00000000-0005-0000-0000-0000FB0F0000}"/>
    <cellStyle name="ผลรวม" xfId="4059" xr:uid="{00000000-0005-0000-0000-0000FC0F0000}"/>
    <cellStyle name="ฤธถ [0]_95" xfId="155" xr:uid="{00000000-0005-0000-0000-0000FE0F0000}"/>
    <cellStyle name="ฤธถ_95" xfId="156" xr:uid="{00000000-0005-0000-0000-0000FF0F0000}"/>
    <cellStyle name="ล๋ศญ [0]_95" xfId="157" xr:uid="{00000000-0005-0000-0000-000000100000}"/>
    <cellStyle name="ล๋ศญ_95" xfId="158" xr:uid="{00000000-0005-0000-0000-000001100000}"/>
    <cellStyle name="วฅมุ_4ฟ๙ฝวภ๛" xfId="159" xr:uid="{00000000-0005-0000-0000-000002100000}"/>
    <cellStyle name="ส่วนที่ถูกเน้น1" xfId="4061" xr:uid="{00000000-0005-0000-0000-000003100000}"/>
    <cellStyle name="ส่วนที่ถูกเน้น2" xfId="4062" xr:uid="{00000000-0005-0000-0000-000004100000}"/>
    <cellStyle name="ส่วนที่ถูกเน้น3" xfId="4063" xr:uid="{00000000-0005-0000-0000-000005100000}"/>
    <cellStyle name="ส่วนที่ถูกเน้น4" xfId="4064" xr:uid="{00000000-0005-0000-0000-000006100000}"/>
    <cellStyle name="ส่วนที่ถูกเน้น5" xfId="4065" xr:uid="{00000000-0005-0000-0000-000007100000}"/>
    <cellStyle name="ส่วนที่ถูกเน้น6" xfId="4066" xr:uid="{00000000-0005-0000-0000-000008100000}"/>
    <cellStyle name="หมายเหตุ" xfId="4067" xr:uid="{00000000-0005-0000-0000-00000A100000}"/>
    <cellStyle name="หัวเรื่อง 1" xfId="4068" xr:uid="{00000000-0005-0000-0000-00000B100000}"/>
    <cellStyle name="หัวเรื่อง 2" xfId="4069" xr:uid="{00000000-0005-0000-0000-00000C100000}"/>
    <cellStyle name="หัวเรื่อง 3" xfId="4070" xr:uid="{00000000-0005-0000-0000-00000D100000}"/>
    <cellStyle name="หัวเรื่อง 4" xfId="4071" xr:uid="{00000000-0005-0000-0000-00000E100000}"/>
  </cellStyles>
  <dxfs count="27">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0000FF"/>
      <color rgb="FF93FFFF"/>
      <color rgb="FF00FF00"/>
      <color rgb="FF40CCF2"/>
      <color rgb="FFE265FF"/>
      <color rgb="FFFFA7FF"/>
      <color rgb="FFCCFFFF"/>
      <color rgb="FFFFE5FF"/>
      <color rgb="FF8ADFF6"/>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customXml" Target="../customXml/item1.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n-US"/>
              <a:t>Legal Reserve Level (KT)</a:t>
            </a:r>
          </a:p>
        </c:rich>
      </c:tx>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manualLayout>
          <c:layoutTarget val="inner"/>
          <c:xMode val="edge"/>
          <c:yMode val="edge"/>
          <c:x val="4.4034341684634347E-2"/>
          <c:y val="0.1055575987736961"/>
          <c:w val="0.93808229166666668"/>
          <c:h val="0.70328300923574238"/>
        </c:manualLayout>
      </c:layout>
      <c:barChart>
        <c:barDir val="col"/>
        <c:grouping val="stacked"/>
        <c:varyColors val="0"/>
        <c:ser>
          <c:idx val="0"/>
          <c:order val="0"/>
          <c:tx>
            <c:strRef>
              <c:f>'LR monthly'!$A$41</c:f>
              <c:strCache>
                <c:ptCount val="1"/>
                <c:pt idx="0">
                  <c:v>Stock (GSP RY+MT+BRP)</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monthly'!$R$39:$AC$39</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'LR monthly'!$R$41:$AC$41</c:f>
              <c:numCache>
                <c:formatCode>_-* #,##0_-;\-* #,##0_-;_-* "-"??_-;_-@_-</c:formatCode>
                <c:ptCount val="12"/>
                <c:pt idx="0">
                  <c:v>34.759662528000007</c:v>
                </c:pt>
                <c:pt idx="1">
                  <c:v>57.883348200000015</c:v>
                </c:pt>
                <c:pt idx="2">
                  <c:v>60.457428200000066</c:v>
                </c:pt>
                <c:pt idx="3">
                  <c:v>45.649966310734726</c:v>
                </c:pt>
                <c:pt idx="4">
                  <c:v>-24.510595059265292</c:v>
                </c:pt>
                <c:pt idx="5">
                  <c:v>22.969749150734657</c:v>
                </c:pt>
                <c:pt idx="6">
                  <c:v>11.554623120734654</c:v>
                </c:pt>
                <c:pt idx="7">
                  <c:v>2.3542579919886037</c:v>
                </c:pt>
                <c:pt idx="8">
                  <c:v>-1.5475656894848413</c:v>
                </c:pt>
                <c:pt idx="9">
                  <c:v>14.639856115687536</c:v>
                </c:pt>
                <c:pt idx="10">
                  <c:v>8.6498324585311792</c:v>
                </c:pt>
                <c:pt idx="11">
                  <c:v>-0.24078273083576107</c:v>
                </c:pt>
              </c:numCache>
            </c:numRef>
          </c:val>
          <c:extLst>
            <c:ext xmlns:c16="http://schemas.microsoft.com/office/drawing/2014/chart" uri="{C3380CC4-5D6E-409C-BE32-E72D297353CC}">
              <c16:uniqueId val="{00000000-1B8A-47D3-BB35-46E1F02FFA23}"/>
            </c:ext>
          </c:extLst>
        </c:ser>
        <c:ser>
          <c:idx val="1"/>
          <c:order val="1"/>
          <c:tx>
            <c:strRef>
              <c:f>'LR monthly'!$A$42</c:f>
              <c:strCache>
                <c:ptCount val="1"/>
                <c:pt idx="0">
                  <c:v>Import Cargo</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monthly'!$R$39:$AC$39</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'LR monthly'!$R$42:$AC$42</c:f>
              <c:numCache>
                <c:formatCode>_-* #,##0_-;\-* #,##0_-;_-* "-"??_-;_-@_-</c:formatCode>
                <c:ptCount val="12"/>
                <c:pt idx="0">
                  <c:v>44</c:v>
                </c:pt>
                <c:pt idx="1">
                  <c:v>44</c:v>
                </c:pt>
                <c:pt idx="2">
                  <c:v>29</c:v>
                </c:pt>
                <c:pt idx="3">
                  <c:v>26</c:v>
                </c:pt>
                <c:pt idx="4">
                  <c:v>88</c:v>
                </c:pt>
                <c:pt idx="5">
                  <c:v>44</c:v>
                </c:pt>
                <c:pt idx="6">
                  <c:v>44</c:v>
                </c:pt>
                <c:pt idx="7">
                  <c:v>44</c:v>
                </c:pt>
                <c:pt idx="8">
                  <c:v>44</c:v>
                </c:pt>
                <c:pt idx="9">
                  <c:v>37.168999999999997</c:v>
                </c:pt>
                <c:pt idx="10">
                  <c:v>44</c:v>
                </c:pt>
                <c:pt idx="11">
                  <c:v>44</c:v>
                </c:pt>
              </c:numCache>
            </c:numRef>
          </c:val>
          <c:extLst>
            <c:ext xmlns:c16="http://schemas.microsoft.com/office/drawing/2014/chart" uri="{C3380CC4-5D6E-409C-BE32-E72D297353CC}">
              <c16:uniqueId val="{00000001-1B8A-47D3-BB35-46E1F02FFA23}"/>
            </c:ext>
          </c:extLst>
        </c:ser>
        <c:dLbls>
          <c:dLblPos val="inBase"/>
          <c:showLegendKey val="0"/>
          <c:showVal val="1"/>
          <c:showCatName val="0"/>
          <c:showSerName val="0"/>
          <c:showPercent val="0"/>
          <c:showBubbleSize val="0"/>
        </c:dLbls>
        <c:gapWidth val="150"/>
        <c:overlap val="100"/>
        <c:axId val="820322728"/>
        <c:axId val="820331584"/>
      </c:barChart>
      <c:lineChart>
        <c:grouping val="standard"/>
        <c:varyColors val="0"/>
        <c:ser>
          <c:idx val="2"/>
          <c:order val="2"/>
          <c:tx>
            <c:strRef>
              <c:f>'LR monthly'!$A$43:$C$43</c:f>
              <c:strCache>
                <c:ptCount val="2"/>
                <c:pt idx="0">
                  <c:v>LR by Legal </c:v>
                </c:pt>
              </c:strCache>
            </c:strRef>
          </c:tx>
          <c:spPr>
            <a:ln w="28575" cap="rnd">
              <a:solidFill>
                <a:srgbClr val="C00000"/>
              </a:solidFill>
              <a:round/>
            </a:ln>
            <a:effectLst/>
          </c:spPr>
          <c:marker>
            <c:symbol val="none"/>
          </c:marker>
          <c:dLbls>
            <c:delete val="1"/>
          </c:dLbls>
          <c:cat>
            <c:numRef>
              <c:f>'LR monthly'!$R$39:$AC$39</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'LR monthly'!$R$43:$AC$43</c:f>
              <c:numCache>
                <c:formatCode>General</c:formatCode>
                <c:ptCount val="12"/>
                <c:pt idx="0">
                  <c:v>19</c:v>
                </c:pt>
                <c:pt idx="1">
                  <c:v>19</c:v>
                </c:pt>
                <c:pt idx="2">
                  <c:v>19</c:v>
                </c:pt>
                <c:pt idx="3">
                  <c:v>19</c:v>
                </c:pt>
                <c:pt idx="4">
                  <c:v>19</c:v>
                </c:pt>
                <c:pt idx="5">
                  <c:v>19</c:v>
                </c:pt>
                <c:pt idx="6">
                  <c:v>19</c:v>
                </c:pt>
                <c:pt idx="7">
                  <c:v>19</c:v>
                </c:pt>
                <c:pt idx="8">
                  <c:v>19</c:v>
                </c:pt>
                <c:pt idx="9">
                  <c:v>19</c:v>
                </c:pt>
                <c:pt idx="10">
                  <c:v>19</c:v>
                </c:pt>
                <c:pt idx="11">
                  <c:v>19</c:v>
                </c:pt>
              </c:numCache>
            </c:numRef>
          </c:val>
          <c:smooth val="0"/>
          <c:extLst>
            <c:ext xmlns:c16="http://schemas.microsoft.com/office/drawing/2014/chart" uri="{C3380CC4-5D6E-409C-BE32-E72D297353CC}">
              <c16:uniqueId val="{00000002-1B8A-47D3-BB35-46E1F02FFA23}"/>
            </c:ext>
          </c:extLst>
        </c:ser>
        <c:ser>
          <c:idx val="3"/>
          <c:order val="3"/>
          <c:tx>
            <c:strRef>
              <c:f>'LR monthly'!$A$44:$C$44</c:f>
              <c:strCache>
                <c:ptCount val="2"/>
                <c:pt idx="0">
                  <c:v>LR by Internal Control</c:v>
                </c:pt>
              </c:strCache>
            </c:strRef>
          </c:tx>
          <c:spPr>
            <a:ln w="28575" cap="rnd">
              <a:solidFill>
                <a:srgbClr val="C00000"/>
              </a:solidFill>
              <a:prstDash val="sysDot"/>
              <a:round/>
            </a:ln>
            <a:effectLst/>
          </c:spPr>
          <c:marker>
            <c:symbol val="none"/>
          </c:marker>
          <c:dLbls>
            <c:delete val="1"/>
          </c:dLbls>
          <c:cat>
            <c:numRef>
              <c:f>'LR monthly'!$R$39:$AC$39</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'LR monthly'!$R$44:$AC$44</c:f>
              <c:numCache>
                <c:formatCode>General</c:formatCode>
                <c:ptCount val="12"/>
                <c:pt idx="0">
                  <c:v>36</c:v>
                </c:pt>
                <c:pt idx="1">
                  <c:v>36</c:v>
                </c:pt>
                <c:pt idx="2">
                  <c:v>36</c:v>
                </c:pt>
                <c:pt idx="3">
                  <c:v>36</c:v>
                </c:pt>
                <c:pt idx="4">
                  <c:v>36</c:v>
                </c:pt>
                <c:pt idx="5">
                  <c:v>36</c:v>
                </c:pt>
                <c:pt idx="6">
                  <c:v>36</c:v>
                </c:pt>
                <c:pt idx="7">
                  <c:v>36</c:v>
                </c:pt>
                <c:pt idx="8">
                  <c:v>36</c:v>
                </c:pt>
                <c:pt idx="9">
                  <c:v>36</c:v>
                </c:pt>
                <c:pt idx="10">
                  <c:v>36</c:v>
                </c:pt>
                <c:pt idx="11">
                  <c:v>36</c:v>
                </c:pt>
              </c:numCache>
            </c:numRef>
          </c:val>
          <c:smooth val="0"/>
          <c:extLst>
            <c:ext xmlns:c16="http://schemas.microsoft.com/office/drawing/2014/chart" uri="{C3380CC4-5D6E-409C-BE32-E72D297353CC}">
              <c16:uniqueId val="{00000003-1B8A-47D3-BB35-46E1F02FFA23}"/>
            </c:ext>
          </c:extLst>
        </c:ser>
        <c:ser>
          <c:idx val="4"/>
          <c:order val="4"/>
          <c:tx>
            <c:strRef>
              <c:f>'LR monthly'!$A$40</c:f>
              <c:strCache>
                <c:ptCount val="1"/>
                <c:pt idx="0">
                  <c:v>Total LR (GSP RY+MT+BRP)</c:v>
                </c:pt>
              </c:strCache>
            </c:strRef>
          </c:tx>
          <c:spPr>
            <a:ln w="28575" cap="rnd">
              <a:solidFill>
                <a:schemeClr val="accent5">
                  <a:lumMod val="75000"/>
                </a:schemeClr>
              </a:solidFill>
              <a:round/>
            </a:ln>
            <a:effectLst/>
          </c:spPr>
          <c:marker>
            <c:symbol val="none"/>
          </c:marker>
          <c:dLbls>
            <c:spPr>
              <a:noFill/>
              <a:ln>
                <a:noFill/>
              </a:ln>
              <a:effectLst/>
            </c:spPr>
            <c:txPr>
              <a:bodyPr rot="0" spcFirstLastPara="1" vertOverflow="ellipsis" vert="horz" wrap="square" anchor="ctr" anchorCtr="1"/>
              <a:lstStyle/>
              <a:p>
                <a:pPr>
                  <a:defRPr sz="1200" b="1" i="0" u="none" strike="noStrike" kern="1200" baseline="0">
                    <a:solidFill>
                      <a:schemeClr val="accent5">
                        <a:lumMod val="7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monthly'!$R$39:$AC$39</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'LR monthly'!$R$40:$AC$40</c:f>
              <c:numCache>
                <c:formatCode>_-* #,##0_-;\-* #,##0_-;_-* "-"??_-;_-@_-</c:formatCode>
                <c:ptCount val="12"/>
                <c:pt idx="0">
                  <c:v>78.759662528000007</c:v>
                </c:pt>
                <c:pt idx="1">
                  <c:v>101.88334820000001</c:v>
                </c:pt>
                <c:pt idx="2">
                  <c:v>89.457428200000066</c:v>
                </c:pt>
                <c:pt idx="3">
                  <c:v>71.649966310734726</c:v>
                </c:pt>
                <c:pt idx="4">
                  <c:v>63.489404940734708</c:v>
                </c:pt>
                <c:pt idx="5">
                  <c:v>66.969749150734657</c:v>
                </c:pt>
                <c:pt idx="6">
                  <c:v>55.554623120734654</c:v>
                </c:pt>
                <c:pt idx="7">
                  <c:v>46.354257991988604</c:v>
                </c:pt>
                <c:pt idx="8">
                  <c:v>42.452434310515159</c:v>
                </c:pt>
                <c:pt idx="9">
                  <c:v>51.808856115687533</c:v>
                </c:pt>
                <c:pt idx="10">
                  <c:v>52.649832458531179</c:v>
                </c:pt>
                <c:pt idx="11">
                  <c:v>43.759217269164239</c:v>
                </c:pt>
              </c:numCache>
            </c:numRef>
          </c:val>
          <c:smooth val="0"/>
          <c:extLst>
            <c:ext xmlns:c16="http://schemas.microsoft.com/office/drawing/2014/chart" uri="{C3380CC4-5D6E-409C-BE32-E72D297353CC}">
              <c16:uniqueId val="{00000004-1B8A-47D3-BB35-46E1F02FFA23}"/>
            </c:ext>
          </c:extLst>
        </c:ser>
        <c:dLbls>
          <c:showLegendKey val="0"/>
          <c:showVal val="1"/>
          <c:showCatName val="0"/>
          <c:showSerName val="0"/>
          <c:showPercent val="0"/>
          <c:showBubbleSize val="0"/>
        </c:dLbls>
        <c:marker val="1"/>
        <c:smooth val="0"/>
        <c:axId val="820322728"/>
        <c:axId val="820331584"/>
      </c:lineChart>
      <c:dateAx>
        <c:axId val="82032272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20331584"/>
        <c:crosses val="autoZero"/>
        <c:auto val="1"/>
        <c:lblOffset val="100"/>
        <c:baseTimeUnit val="months"/>
      </c:dateAx>
      <c:valAx>
        <c:axId val="820331584"/>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20322728"/>
        <c:crosses val="autoZero"/>
        <c:crossBetween val="between"/>
      </c:valAx>
      <c:spPr>
        <a:noFill/>
        <a:ln>
          <a:noFill/>
        </a:ln>
        <a:effectLst/>
      </c:spPr>
    </c:plotArea>
    <c:legend>
      <c:legendPos val="b"/>
      <c:layout>
        <c:manualLayout>
          <c:xMode val="edge"/>
          <c:yMode val="edge"/>
          <c:x val="3.9623357461448933E-2"/>
          <c:y val="0.88408282828282825"/>
          <c:w val="0.95058993055555563"/>
          <c:h val="0.10052323232323232"/>
        </c:manualLayout>
      </c:layout>
      <c:overlay val="0"/>
      <c:spPr>
        <a:noFill/>
        <a:ln>
          <a:noFill/>
        </a:ln>
        <a:effectLst/>
      </c:spPr>
      <c:txPr>
        <a:bodyPr rot="0" spcFirstLastPara="1" vertOverflow="ellipsis" vert="horz" wrap="square" anchor="ctr" anchorCtr="1"/>
        <a:lstStyle/>
        <a:p>
          <a:pPr>
            <a:defRPr sz="8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9525" cap="flat" cmpd="sng" algn="ctr">
      <a:noFill/>
      <a:round/>
    </a:ln>
    <a:effectLst/>
  </c:spPr>
  <c:txPr>
    <a:bodyPr/>
    <a:lstStyle/>
    <a:p>
      <a:pPr>
        <a:defRPr sz="1200" b="1">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n-US"/>
              <a:t>Legal Reserve Level (KT)</a:t>
            </a:r>
          </a:p>
        </c:rich>
      </c:tx>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manualLayout>
          <c:layoutTarget val="inner"/>
          <c:xMode val="edge"/>
          <c:yMode val="edge"/>
          <c:x val="4.4034341684634347E-2"/>
          <c:y val="0.1055575987736961"/>
          <c:w val="0.93808229166666668"/>
          <c:h val="0.70328300923574238"/>
        </c:manualLayout>
      </c:layout>
      <c:barChart>
        <c:barDir val="col"/>
        <c:grouping val="stacked"/>
        <c:varyColors val="0"/>
        <c:ser>
          <c:idx val="0"/>
          <c:order val="0"/>
          <c:tx>
            <c:strRef>
              <c:f>'[7]LR monthly'!$A$41</c:f>
              <c:strCache>
                <c:ptCount val="1"/>
                <c:pt idx="0">
                  <c:v>Stock (GSP RY+MT+BRP)</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'[7]LR monthly'!$Z$39:$AK$39</c:f>
              <c:strCach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strCache>
            </c:strRef>
          </c:cat>
          <c:val>
            <c:numRef>
              <c:f>'[7]LR monthly'!$Z$41:$AK$41</c:f>
              <c:numCache>
                <c:formatCode>General</c:formatCode>
                <c:ptCount val="12"/>
                <c:pt idx="0">
                  <c:v>7.4769520141219914</c:v>
                </c:pt>
                <c:pt idx="1">
                  <c:v>20.687051302899022</c:v>
                </c:pt>
                <c:pt idx="2">
                  <c:v>34.620751169639078</c:v>
                </c:pt>
                <c:pt idx="3">
                  <c:v>9.1204890911982588</c:v>
                </c:pt>
                <c:pt idx="4">
                  <c:v>27.708335264525033</c:v>
                </c:pt>
                <c:pt idx="5">
                  <c:v>18.859256933866497</c:v>
                </c:pt>
                <c:pt idx="6">
                  <c:v>5.4679863043651338</c:v>
                </c:pt>
                <c:pt idx="7">
                  <c:v>24.730638279991616</c:v>
                </c:pt>
                <c:pt idx="8">
                  <c:v>32.512408094713926</c:v>
                </c:pt>
                <c:pt idx="9">
                  <c:v>18.796143754181642</c:v>
                </c:pt>
                <c:pt idx="10">
                  <c:v>5.7095515258062193</c:v>
                </c:pt>
                <c:pt idx="11">
                  <c:v>25.494701359495949</c:v>
                </c:pt>
              </c:numCache>
            </c:numRef>
          </c:val>
          <c:extLst>
            <c:ext xmlns:c16="http://schemas.microsoft.com/office/drawing/2014/chart" uri="{C3380CC4-5D6E-409C-BE32-E72D297353CC}">
              <c16:uniqueId val="{00000000-5232-7944-BC3D-46476D76D884}"/>
            </c:ext>
          </c:extLst>
        </c:ser>
        <c:ser>
          <c:idx val="1"/>
          <c:order val="1"/>
          <c:tx>
            <c:strRef>
              <c:f>'[7]LR monthly'!$A$42</c:f>
              <c:strCache>
                <c:ptCount val="1"/>
                <c:pt idx="0">
                  <c:v>Import Cargo</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'[7]LR monthly'!$Z$39:$AK$39</c:f>
              <c:strCach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strCache>
            </c:strRef>
          </c:cat>
          <c:val>
            <c:numRef>
              <c:f>'[7]LR monthly'!$Z$42:$AK$42</c:f>
              <c:numCache>
                <c:formatCode>General</c:formatCode>
                <c:ptCount val="12"/>
                <c:pt idx="0">
                  <c:v>44</c:v>
                </c:pt>
                <c:pt idx="1">
                  <c:v>22</c:v>
                </c:pt>
                <c:pt idx="2">
                  <c:v>8.82</c:v>
                </c:pt>
                <c:pt idx="3">
                  <c:v>44</c:v>
                </c:pt>
                <c:pt idx="4">
                  <c:v>44</c:v>
                </c:pt>
                <c:pt idx="5">
                  <c:v>34</c:v>
                </c:pt>
                <c:pt idx="6">
                  <c:v>52.518999999999998</c:v>
                </c:pt>
                <c:pt idx="7">
                  <c:v>52.954000000000001</c:v>
                </c:pt>
                <c:pt idx="8">
                  <c:v>30.518999999999998</c:v>
                </c:pt>
                <c:pt idx="9">
                  <c:v>35.518999999999998</c:v>
                </c:pt>
                <c:pt idx="10">
                  <c:v>74.954000000000008</c:v>
                </c:pt>
                <c:pt idx="11">
                  <c:v>33.200000000000003</c:v>
                </c:pt>
              </c:numCache>
            </c:numRef>
          </c:val>
          <c:extLst>
            <c:ext xmlns:c16="http://schemas.microsoft.com/office/drawing/2014/chart" uri="{C3380CC4-5D6E-409C-BE32-E72D297353CC}">
              <c16:uniqueId val="{00000001-5232-7944-BC3D-46476D76D884}"/>
            </c:ext>
          </c:extLst>
        </c:ser>
        <c:dLbls>
          <c:dLblPos val="inBase"/>
          <c:showLegendKey val="0"/>
          <c:showVal val="1"/>
          <c:showCatName val="0"/>
          <c:showSerName val="0"/>
          <c:showPercent val="0"/>
          <c:showBubbleSize val="0"/>
        </c:dLbls>
        <c:gapWidth val="150"/>
        <c:overlap val="100"/>
        <c:axId val="820322728"/>
        <c:axId val="820331584"/>
      </c:barChart>
      <c:lineChart>
        <c:grouping val="standard"/>
        <c:varyColors val="0"/>
        <c:ser>
          <c:idx val="2"/>
          <c:order val="2"/>
          <c:tx>
            <c:strRef>
              <c:f>'[7]LR monthly'!$A$43:$C$43</c:f>
              <c:strCache>
                <c:ptCount val="3"/>
                <c:pt idx="0">
                  <c:v>LR by Legal </c:v>
                </c:pt>
              </c:strCache>
            </c:strRef>
          </c:tx>
          <c:spPr>
            <a:ln w="28575" cap="rnd">
              <a:solidFill>
                <a:srgbClr val="C00000"/>
              </a:solidFill>
              <a:round/>
            </a:ln>
            <a:effectLst/>
          </c:spPr>
          <c:marker>
            <c:symbol val="none"/>
          </c:marker>
          <c:dLbls>
            <c:delete val="1"/>
          </c:dLbls>
          <c:cat>
            <c:strRef>
              <c:f>'[7]LR monthly'!$Z$39:$AK$39</c:f>
              <c:strCach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strCache>
            </c:strRef>
          </c:cat>
          <c:val>
            <c:numRef>
              <c:f>'[7]LR monthly'!$Z$43:$AK$43</c:f>
              <c:numCache>
                <c:formatCode>General</c:formatCode>
                <c:ptCount val="12"/>
                <c:pt idx="0">
                  <c:v>22.03</c:v>
                </c:pt>
                <c:pt idx="1">
                  <c:v>22.03</c:v>
                </c:pt>
                <c:pt idx="2">
                  <c:v>37.6</c:v>
                </c:pt>
                <c:pt idx="3">
                  <c:v>37.6</c:v>
                </c:pt>
                <c:pt idx="4">
                  <c:v>37.6</c:v>
                </c:pt>
                <c:pt idx="5">
                  <c:v>37.6</c:v>
                </c:pt>
                <c:pt idx="6">
                  <c:v>37.6</c:v>
                </c:pt>
                <c:pt idx="7">
                  <c:v>37.6</c:v>
                </c:pt>
                <c:pt idx="8">
                  <c:v>37.6</c:v>
                </c:pt>
                <c:pt idx="9">
                  <c:v>37.6</c:v>
                </c:pt>
                <c:pt idx="10">
                  <c:v>37.6</c:v>
                </c:pt>
                <c:pt idx="11">
                  <c:v>37.6</c:v>
                </c:pt>
              </c:numCache>
            </c:numRef>
          </c:val>
          <c:smooth val="0"/>
          <c:extLst>
            <c:ext xmlns:c16="http://schemas.microsoft.com/office/drawing/2014/chart" uri="{C3380CC4-5D6E-409C-BE32-E72D297353CC}">
              <c16:uniqueId val="{00000002-5232-7944-BC3D-46476D76D884}"/>
            </c:ext>
          </c:extLst>
        </c:ser>
        <c:ser>
          <c:idx val="3"/>
          <c:order val="3"/>
          <c:tx>
            <c:strRef>
              <c:f>'[7]LR monthly'!$A$44:$C$44</c:f>
              <c:strCache>
                <c:ptCount val="3"/>
                <c:pt idx="0">
                  <c:v>LR by Internal Control</c:v>
                </c:pt>
              </c:strCache>
            </c:strRef>
          </c:tx>
          <c:spPr>
            <a:ln w="28575" cap="rnd">
              <a:solidFill>
                <a:srgbClr val="C00000"/>
              </a:solidFill>
              <a:prstDash val="sysDot"/>
              <a:round/>
            </a:ln>
            <a:effectLst/>
          </c:spPr>
          <c:marker>
            <c:symbol val="none"/>
          </c:marker>
          <c:dLbls>
            <c:delete val="1"/>
          </c:dLbls>
          <c:cat>
            <c:strRef>
              <c:f>'[7]LR monthly'!$Z$39:$AK$39</c:f>
              <c:strCach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strCache>
            </c:strRef>
          </c:cat>
          <c:val>
            <c:numRef>
              <c:f>'[7]LR monthly'!$Z$44:$AK$44</c:f>
              <c:numCache>
                <c:formatCode>General</c:formatCode>
                <c:ptCount val="12"/>
                <c:pt idx="0">
                  <c:v>39.03</c:v>
                </c:pt>
                <c:pt idx="1">
                  <c:v>39.03</c:v>
                </c:pt>
                <c:pt idx="2">
                  <c:v>54.6</c:v>
                </c:pt>
                <c:pt idx="3">
                  <c:v>54.6</c:v>
                </c:pt>
                <c:pt idx="4">
                  <c:v>54.6</c:v>
                </c:pt>
                <c:pt idx="5">
                  <c:v>54.6</c:v>
                </c:pt>
                <c:pt idx="6">
                  <c:v>54.6</c:v>
                </c:pt>
                <c:pt idx="7">
                  <c:v>54.6</c:v>
                </c:pt>
                <c:pt idx="8">
                  <c:v>54.6</c:v>
                </c:pt>
                <c:pt idx="9">
                  <c:v>54.6</c:v>
                </c:pt>
                <c:pt idx="10">
                  <c:v>54.6</c:v>
                </c:pt>
                <c:pt idx="11">
                  <c:v>54.6</c:v>
                </c:pt>
              </c:numCache>
            </c:numRef>
          </c:val>
          <c:smooth val="0"/>
          <c:extLst>
            <c:ext xmlns:c16="http://schemas.microsoft.com/office/drawing/2014/chart" uri="{C3380CC4-5D6E-409C-BE32-E72D297353CC}">
              <c16:uniqueId val="{00000003-5232-7944-BC3D-46476D76D884}"/>
            </c:ext>
          </c:extLst>
        </c:ser>
        <c:ser>
          <c:idx val="4"/>
          <c:order val="4"/>
          <c:tx>
            <c:strRef>
              <c:f>'[7]LR monthly'!$A$40</c:f>
              <c:strCache>
                <c:ptCount val="1"/>
                <c:pt idx="0">
                  <c:v>Total LR (GSP RY+MT+BRP)</c:v>
                </c:pt>
              </c:strCache>
            </c:strRef>
          </c:tx>
          <c:spPr>
            <a:ln w="28575" cap="rnd">
              <a:solidFill>
                <a:schemeClr val="accent5">
                  <a:lumMod val="75000"/>
                </a:schemeClr>
              </a:solidFill>
              <a:round/>
            </a:ln>
            <a:effectLst/>
          </c:spPr>
          <c:marker>
            <c:symbol val="none"/>
          </c:marker>
          <c:dLbls>
            <c:spPr>
              <a:noFill/>
              <a:ln>
                <a:noFill/>
              </a:ln>
              <a:effectLst/>
            </c:spPr>
            <c:txPr>
              <a:bodyPr rot="0" spcFirstLastPara="1" vertOverflow="ellipsis" vert="horz" wrap="square" anchor="ctr" anchorCtr="1"/>
              <a:lstStyle/>
              <a:p>
                <a:pPr>
                  <a:defRPr sz="1200" b="1" i="0" u="none" strike="noStrike" kern="1200" baseline="0">
                    <a:solidFill>
                      <a:schemeClr val="accent5">
                        <a:lumMod val="7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'[7]LR monthly'!$Z$39:$AK$39</c:f>
              <c:strCach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strCache>
            </c:strRef>
          </c:cat>
          <c:val>
            <c:numRef>
              <c:f>'[7]LR monthly'!$Z$40:$AK$40</c:f>
              <c:numCache>
                <c:formatCode>General</c:formatCode>
                <c:ptCount val="12"/>
                <c:pt idx="0">
                  <c:v>51.476952014121991</c:v>
                </c:pt>
                <c:pt idx="1">
                  <c:v>42.687051302899022</c:v>
                </c:pt>
                <c:pt idx="2">
                  <c:v>43.440751169639078</c:v>
                </c:pt>
                <c:pt idx="3">
                  <c:v>53.120489091198259</c:v>
                </c:pt>
                <c:pt idx="4">
                  <c:v>71.708335264525033</c:v>
                </c:pt>
                <c:pt idx="5">
                  <c:v>52.859256933866497</c:v>
                </c:pt>
                <c:pt idx="6">
                  <c:v>57.986986304365132</c:v>
                </c:pt>
                <c:pt idx="7">
                  <c:v>77.684638279991617</c:v>
                </c:pt>
                <c:pt idx="8">
                  <c:v>63.031408094713925</c:v>
                </c:pt>
                <c:pt idx="9">
                  <c:v>54.315143754181641</c:v>
                </c:pt>
                <c:pt idx="10">
                  <c:v>80.663551525806227</c:v>
                </c:pt>
                <c:pt idx="11">
                  <c:v>58.694701359495951</c:v>
                </c:pt>
              </c:numCache>
            </c:numRef>
          </c:val>
          <c:smooth val="0"/>
          <c:extLst>
            <c:ext xmlns:c16="http://schemas.microsoft.com/office/drawing/2014/chart" uri="{C3380CC4-5D6E-409C-BE32-E72D297353CC}">
              <c16:uniqueId val="{00000004-5232-7944-BC3D-46476D76D884}"/>
            </c:ext>
          </c:extLst>
        </c:ser>
        <c:dLbls>
          <c:showLegendKey val="0"/>
          <c:showVal val="1"/>
          <c:showCatName val="0"/>
          <c:showSerName val="0"/>
          <c:showPercent val="0"/>
          <c:showBubbleSize val="0"/>
        </c:dLbls>
        <c:marker val="1"/>
        <c:smooth val="0"/>
        <c:axId val="820322728"/>
        <c:axId val="820331584"/>
      </c:lineChart>
      <c:catAx>
        <c:axId val="820322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20331584"/>
        <c:crosses val="autoZero"/>
        <c:auto val="1"/>
        <c:lblAlgn val="ctr"/>
        <c:lblOffset val="100"/>
        <c:noMultiLvlLbl val="0"/>
      </c:catAx>
      <c:valAx>
        <c:axId val="820331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20322728"/>
        <c:crosses val="autoZero"/>
        <c:crossBetween val="between"/>
      </c:valAx>
      <c:spPr>
        <a:noFill/>
        <a:ln>
          <a:noFill/>
        </a:ln>
        <a:effectLst/>
      </c:spPr>
    </c:plotArea>
    <c:legend>
      <c:legendPos val="b"/>
      <c:layout>
        <c:manualLayout>
          <c:xMode val="edge"/>
          <c:yMode val="edge"/>
          <c:x val="3.9623357461448933E-2"/>
          <c:y val="0.88408282828282825"/>
          <c:w val="0.95058993055555563"/>
          <c:h val="0.10052323232323232"/>
        </c:manualLayout>
      </c:layout>
      <c:overlay val="0"/>
      <c:spPr>
        <a:noFill/>
        <a:ln>
          <a:noFill/>
        </a:ln>
        <a:effectLst/>
      </c:spPr>
      <c:txPr>
        <a:bodyPr rot="0" spcFirstLastPara="1" vertOverflow="ellipsis" vert="horz" wrap="square" anchor="ctr" anchorCtr="1"/>
        <a:lstStyle/>
        <a:p>
          <a:pPr>
            <a:defRPr sz="8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9525" cap="flat" cmpd="sng" algn="ctr">
      <a:noFill/>
      <a:round/>
    </a:ln>
    <a:effectLst/>
  </c:spPr>
  <c:txPr>
    <a:bodyPr/>
    <a:lstStyle/>
    <a:p>
      <a:pPr>
        <a:defRPr sz="1200" b="1">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%C3/LPG GSP RY Inventoy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[7]C3LPG!$H$3:$V$3</c:f>
              <c:strCache>
                <c:ptCount val="15"/>
                <c:pt idx="0">
                  <c:v>43679</c:v>
                </c:pt>
                <c:pt idx="1">
                  <c:v>43710</c:v>
                </c:pt>
                <c:pt idx="2">
                  <c:v>43740</c:v>
                </c:pt>
                <c:pt idx="3">
                  <c:v>43771</c:v>
                </c:pt>
                <c:pt idx="4">
                  <c:v>43801</c:v>
                </c:pt>
                <c:pt idx="5">
                  <c:v>43832</c:v>
                </c:pt>
                <c:pt idx="6">
                  <c:v>43863</c:v>
                </c:pt>
                <c:pt idx="7">
                  <c:v>43892</c:v>
                </c:pt>
                <c:pt idx="8">
                  <c:v>43923</c:v>
                </c:pt>
                <c:pt idx="9">
                  <c:v>43953</c:v>
                </c:pt>
                <c:pt idx="10">
                  <c:v>43984</c:v>
                </c:pt>
                <c:pt idx="11">
                  <c:v>44014</c:v>
                </c:pt>
                <c:pt idx="12">
                  <c:v>44045</c:v>
                </c:pt>
                <c:pt idx="13">
                  <c:v>44076</c:v>
                </c:pt>
                <c:pt idx="14">
                  <c:v>44106</c:v>
                </c:pt>
              </c:strCache>
            </c:strRef>
          </c:cat>
          <c:val>
            <c:numRef>
              <c:f>[7]C3LPG!$F$4:$V$4</c:f>
              <c:numCache>
                <c:formatCode>General</c:formatCode>
                <c:ptCount val="17"/>
              </c:numCache>
            </c:numRef>
          </c:val>
          <c:smooth val="0"/>
          <c:extLst>
            <c:ext xmlns:c16="http://schemas.microsoft.com/office/drawing/2014/chart" uri="{C3380CC4-5D6E-409C-BE32-E72D297353CC}">
              <c16:uniqueId val="{00000000-E3E1-FF47-90B8-C2E524088EDD}"/>
            </c:ext>
          </c:extLst>
        </c:ser>
        <c:ser>
          <c:idx val="3"/>
          <c:order val="1"/>
          <c:spPr>
            <a:ln w="28575" cap="rnd">
              <a:solidFill>
                <a:schemeClr val="accent4"/>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[7]C3LPG!$H$3:$V$3</c:f>
              <c:strCache>
                <c:ptCount val="15"/>
                <c:pt idx="0">
                  <c:v>43679</c:v>
                </c:pt>
                <c:pt idx="1">
                  <c:v>43710</c:v>
                </c:pt>
                <c:pt idx="2">
                  <c:v>43740</c:v>
                </c:pt>
                <c:pt idx="3">
                  <c:v>43771</c:v>
                </c:pt>
                <c:pt idx="4">
                  <c:v>43801</c:v>
                </c:pt>
                <c:pt idx="5">
                  <c:v>43832</c:v>
                </c:pt>
                <c:pt idx="6">
                  <c:v>43863</c:v>
                </c:pt>
                <c:pt idx="7">
                  <c:v>43892</c:v>
                </c:pt>
                <c:pt idx="8">
                  <c:v>43923</c:v>
                </c:pt>
                <c:pt idx="9">
                  <c:v>43953</c:v>
                </c:pt>
                <c:pt idx="10">
                  <c:v>43984</c:v>
                </c:pt>
                <c:pt idx="11">
                  <c:v>44014</c:v>
                </c:pt>
                <c:pt idx="12">
                  <c:v>44045</c:v>
                </c:pt>
                <c:pt idx="13">
                  <c:v>44076</c:v>
                </c:pt>
                <c:pt idx="14">
                  <c:v>44106</c:v>
                </c:pt>
              </c:strCache>
            </c:strRef>
          </c:cat>
          <c:val>
            <c:numRef>
              <c:f>[7]C3LPG!$H$7:$V$7</c:f>
              <c:numCache>
                <c:formatCode>General</c:formatCode>
                <c:ptCount val="15"/>
                <c:pt idx="0">
                  <c:v>0.39182363423008387</c:v>
                </c:pt>
                <c:pt idx="1">
                  <c:v>0.2216113230263459</c:v>
                </c:pt>
                <c:pt idx="2">
                  <c:v>0.59643698300303716</c:v>
                </c:pt>
                <c:pt idx="3">
                  <c:v>0.56993512537453628</c:v>
                </c:pt>
                <c:pt idx="4">
                  <c:v>0.64258389415354455</c:v>
                </c:pt>
                <c:pt idx="5">
                  <c:v>0.33910230182228851</c:v>
                </c:pt>
                <c:pt idx="6">
                  <c:v>0.72585738643227993</c:v>
                </c:pt>
                <c:pt idx="7">
                  <c:v>0.67877677003271597</c:v>
                </c:pt>
                <c:pt idx="8">
                  <c:v>0.37553485757121435</c:v>
                </c:pt>
                <c:pt idx="9">
                  <c:v>0.64516963887942547</c:v>
                </c:pt>
                <c:pt idx="10">
                  <c:v>0.31575862400307481</c:v>
                </c:pt>
                <c:pt idx="11">
                  <c:v>0.39326065497872936</c:v>
                </c:pt>
                <c:pt idx="12">
                  <c:v>0.3302990993824087</c:v>
                </c:pt>
                <c:pt idx="13">
                  <c:v>0.58301798614568867</c:v>
                </c:pt>
                <c:pt idx="14">
                  <c:v>0.31373027945586512</c:v>
                </c:pt>
              </c:numCache>
            </c:numRef>
          </c:val>
          <c:smooth val="0"/>
          <c:extLst>
            <c:ext xmlns:c16="http://schemas.microsoft.com/office/drawing/2014/chart" uri="{C3380CC4-5D6E-409C-BE32-E72D297353CC}">
              <c16:uniqueId val="{00000001-E3E1-FF47-90B8-C2E524088EDD}"/>
            </c:ext>
          </c:extLst>
        </c:ser>
        <c:dLbls>
          <c:dLblPos val="t"/>
          <c:showLegendKey val="0"/>
          <c:showVal val="1"/>
          <c:showCatName val="0"/>
          <c:showSerName val="0"/>
          <c:showPercent val="0"/>
          <c:showBubbleSize val="0"/>
        </c:dLbls>
        <c:smooth val="0"/>
        <c:axId val="482928624"/>
        <c:axId val="482928296"/>
      </c:lineChart>
      <c:catAx>
        <c:axId val="482928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928296"/>
        <c:crosses val="autoZero"/>
        <c:auto val="1"/>
        <c:lblAlgn val="ctr"/>
        <c:lblOffset val="100"/>
        <c:noMultiLvlLbl val="0"/>
      </c:catAx>
      <c:valAx>
        <c:axId val="482928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928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GSP Balance (KT)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[7]C3LPG!$A$59</c:f>
              <c:strCache>
                <c:ptCount val="1"/>
                <c:pt idx="0">
                  <c:v>C3/LPG GSP 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[7]C3LPG!$L$59:$X$59</c:f>
              <c:numCache>
                <c:formatCode>General</c:formatCode>
                <c:ptCount val="13"/>
                <c:pt idx="0">
                  <c:v>308.76</c:v>
                </c:pt>
                <c:pt idx="1">
                  <c:v>274.16699999999997</c:v>
                </c:pt>
                <c:pt idx="2">
                  <c:v>269</c:v>
                </c:pt>
                <c:pt idx="3">
                  <c:v>299.5</c:v>
                </c:pt>
                <c:pt idx="4">
                  <c:v>248.80099999999999</c:v>
                </c:pt>
                <c:pt idx="5">
                  <c:v>225</c:v>
                </c:pt>
                <c:pt idx="6">
                  <c:v>238.5</c:v>
                </c:pt>
                <c:pt idx="7">
                  <c:v>250.608</c:v>
                </c:pt>
                <c:pt idx="8">
                  <c:v>270.3</c:v>
                </c:pt>
                <c:pt idx="9">
                  <c:v>276</c:v>
                </c:pt>
                <c:pt idx="10">
                  <c:v>279.80200000000002</c:v>
                </c:pt>
                <c:pt idx="11">
                  <c:v>255.7</c:v>
                </c:pt>
                <c:pt idx="12">
                  <c:v>267.7</c:v>
                </c:pt>
              </c:numCache>
            </c:numRef>
          </c:val>
          <c:extLst>
            <c:ext xmlns:c15="http://schemas.microsoft.com/office/drawing/2012/chart" uri="{02D57815-91ED-43cb-92C2-25804820EDAC}">
              <c15:filteredCategoryTitle>
                <c15:cat>
                  <c:strRef>
                    <c:extLst>
                      <c:ext uri="{02D57815-91ED-43cb-92C2-25804820EDAC}">
                        <c15:formulaRef>
                          <c15:sqref>[7]C3LPG!$L$54:$X$54</c15:sqref>
                        </c15:formulaRef>
                      </c:ext>
                    </c:extLst>
                    <c:strCach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strCache>
                  </c:strRef>
                </c15:cat>
              </c15:filteredCategoryTitle>
            </c:ext>
            <c:ext xmlns:c16="http://schemas.microsoft.com/office/drawing/2014/chart" uri="{C3380CC4-5D6E-409C-BE32-E72D297353CC}">
              <c16:uniqueId val="{00000000-291F-B24D-9915-F59517B51E9E}"/>
            </c:ext>
          </c:extLst>
        </c:ser>
        <c:ser>
          <c:idx val="1"/>
          <c:order val="1"/>
          <c:tx>
            <c:strRef>
              <c:f>[7]C3LPG!$A$61</c:f>
              <c:strCache>
                <c:ptCount val="1"/>
                <c:pt idx="0">
                  <c:v>GC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[7]C3LPG!$L$61:$X$61</c:f>
              <c:numCache>
                <c:formatCode>General</c:formatCode>
                <c:ptCount val="13"/>
                <c:pt idx="0">
                  <c:v>25</c:v>
                </c:pt>
                <c:pt idx="1">
                  <c:v>20</c:v>
                </c:pt>
                <c:pt idx="2">
                  <c:v>18</c:v>
                </c:pt>
                <c:pt idx="3">
                  <c:v>7</c:v>
                </c:pt>
                <c:pt idx="4">
                  <c:v>2</c:v>
                </c:pt>
                <c:pt idx="5">
                  <c:v>6</c:v>
                </c:pt>
                <c:pt idx="6">
                  <c:v>0</c:v>
                </c:pt>
                <c:pt idx="7">
                  <c:v>4</c:v>
                </c:pt>
                <c:pt idx="8">
                  <c:v>1.2</c:v>
                </c:pt>
                <c:pt idx="9">
                  <c:v>0</c:v>
                </c:pt>
                <c:pt idx="10">
                  <c:v>0</c:v>
                </c:pt>
                <c:pt idx="11">
                  <c:v>13</c:v>
                </c:pt>
                <c:pt idx="12">
                  <c:v>11.6</c:v>
                </c:pt>
              </c:numCache>
            </c:numRef>
          </c:val>
          <c:extLst>
            <c:ext xmlns:c15="http://schemas.microsoft.com/office/drawing/2012/chart" uri="{02D57815-91ED-43cb-92C2-25804820EDAC}">
              <c15:filteredCategoryTitle>
                <c15:cat>
                  <c:strRef>
                    <c:extLst>
                      <c:ext uri="{02D57815-91ED-43cb-92C2-25804820EDAC}">
                        <c15:formulaRef>
                          <c15:sqref>[7]C3LPG!$L$54:$X$54</c15:sqref>
                        </c15:formulaRef>
                      </c:ext>
                    </c:extLst>
                    <c:strCach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strCache>
                  </c:strRef>
                </c15:cat>
              </c15:filteredCategoryTitle>
            </c:ext>
            <c:ext xmlns:c16="http://schemas.microsoft.com/office/drawing/2014/chart" uri="{C3380CC4-5D6E-409C-BE32-E72D297353CC}">
              <c16:uniqueId val="{00000001-291F-B24D-9915-F59517B51E9E}"/>
            </c:ext>
          </c:extLst>
        </c:ser>
        <c:ser>
          <c:idx val="2"/>
          <c:order val="2"/>
          <c:tx>
            <c:strRef>
              <c:f>[7]C3LPG!$A$62</c:f>
              <c:strCache>
                <c:ptCount val="1"/>
                <c:pt idx="0">
                  <c:v>SPRC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[7]C3LPG!$K$62:$X$62</c:f>
              <c:numCache>
                <c:formatCode>General</c:formatCode>
                <c:ptCount val="14"/>
                <c:pt idx="0">
                  <c:v>0</c:v>
                </c:pt>
                <c:pt idx="1">
                  <c:v>3.96</c:v>
                </c:pt>
                <c:pt idx="2">
                  <c:v>6.37</c:v>
                </c:pt>
                <c:pt idx="3">
                  <c:v>6.1</c:v>
                </c:pt>
                <c:pt idx="4">
                  <c:v>6.4799999999999995</c:v>
                </c:pt>
                <c:pt idx="5">
                  <c:v>4.3</c:v>
                </c:pt>
                <c:pt idx="6">
                  <c:v>3</c:v>
                </c:pt>
                <c:pt idx="7">
                  <c:v>3</c:v>
                </c:pt>
                <c:pt idx="8">
                  <c:v>3.5</c:v>
                </c:pt>
                <c:pt idx="9">
                  <c:v>3</c:v>
                </c:pt>
                <c:pt idx="10">
                  <c:v>3.6</c:v>
                </c:pt>
                <c:pt idx="11">
                  <c:v>6.7600000000000007</c:v>
                </c:pt>
                <c:pt idx="12">
                  <c:v>6.06</c:v>
                </c:pt>
                <c:pt idx="13">
                  <c:v>6.67</c:v>
                </c:pt>
              </c:numCache>
            </c:numRef>
          </c:val>
          <c:extLst>
            <c:ext xmlns:c15="http://schemas.microsoft.com/office/drawing/2012/chart" uri="{02D57815-91ED-43cb-92C2-25804820EDAC}">
              <c15:filteredCategoryTitle>
                <c15:cat>
                  <c:strRef>
                    <c:extLst>
                      <c:ext uri="{02D57815-91ED-43cb-92C2-25804820EDAC}">
                        <c15:formulaRef>
                          <c15:sqref>[7]C3LPG!$L$54:$X$54</c15:sqref>
                        </c15:formulaRef>
                      </c:ext>
                    </c:extLst>
                    <c:strCach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strCache>
                  </c:strRef>
                </c15:cat>
              </c15:filteredCategoryTitle>
            </c:ext>
            <c:ext xmlns:c16="http://schemas.microsoft.com/office/drawing/2014/chart" uri="{C3380CC4-5D6E-409C-BE32-E72D297353CC}">
              <c16:uniqueId val="{00000002-291F-B24D-9915-F59517B51E9E}"/>
            </c:ext>
          </c:extLst>
        </c:ser>
        <c:ser>
          <c:idx val="3"/>
          <c:order val="3"/>
          <c:tx>
            <c:strRef>
              <c:f>[7]C3LPG!$A$63</c:f>
              <c:strCache>
                <c:ptCount val="1"/>
                <c:pt idx="0">
                  <c:v>PTTEP/LKB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[7]C3LPG!$L$63:$X$63</c:f>
              <c:numCache>
                <c:formatCode>General</c:formatCode>
                <c:ptCount val="13"/>
                <c:pt idx="0">
                  <c:v>6.05</c:v>
                </c:pt>
                <c:pt idx="1">
                  <c:v>6.2</c:v>
                </c:pt>
                <c:pt idx="2">
                  <c:v>5.66</c:v>
                </c:pt>
                <c:pt idx="3">
                  <c:v>6.0449999999999999</c:v>
                </c:pt>
                <c:pt idx="4">
                  <c:v>5.85</c:v>
                </c:pt>
                <c:pt idx="5">
                  <c:v>4.5999999999999996</c:v>
                </c:pt>
                <c:pt idx="6">
                  <c:v>5.7</c:v>
                </c:pt>
                <c:pt idx="7">
                  <c:v>5.7</c:v>
                </c:pt>
                <c:pt idx="8">
                  <c:v>5.68</c:v>
                </c:pt>
                <c:pt idx="9">
                  <c:v>5.4</c:v>
                </c:pt>
                <c:pt idx="10">
                  <c:v>5.8</c:v>
                </c:pt>
                <c:pt idx="11">
                  <c:v>5.4</c:v>
                </c:pt>
                <c:pt idx="12">
                  <c:v>5.58</c:v>
                </c:pt>
              </c:numCache>
            </c:numRef>
          </c:val>
          <c:extLst>
            <c:ext xmlns:c15="http://schemas.microsoft.com/office/drawing/2012/chart" uri="{02D57815-91ED-43cb-92C2-25804820EDAC}">
              <c15:filteredCategoryTitle>
                <c15:cat>
                  <c:strRef>
                    <c:extLst>
                      <c:ext uri="{02D57815-91ED-43cb-92C2-25804820EDAC}">
                        <c15:formulaRef>
                          <c15:sqref>[7]C3LPG!$L$54:$X$54</c15:sqref>
                        </c15:formulaRef>
                      </c:ext>
                    </c:extLst>
                    <c:strCach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strCache>
                  </c:strRef>
                </c15:cat>
              </c15:filteredCategoryTitle>
            </c:ext>
            <c:ext xmlns:c16="http://schemas.microsoft.com/office/drawing/2014/chart" uri="{C3380CC4-5D6E-409C-BE32-E72D297353CC}">
              <c16:uniqueId val="{00000003-291F-B24D-9915-F59517B51E9E}"/>
            </c:ext>
          </c:extLst>
        </c:ser>
        <c:ser>
          <c:idx val="4"/>
          <c:order val="4"/>
          <c:tx>
            <c:strRef>
              <c:f>[7]C3LPG!$A$64</c:f>
              <c:strCache>
                <c:ptCount val="1"/>
                <c:pt idx="0">
                  <c:v>GSP KHM</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[7]C3LPG!$L$64:$X$64</c:f>
              <c:numCache>
                <c:formatCode>General</c:formatCode>
                <c:ptCount val="13"/>
                <c:pt idx="0">
                  <c:v>13.26</c:v>
                </c:pt>
                <c:pt idx="1">
                  <c:v>17</c:v>
                </c:pt>
                <c:pt idx="2">
                  <c:v>17.5</c:v>
                </c:pt>
                <c:pt idx="3">
                  <c:v>15</c:v>
                </c:pt>
                <c:pt idx="4">
                  <c:v>16.5</c:v>
                </c:pt>
                <c:pt idx="5">
                  <c:v>15</c:v>
                </c:pt>
                <c:pt idx="6">
                  <c:v>14.5</c:v>
                </c:pt>
                <c:pt idx="7">
                  <c:v>15.5</c:v>
                </c:pt>
                <c:pt idx="8">
                  <c:v>13.04</c:v>
                </c:pt>
                <c:pt idx="9">
                  <c:v>17.2</c:v>
                </c:pt>
                <c:pt idx="10">
                  <c:v>15.83</c:v>
                </c:pt>
                <c:pt idx="11">
                  <c:v>16.2</c:v>
                </c:pt>
                <c:pt idx="12">
                  <c:v>15.4</c:v>
                </c:pt>
              </c:numCache>
            </c:numRef>
          </c:val>
          <c:extLst>
            <c:ext xmlns:c15="http://schemas.microsoft.com/office/drawing/2012/chart" uri="{02D57815-91ED-43cb-92C2-25804820EDAC}">
              <c15:filteredCategoryTitle>
                <c15:cat>
                  <c:strRef>
                    <c:extLst>
                      <c:ext uri="{02D57815-91ED-43cb-92C2-25804820EDAC}">
                        <c15:formulaRef>
                          <c15:sqref>[7]C3LPG!$L$54:$X$54</c15:sqref>
                        </c15:formulaRef>
                      </c:ext>
                    </c:extLst>
                    <c:strCach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strCache>
                  </c:strRef>
                </c15:cat>
              </c15:filteredCategoryTitle>
            </c:ext>
            <c:ext xmlns:c16="http://schemas.microsoft.com/office/drawing/2014/chart" uri="{C3380CC4-5D6E-409C-BE32-E72D297353CC}">
              <c16:uniqueId val="{00000004-291F-B24D-9915-F59517B51E9E}"/>
            </c:ext>
          </c:extLst>
        </c:ser>
        <c:ser>
          <c:idx val="7"/>
          <c:order val="7"/>
          <c:tx>
            <c:v>ดึง import</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[7]C3LPG!$L$8:$X$8</c:f>
              <c:numCache>
                <c:formatCode>General</c:formatCode>
                <c:ptCount val="13"/>
                <c:pt idx="0">
                  <c:v>14.1</c:v>
                </c:pt>
                <c:pt idx="2">
                  <c:v>3.4</c:v>
                </c:pt>
                <c:pt idx="5">
                  <c:v>2</c:v>
                </c:pt>
                <c:pt idx="6">
                  <c:v>3.58</c:v>
                </c:pt>
                <c:pt idx="7">
                  <c:v>23</c:v>
                </c:pt>
                <c:pt idx="8">
                  <c:v>27</c:v>
                </c:pt>
                <c:pt idx="9">
                  <c:v>13</c:v>
                </c:pt>
                <c:pt idx="10">
                  <c:v>7</c:v>
                </c:pt>
                <c:pt idx="11">
                  <c:v>32</c:v>
                </c:pt>
                <c:pt idx="12">
                  <c:v>20.677</c:v>
                </c:pt>
              </c:numCache>
            </c:numRef>
          </c:val>
          <c:extLst>
            <c:ext xmlns:c15="http://schemas.microsoft.com/office/drawing/2012/chart" uri="{02D57815-91ED-43cb-92C2-25804820EDAC}">
              <c15:filteredCategoryTitle>
                <c15:cat>
                  <c:strRef>
                    <c:extLst>
                      <c:ext uri="{02D57815-91ED-43cb-92C2-25804820EDAC}">
                        <c15:formulaRef>
                          <c15:sqref>[7]C3LPG!$L$54:$X$54</c15:sqref>
                        </c15:formulaRef>
                      </c:ext>
                    </c:extLst>
                    <c:strCach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strCache>
                  </c:strRef>
                </c15:cat>
              </c15:filteredCategoryTitle>
            </c:ext>
            <c:ext xmlns:c16="http://schemas.microsoft.com/office/drawing/2014/chart" uri="{C3380CC4-5D6E-409C-BE32-E72D297353CC}">
              <c16:uniqueId val="{00000005-291F-B24D-9915-F59517B51E9E}"/>
            </c:ext>
          </c:extLst>
        </c:ser>
        <c:dLbls>
          <c:showLegendKey val="0"/>
          <c:showVal val="1"/>
          <c:showCatName val="0"/>
          <c:showSerName val="0"/>
          <c:showPercent val="0"/>
          <c:showBubbleSize val="0"/>
        </c:dLbls>
        <c:gapWidth val="150"/>
        <c:overlap val="100"/>
        <c:axId val="941146208"/>
        <c:axId val="941141288"/>
      </c:barChart>
      <c:lineChart>
        <c:grouping val="standard"/>
        <c:varyColors val="0"/>
        <c:ser>
          <c:idx val="5"/>
          <c:order val="5"/>
          <c:tx>
            <c:v>Demand</c:v>
          </c:tx>
          <c:spPr>
            <a:ln w="28575" cap="rnd">
              <a:solidFill>
                <a:srgbClr val="0000FF"/>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FF"/>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[7]C3LPG!$L$188:$X$188</c:f>
              <c:numCache>
                <c:formatCode>General</c:formatCode>
                <c:ptCount val="13"/>
                <c:pt idx="0">
                  <c:v>301.83112309999996</c:v>
                </c:pt>
                <c:pt idx="1">
                  <c:v>297.98329081999998</c:v>
                </c:pt>
                <c:pt idx="2">
                  <c:v>287.21145953000001</c:v>
                </c:pt>
                <c:pt idx="3">
                  <c:v>287.78300000000007</c:v>
                </c:pt>
                <c:pt idx="4">
                  <c:v>293.58999999999986</c:v>
                </c:pt>
                <c:pt idx="5">
                  <c:v>243.57659381000002</c:v>
                </c:pt>
                <c:pt idx="6">
                  <c:v>282.79017382000001</c:v>
                </c:pt>
                <c:pt idx="7">
                  <c:v>301.85999999999996</c:v>
                </c:pt>
                <c:pt idx="8">
                  <c:v>323.9323626373627</c:v>
                </c:pt>
                <c:pt idx="9">
                  <c:v>310.59999999999997</c:v>
                </c:pt>
                <c:pt idx="10">
                  <c:v>325.31</c:v>
                </c:pt>
                <c:pt idx="11">
                  <c:v>323.36240770999996</c:v>
                </c:pt>
                <c:pt idx="12">
                  <c:v>337.09400000000005</c:v>
                </c:pt>
              </c:numCache>
            </c:numRef>
          </c:val>
          <c:smooth val="0"/>
          <c:extLst>
            <c:ext xmlns:c16="http://schemas.microsoft.com/office/drawing/2014/chart" uri="{C3380CC4-5D6E-409C-BE32-E72D297353CC}">
              <c16:uniqueId val="{00000006-291F-B24D-9915-F59517B51E9E}"/>
            </c:ext>
          </c:extLst>
        </c:ser>
        <c:dLbls>
          <c:showLegendKey val="0"/>
          <c:showVal val="1"/>
          <c:showCatName val="0"/>
          <c:showSerName val="0"/>
          <c:showPercent val="0"/>
          <c:showBubbleSize val="0"/>
        </c:dLbls>
        <c:marker val="1"/>
        <c:smooth val="0"/>
        <c:axId val="941146208"/>
        <c:axId val="941141288"/>
      </c:lineChart>
      <c:lineChart>
        <c:grouping val="standard"/>
        <c:varyColors val="0"/>
        <c:ser>
          <c:idx val="6"/>
          <c:order val="6"/>
          <c:tx>
            <c:v>C3/LPG Inventory</c:v>
          </c:tx>
          <c:spPr>
            <a:ln w="28575" cap="rnd">
              <a:solidFill>
                <a:schemeClr val="tx1"/>
              </a:solidFill>
              <a:prstDash val="sysDot"/>
              <a:round/>
            </a:ln>
            <a:effectLst/>
          </c:spPr>
          <c:marker>
            <c:symbol val="none"/>
          </c:marker>
          <c:dLbls>
            <c:dLbl>
              <c:idx val="0"/>
              <c:layout>
                <c:manualLayout>
                  <c:x val="-2.6228983558950449E-2"/>
                  <c:y val="-5.9961896691653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91F-B24D-9915-F59517B51E9E}"/>
                </c:ext>
              </c:extLst>
            </c:dLbl>
            <c:dLbl>
              <c:idx val="1"/>
              <c:layout>
                <c:manualLayout>
                  <c:x val="-2.7834184511150585E-2"/>
                  <c:y val="3.4566370896057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91F-B24D-9915-F59517B51E9E}"/>
                </c:ext>
              </c:extLst>
            </c:dLbl>
            <c:dLbl>
              <c:idx val="2"/>
              <c:layout>
                <c:manualLayout>
                  <c:x val="-2.7834184511150585E-2"/>
                  <c:y val="3.820207349558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91F-B24D-9915-F59517B51E9E}"/>
                </c:ext>
              </c:extLst>
            </c:dLbl>
            <c:dLbl>
              <c:idx val="3"/>
              <c:layout>
                <c:manualLayout>
                  <c:x val="-2.7834184511150585E-2"/>
                  <c:y val="-2.360487069638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91F-B24D-9915-F59517B51E9E}"/>
                </c:ext>
              </c:extLst>
            </c:dLbl>
            <c:dLbl>
              <c:idx val="4"/>
              <c:layout>
                <c:manualLayout>
                  <c:x val="-2.6228983558950494E-2"/>
                  <c:y val="2.0023560497948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91F-B24D-9915-F59517B51E9E}"/>
                </c:ext>
              </c:extLst>
            </c:dLbl>
            <c:dLbl>
              <c:idx val="6"/>
              <c:layout>
                <c:manualLayout>
                  <c:x val="-2.6228983558950376E-2"/>
                  <c:y val="2.36592630974754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91F-B24D-9915-F59517B51E9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[7]C3LPG!$L$7:$X$7</c:f>
              <c:numCache>
                <c:formatCode>General</c:formatCode>
                <c:ptCount val="13"/>
                <c:pt idx="0">
                  <c:v>0.64258389415354455</c:v>
                </c:pt>
                <c:pt idx="1">
                  <c:v>0.33910230182228851</c:v>
                </c:pt>
                <c:pt idx="2">
                  <c:v>0.72585738643227993</c:v>
                </c:pt>
                <c:pt idx="3">
                  <c:v>0.67877677003271597</c:v>
                </c:pt>
                <c:pt idx="4">
                  <c:v>0.37553485757121435</c:v>
                </c:pt>
                <c:pt idx="5">
                  <c:v>0.64516963887942547</c:v>
                </c:pt>
                <c:pt idx="6">
                  <c:v>0.31575862400307481</c:v>
                </c:pt>
                <c:pt idx="7">
                  <c:v>0.39326065497872936</c:v>
                </c:pt>
                <c:pt idx="8">
                  <c:v>0.3302990993824087</c:v>
                </c:pt>
                <c:pt idx="9">
                  <c:v>0.58301798614568867</c:v>
                </c:pt>
                <c:pt idx="10">
                  <c:v>0.31373027945586512</c:v>
                </c:pt>
                <c:pt idx="11">
                  <c:v>0.48721914685557821</c:v>
                </c:pt>
                <c:pt idx="12">
                  <c:v>0.36383103528880723</c:v>
                </c:pt>
              </c:numCache>
            </c:numRef>
          </c:val>
          <c:smooth val="0"/>
          <c:extLst>
            <c:ext xmlns:c16="http://schemas.microsoft.com/office/drawing/2014/chart" uri="{C3380CC4-5D6E-409C-BE32-E72D297353CC}">
              <c16:uniqueId val="{0000000D-291F-B24D-9915-F59517B51E9E}"/>
            </c:ext>
          </c:extLst>
        </c:ser>
        <c:dLbls>
          <c:showLegendKey val="0"/>
          <c:showVal val="1"/>
          <c:showCatName val="0"/>
          <c:showSerName val="0"/>
          <c:showPercent val="0"/>
          <c:showBubbleSize val="0"/>
        </c:dLbls>
        <c:marker val="1"/>
        <c:smooth val="0"/>
        <c:axId val="611677464"/>
        <c:axId val="611678120"/>
      </c:lineChart>
      <c:catAx>
        <c:axId val="941146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1141288"/>
        <c:crosses val="autoZero"/>
        <c:auto val="1"/>
        <c:lblAlgn val="ctr"/>
        <c:lblOffset val="100"/>
        <c:noMultiLvlLbl val="1"/>
      </c:catAx>
      <c:valAx>
        <c:axId val="941141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1146208"/>
        <c:crosses val="autoZero"/>
        <c:crossBetween val="between"/>
      </c:valAx>
      <c:valAx>
        <c:axId val="61167812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1677464"/>
        <c:crosses val="max"/>
        <c:crossBetween val="between"/>
      </c:valAx>
      <c:catAx>
        <c:axId val="611677464"/>
        <c:scaling>
          <c:orientation val="minMax"/>
        </c:scaling>
        <c:delete val="1"/>
        <c:axPos val="b"/>
        <c:majorTickMark val="out"/>
        <c:minorTickMark val="none"/>
        <c:tickLblPos val="nextTo"/>
        <c:crossAx val="6116781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r>
              <a:rPr lang="en-US"/>
              <a:t>C3/LPG Inventory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endParaRPr lang="en-US"/>
        </a:p>
      </c:txPr>
    </c:title>
    <c:autoTitleDeleted val="0"/>
    <c:plotArea>
      <c:layout/>
      <c:lineChart>
        <c:grouping val="standard"/>
        <c:varyColors val="0"/>
        <c:ser>
          <c:idx val="6"/>
          <c:order val="0"/>
          <c:spPr>
            <a:ln w="28575" cap="rnd">
              <a:solidFill>
                <a:schemeClr val="tx1"/>
              </a:solidFill>
              <a:prstDash val="sysDot"/>
              <a:round/>
            </a:ln>
            <a:effectLst/>
          </c:spPr>
          <c:marker>
            <c:symbol val="none"/>
          </c:marker>
          <c:dLbls>
            <c:dLbl>
              <c:idx val="0"/>
              <c:layout>
                <c:manualLayout>
                  <c:x val="-2.7834184511150585E-2"/>
                  <c:y val="3.4566370896057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5C5-3648-9849-BA3FF232DA2C}"/>
                </c:ext>
              </c:extLst>
            </c:dLbl>
            <c:dLbl>
              <c:idx val="1"/>
              <c:layout>
                <c:manualLayout>
                  <c:x val="-2.7834184511150585E-2"/>
                  <c:y val="3.820207349558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5C5-3648-9849-BA3FF232DA2C}"/>
                </c:ext>
              </c:extLst>
            </c:dLbl>
            <c:dLbl>
              <c:idx val="2"/>
              <c:layout>
                <c:manualLayout>
                  <c:x val="-2.7834184511150585E-2"/>
                  <c:y val="-2.360487069638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5C5-3648-9849-BA3FF232DA2C}"/>
                </c:ext>
              </c:extLst>
            </c:dLbl>
            <c:dLbl>
              <c:idx val="3"/>
              <c:layout>
                <c:manualLayout>
                  <c:x val="-2.6228983558950494E-2"/>
                  <c:y val="2.0023560497948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5C5-3648-9849-BA3FF232DA2C}"/>
                </c:ext>
              </c:extLst>
            </c:dLbl>
            <c:dLbl>
              <c:idx val="5"/>
              <c:layout>
                <c:manualLayout>
                  <c:x val="-2.6228983558950376E-2"/>
                  <c:y val="2.36592630974754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5C5-3648-9849-BA3FF232DA2C}"/>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j-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[7]C3LPG!$M$3:$X$3</c:f>
              <c:strCache>
                <c:ptCount val="12"/>
                <c:pt idx="0">
                  <c:v>43832</c:v>
                </c:pt>
                <c:pt idx="1">
                  <c:v>43863</c:v>
                </c:pt>
                <c:pt idx="2">
                  <c:v>43892</c:v>
                </c:pt>
                <c:pt idx="3">
                  <c:v>43923</c:v>
                </c:pt>
                <c:pt idx="4">
                  <c:v>43953</c:v>
                </c:pt>
                <c:pt idx="5">
                  <c:v>43984</c:v>
                </c:pt>
                <c:pt idx="6">
                  <c:v>44014</c:v>
                </c:pt>
                <c:pt idx="7">
                  <c:v>44045</c:v>
                </c:pt>
                <c:pt idx="8">
                  <c:v>44076</c:v>
                </c:pt>
                <c:pt idx="9">
                  <c:v>44106</c:v>
                </c:pt>
                <c:pt idx="10">
                  <c:v>44137</c:v>
                </c:pt>
                <c:pt idx="11">
                  <c:v>44167</c:v>
                </c:pt>
              </c:strCache>
            </c:strRef>
          </c:cat>
          <c:val>
            <c:numRef>
              <c:f>[7]C3LPG!$M$7:$X$7</c:f>
              <c:numCache>
                <c:formatCode>General</c:formatCode>
                <c:ptCount val="12"/>
                <c:pt idx="0">
                  <c:v>0.33910230182228851</c:v>
                </c:pt>
                <c:pt idx="1">
                  <c:v>0.72585738643227993</c:v>
                </c:pt>
                <c:pt idx="2">
                  <c:v>0.67877677003271597</c:v>
                </c:pt>
                <c:pt idx="3">
                  <c:v>0.37553485757121435</c:v>
                </c:pt>
                <c:pt idx="4">
                  <c:v>0.64516963887942547</c:v>
                </c:pt>
                <c:pt idx="5">
                  <c:v>0.31575862400307481</c:v>
                </c:pt>
                <c:pt idx="6">
                  <c:v>0.39326065497872936</c:v>
                </c:pt>
                <c:pt idx="7">
                  <c:v>0.3302990993824087</c:v>
                </c:pt>
                <c:pt idx="8">
                  <c:v>0.58301798614568867</c:v>
                </c:pt>
                <c:pt idx="9">
                  <c:v>0.31373027945586512</c:v>
                </c:pt>
                <c:pt idx="10">
                  <c:v>0.48721914685557821</c:v>
                </c:pt>
                <c:pt idx="11">
                  <c:v>0.36383103528880723</c:v>
                </c:pt>
              </c:numCache>
            </c:numRef>
          </c:val>
          <c:smooth val="0"/>
          <c:extLst>
            <c:ext xmlns:c16="http://schemas.microsoft.com/office/drawing/2014/chart" uri="{C3380CC4-5D6E-409C-BE32-E72D297353CC}">
              <c16:uniqueId val="{00000005-15C5-3648-9849-BA3FF232DA2C}"/>
            </c:ext>
          </c:extLst>
        </c:ser>
        <c:dLbls>
          <c:showLegendKey val="0"/>
          <c:showVal val="1"/>
          <c:showCatName val="0"/>
          <c:showSerName val="0"/>
          <c:showPercent val="0"/>
          <c:showBubbleSize val="0"/>
        </c:dLbls>
        <c:smooth val="0"/>
        <c:axId val="941146208"/>
        <c:axId val="941141288"/>
      </c:lineChart>
      <c:catAx>
        <c:axId val="941146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US"/>
          </a:p>
        </c:txPr>
        <c:crossAx val="941141288"/>
        <c:crosses val="autoZero"/>
        <c:auto val="1"/>
        <c:lblAlgn val="ctr"/>
        <c:lblOffset val="100"/>
        <c:noMultiLvlLbl val="0"/>
      </c:catAx>
      <c:valAx>
        <c:axId val="941141288"/>
        <c:scaling>
          <c:orientation val="minMax"/>
          <c:min val="0.2"/>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US"/>
          </a:p>
        </c:txPr>
        <c:crossAx val="941146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cs typeface="+mj-cs"/>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%C3/LPG GSP RY Inventoy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'C3LPG'!$H$3:$V$3</c:f>
            </c:strRef>
          </c:cat>
          <c:val>
            <c:numRef>
              <c:f>'C3LPG'!$F$4:$V$4</c:f>
            </c:numRef>
          </c:val>
          <c:smooth val="0"/>
          <c:extLst>
            <c:ext xmlns:c16="http://schemas.microsoft.com/office/drawing/2014/chart" uri="{C3380CC4-5D6E-409C-BE32-E72D297353CC}">
              <c16:uniqueId val="{00000000-C5F0-42EF-956E-C6456BDF6FCE}"/>
            </c:ext>
          </c:extLst>
        </c:ser>
        <c:ser>
          <c:idx val="3"/>
          <c:order val="1"/>
          <c:spPr>
            <a:ln w="28575" cap="rnd">
              <a:solidFill>
                <a:schemeClr val="accent4"/>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'C3LPG'!$H$3:$V$3</c:f>
            </c:strRef>
          </c:cat>
          <c:val>
            <c:numRef>
              <c:f>'C3LPG'!$H$7:$V$7</c:f>
            </c:numRef>
          </c:val>
          <c:smooth val="0"/>
          <c:extLst>
            <c:ext xmlns:c16="http://schemas.microsoft.com/office/drawing/2014/chart" uri="{C3380CC4-5D6E-409C-BE32-E72D297353CC}">
              <c16:uniqueId val="{00000001-C5F0-42EF-956E-C6456BDF6FCE}"/>
            </c:ext>
          </c:extLst>
        </c:ser>
        <c:dLbls>
          <c:dLblPos val="t"/>
          <c:showLegendKey val="0"/>
          <c:showVal val="1"/>
          <c:showCatName val="0"/>
          <c:showSerName val="0"/>
          <c:showPercent val="0"/>
          <c:showBubbleSize val="0"/>
        </c:dLbls>
        <c:marker val="1"/>
        <c:smooth val="0"/>
        <c:axId val="482928624"/>
        <c:axId val="482928296"/>
      </c:lineChart>
      <c:catAx>
        <c:axId val="482928624"/>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928296"/>
        <c:crosses val="autoZero"/>
        <c:auto val="1"/>
        <c:lblAlgn val="ctr"/>
        <c:lblOffset val="100"/>
        <c:noMultiLvlLbl val="1"/>
      </c:catAx>
      <c:valAx>
        <c:axId val="482928296"/>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928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GSP Balance (KT)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'C3LPG'!$A$59</c:f>
              <c:strCache>
                <c:ptCount val="1"/>
                <c:pt idx="0">
                  <c:v>C3/LPG GSP 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'C3LPG'!$L$54:$X$54</c:f>
            </c:strRef>
          </c:cat>
          <c:val>
            <c:numRef>
              <c:f>'C3LPG'!$L$59:$X$59</c:f>
            </c:numRef>
          </c:val>
          <c:extLst>
            <c:ext xmlns:c16="http://schemas.microsoft.com/office/drawing/2014/chart" uri="{C3380CC4-5D6E-409C-BE32-E72D297353CC}">
              <c16:uniqueId val="{00000000-B86F-47CB-BC28-28DFEBACDBC2}"/>
            </c:ext>
          </c:extLst>
        </c:ser>
        <c:ser>
          <c:idx val="1"/>
          <c:order val="1"/>
          <c:tx>
            <c:strRef>
              <c:f>'C3LPG'!$A$61</c:f>
              <c:strCache>
                <c:ptCount val="1"/>
                <c:pt idx="0">
                  <c:v>GC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'C3LPG'!$L$54:$X$54</c:f>
            </c:strRef>
          </c:cat>
          <c:val>
            <c:numRef>
              <c:f>'C3LPG'!$L$61:$X$61</c:f>
            </c:numRef>
          </c:val>
          <c:extLst>
            <c:ext xmlns:c16="http://schemas.microsoft.com/office/drawing/2014/chart" uri="{C3380CC4-5D6E-409C-BE32-E72D297353CC}">
              <c16:uniqueId val="{00000002-B86F-47CB-BC28-28DFEBACDBC2}"/>
            </c:ext>
          </c:extLst>
        </c:ser>
        <c:ser>
          <c:idx val="2"/>
          <c:order val="2"/>
          <c:tx>
            <c:strRef>
              <c:f>'C3LPG'!$A$62</c:f>
              <c:strCache>
                <c:ptCount val="1"/>
                <c:pt idx="0">
                  <c:v>SPRC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'C3LPG'!$L$54:$X$54</c:f>
            </c:strRef>
          </c:cat>
          <c:val>
            <c:numRef>
              <c:f>'C3LPG'!$K$62:$X$62</c:f>
            </c:numRef>
          </c:val>
          <c:extLst>
            <c:ext xmlns:c16="http://schemas.microsoft.com/office/drawing/2014/chart" uri="{C3380CC4-5D6E-409C-BE32-E72D297353CC}">
              <c16:uniqueId val="{00000004-B86F-47CB-BC28-28DFEBACDBC2}"/>
            </c:ext>
          </c:extLst>
        </c:ser>
        <c:ser>
          <c:idx val="3"/>
          <c:order val="3"/>
          <c:tx>
            <c:strRef>
              <c:f>'C3LPG'!$A$63</c:f>
              <c:strCache>
                <c:ptCount val="1"/>
                <c:pt idx="0">
                  <c:v>PTTEP/LKB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'C3LPG'!$L$54:$X$54</c:f>
            </c:strRef>
          </c:cat>
          <c:val>
            <c:numRef>
              <c:f>'C3LPG'!$L$63:$X$63</c:f>
            </c:numRef>
          </c:val>
          <c:extLst>
            <c:ext xmlns:c16="http://schemas.microsoft.com/office/drawing/2014/chart" uri="{C3380CC4-5D6E-409C-BE32-E72D297353CC}">
              <c16:uniqueId val="{00000005-B86F-47CB-BC28-28DFEBACDBC2}"/>
            </c:ext>
          </c:extLst>
        </c:ser>
        <c:ser>
          <c:idx val="4"/>
          <c:order val="4"/>
          <c:tx>
            <c:strRef>
              <c:f>'C3LPG'!$A$64</c:f>
              <c:strCache>
                <c:ptCount val="1"/>
                <c:pt idx="0">
                  <c:v>GSP KHM</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'C3LPG'!$L$54:$X$54</c:f>
            </c:strRef>
          </c:cat>
          <c:val>
            <c:numRef>
              <c:f>'C3LPG'!$L$64:$X$64</c:f>
            </c:numRef>
          </c:val>
          <c:extLst>
            <c:ext xmlns:c16="http://schemas.microsoft.com/office/drawing/2014/chart" uri="{C3380CC4-5D6E-409C-BE32-E72D297353CC}">
              <c16:uniqueId val="{00000007-B86F-47CB-BC28-28DFEBACDBC2}"/>
            </c:ext>
          </c:extLst>
        </c:ser>
        <c:ser>
          <c:idx val="7"/>
          <c:order val="7"/>
          <c:tx>
            <c:v>ดึง import</c:v>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'C3LPG'!$L$54:$X$54</c:f>
            </c:strRef>
          </c:cat>
          <c:val>
            <c:numRef>
              <c:f>'C3LPG'!$L$8:$X$8</c:f>
            </c:numRef>
          </c:val>
          <c:extLst>
            <c:ext xmlns:c16="http://schemas.microsoft.com/office/drawing/2014/chart" uri="{C3380CC4-5D6E-409C-BE32-E72D297353CC}">
              <c16:uniqueId val="{00000008-B86F-47CB-BC28-28DFEBACDBC2}"/>
            </c:ext>
          </c:extLst>
        </c:ser>
        <c:dLbls>
          <c:showLegendKey val="0"/>
          <c:showVal val="1"/>
          <c:showCatName val="0"/>
          <c:showSerName val="0"/>
          <c:showPercent val="0"/>
          <c:showBubbleSize val="0"/>
        </c:dLbls>
        <c:gapWidth val="150"/>
        <c:overlap val="100"/>
        <c:axId val="941146208"/>
        <c:axId val="941141288"/>
      </c:barChart>
      <c:lineChart>
        <c:grouping val="standard"/>
        <c:varyColors val="0"/>
        <c:ser>
          <c:idx val="5"/>
          <c:order val="5"/>
          <c:tx>
            <c:v>Demand</c:v>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FF"/>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'C3LPG'!$L$180:$X$180</c:f>
            </c:numRef>
          </c:val>
          <c:smooth val="0"/>
          <c:extLst>
            <c:ext xmlns:c16="http://schemas.microsoft.com/office/drawing/2014/chart" uri="{C3380CC4-5D6E-409C-BE32-E72D297353CC}">
              <c16:uniqueId val="{00000009-B86F-47CB-BC28-28DFEBACDBC2}"/>
            </c:ext>
          </c:extLst>
        </c:ser>
        <c:dLbls>
          <c:showLegendKey val="0"/>
          <c:showVal val="1"/>
          <c:showCatName val="0"/>
          <c:showSerName val="0"/>
          <c:showPercent val="0"/>
          <c:showBubbleSize val="0"/>
        </c:dLbls>
        <c:marker val="1"/>
        <c:smooth val="0"/>
        <c:axId val="941146208"/>
        <c:axId val="941141288"/>
      </c:lineChart>
      <c:lineChart>
        <c:grouping val="standard"/>
        <c:varyColors val="0"/>
        <c:ser>
          <c:idx val="6"/>
          <c:order val="6"/>
          <c:tx>
            <c:v>C3/LPG Inventory</c:v>
          </c:tx>
          <c:spPr>
            <a:ln w="28575" cap="rnd">
              <a:solidFill>
                <a:schemeClr val="accent1">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'C3LPG'!$L$7:$X$7</c:f>
            </c:numRef>
          </c:val>
          <c:smooth val="0"/>
          <c:extLst>
            <c:ext xmlns:c16="http://schemas.microsoft.com/office/drawing/2014/chart" uri="{C3380CC4-5D6E-409C-BE32-E72D297353CC}">
              <c16:uniqueId val="{00000010-B86F-47CB-BC28-28DFEBACDBC2}"/>
            </c:ext>
          </c:extLst>
        </c:ser>
        <c:dLbls>
          <c:showLegendKey val="0"/>
          <c:showVal val="1"/>
          <c:showCatName val="0"/>
          <c:showSerName val="0"/>
          <c:showPercent val="0"/>
          <c:showBubbleSize val="0"/>
        </c:dLbls>
        <c:marker val="1"/>
        <c:smooth val="0"/>
        <c:axId val="611677464"/>
        <c:axId val="611678120"/>
      </c:lineChart>
      <c:catAx>
        <c:axId val="94114620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1141288"/>
        <c:crosses val="autoZero"/>
        <c:auto val="1"/>
        <c:lblAlgn val="ctr"/>
        <c:lblOffset val="100"/>
        <c:noMultiLvlLbl val="1"/>
      </c:catAx>
      <c:valAx>
        <c:axId val="94114128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1146208"/>
        <c:crosses val="autoZero"/>
        <c:crossBetween val="between"/>
      </c:valAx>
      <c:valAx>
        <c:axId val="61167812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1677464"/>
        <c:crosses val="max"/>
        <c:crossBetween val="between"/>
      </c:valAx>
      <c:catAx>
        <c:axId val="611677464"/>
        <c:scaling>
          <c:orientation val="minMax"/>
        </c:scaling>
        <c:delete val="1"/>
        <c:axPos val="b"/>
        <c:majorTickMark val="out"/>
        <c:minorTickMark val="none"/>
        <c:tickLblPos val="nextTo"/>
        <c:crossAx val="6116781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r>
              <a:rPr lang="en-US"/>
              <a:t>C3/LPG Inventory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endParaRPr lang="en-US"/>
        </a:p>
      </c:txPr>
    </c:title>
    <c:autoTitleDeleted val="0"/>
    <c:plotArea>
      <c:layout/>
      <c:lineChart>
        <c:grouping val="standard"/>
        <c:varyColors val="0"/>
        <c:ser>
          <c:idx val="6"/>
          <c:order val="0"/>
          <c:spPr>
            <a:ln w="28575" cap="rnd">
              <a:solidFill>
                <a:schemeClr val="accent1">
                  <a:lumMod val="60000"/>
                </a:schemeClr>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j-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'C3LPG'!$M$3:$X$3</c:f>
            </c:strRef>
          </c:cat>
          <c:val>
            <c:numRef>
              <c:f>'C3LPG'!$M$7:$X$7</c:f>
            </c:numRef>
          </c:val>
          <c:smooth val="0"/>
          <c:extLst>
            <c:ext xmlns:c16="http://schemas.microsoft.com/office/drawing/2014/chart" uri="{C3380CC4-5D6E-409C-BE32-E72D297353CC}">
              <c16:uniqueId val="{00000005-54D1-42A1-87BB-97147C0BCA28}"/>
            </c:ext>
          </c:extLst>
        </c:ser>
        <c:dLbls>
          <c:showLegendKey val="0"/>
          <c:showVal val="1"/>
          <c:showCatName val="0"/>
          <c:showSerName val="0"/>
          <c:showPercent val="0"/>
          <c:showBubbleSize val="0"/>
        </c:dLbls>
        <c:marker val="1"/>
        <c:smooth val="0"/>
        <c:axId val="941146208"/>
        <c:axId val="941141288"/>
      </c:lineChart>
      <c:catAx>
        <c:axId val="94114620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US"/>
          </a:p>
        </c:txPr>
        <c:crossAx val="941141288"/>
        <c:crosses val="autoZero"/>
        <c:auto val="1"/>
        <c:lblAlgn val="ctr"/>
        <c:lblOffset val="100"/>
        <c:noMultiLvlLbl val="1"/>
      </c:catAx>
      <c:valAx>
        <c:axId val="941141288"/>
        <c:scaling>
          <c:orientation val="minMax"/>
          <c:min val="0.2"/>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US"/>
          </a:p>
        </c:txPr>
        <c:crossAx val="941146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cs typeface="+mj-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16</xdr:col>
      <xdr:colOff>274064</xdr:colOff>
      <xdr:row>45</xdr:row>
      <xdr:rowOff>59551</xdr:rowOff>
    </xdr:from>
    <xdr:to>
      <xdr:col>37</xdr:col>
      <xdr:colOff>186082</xdr:colOff>
      <xdr:row>71</xdr:row>
      <xdr:rowOff>152642</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193245</xdr:colOff>
      <xdr:row>55</xdr:row>
      <xdr:rowOff>71096</xdr:rowOff>
    </xdr:from>
    <xdr:to>
      <xdr:col>48</xdr:col>
      <xdr:colOff>243809</xdr:colOff>
      <xdr:row>81</xdr:row>
      <xdr:rowOff>164188</xdr:rowOff>
    </xdr:to>
    <xdr:graphicFrame macro="">
      <xdr:nvGraphicFramePr>
        <xdr:cNvPr id="2" name="Chart 1">
          <a:extLst>
            <a:ext uri="{FF2B5EF4-FFF2-40B4-BE49-F238E27FC236}">
              <a16:creationId xmlns:a16="http://schemas.microsoft.com/office/drawing/2014/main" id="{503DA356-90EB-554F-90FA-8AE2E7251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58</xdr:col>
      <xdr:colOff>492043</xdr:colOff>
      <xdr:row>45</xdr:row>
      <xdr:rowOff>119587</xdr:rowOff>
    </xdr:from>
    <xdr:to>
      <xdr:col>70</xdr:col>
      <xdr:colOff>401329</xdr:colOff>
      <xdr:row>76</xdr:row>
      <xdr:rowOff>66881</xdr:rowOff>
    </xdr:to>
    <xdr:graphicFrame macro="">
      <xdr:nvGraphicFramePr>
        <xdr:cNvPr id="2" name="Chart 1">
          <a:extLst>
            <a:ext uri="{FF2B5EF4-FFF2-40B4-BE49-F238E27FC236}">
              <a16:creationId xmlns:a16="http://schemas.microsoft.com/office/drawing/2014/main" id="{D30A8850-61CD-374B-A241-AF56886E2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59</xdr:col>
      <xdr:colOff>431304</xdr:colOff>
      <xdr:row>53</xdr:row>
      <xdr:rowOff>4950</xdr:rowOff>
    </xdr:from>
    <xdr:to>
      <xdr:col>71</xdr:col>
      <xdr:colOff>241010</xdr:colOff>
      <xdr:row>79</xdr:row>
      <xdr:rowOff>145349</xdr:rowOff>
    </xdr:to>
    <xdr:graphicFrame macro="">
      <xdr:nvGraphicFramePr>
        <xdr:cNvPr id="3" name="Chart 2">
          <a:extLst>
            <a:ext uri="{FF2B5EF4-FFF2-40B4-BE49-F238E27FC236}">
              <a16:creationId xmlns:a16="http://schemas.microsoft.com/office/drawing/2014/main" id="{BE3C710A-9F5B-F146-A9C4-0BACB7B4A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56</xdr:col>
      <xdr:colOff>415637</xdr:colOff>
      <xdr:row>93</xdr:row>
      <xdr:rowOff>92363</xdr:rowOff>
    </xdr:from>
    <xdr:to>
      <xdr:col>68</xdr:col>
      <xdr:colOff>287626</xdr:colOff>
      <xdr:row>115</xdr:row>
      <xdr:rowOff>14720</xdr:rowOff>
    </xdr:to>
    <xdr:graphicFrame macro="">
      <xdr:nvGraphicFramePr>
        <xdr:cNvPr id="4" name="Chart 3">
          <a:extLst>
            <a:ext uri="{FF2B5EF4-FFF2-40B4-BE49-F238E27FC236}">
              <a16:creationId xmlns:a16="http://schemas.microsoft.com/office/drawing/2014/main" id="{46C8A9DE-EAC3-4649-80AD-54ACF07F1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38</xdr:col>
      <xdr:colOff>248661</xdr:colOff>
      <xdr:row>223</xdr:row>
      <xdr:rowOff>1154</xdr:rowOff>
    </xdr:from>
    <xdr:to>
      <xdr:col>46</xdr:col>
      <xdr:colOff>12450</xdr:colOff>
      <xdr:row>262</xdr:row>
      <xdr:rowOff>188</xdr:rowOff>
    </xdr:to>
    <xdr:pic>
      <xdr:nvPicPr>
        <xdr:cNvPr id="5" name="Picture 4">
          <a:extLst>
            <a:ext uri="{FF2B5EF4-FFF2-40B4-BE49-F238E27FC236}">
              <a16:creationId xmlns:a16="http://schemas.microsoft.com/office/drawing/2014/main" id="{22EDF0BF-5D56-7749-852F-6A30E8B4552E}"/>
            </a:ext>
          </a:extLst>
        </xdr:cNvPr>
        <xdr:cNvPicPr>
          <a:picLocks noChangeAspect="1"/>
        </xdr:cNvPicPr>
      </xdr:nvPicPr>
      <xdr:blipFill>
        <a:blip xmlns:r="http://schemas.openxmlformats.org/officeDocument/2006/relationships" r:embed="rId4"/>
        <a:stretch>
          <a:fillRect/>
        </a:stretch>
      </xdr:blipFill>
      <xdr:spPr>
        <a:xfrm>
          <a:off x="9329161" y="43409754"/>
          <a:ext cx="5974089" cy="7421648"/>
        </a:xfrm>
        <a:prstGeom prst="rect">
          <a:avLst/>
        </a:prstGeom>
      </xdr:spPr>
    </xdr:pic>
    <xdr:clientData/>
  </xdr:twoCellAnchor>
  <xdr:twoCellAnchor editAs="oneCell">
    <xdr:from>
      <xdr:col>62</xdr:col>
      <xdr:colOff>404503</xdr:colOff>
      <xdr:row>103</xdr:row>
      <xdr:rowOff>80747</xdr:rowOff>
    </xdr:from>
    <xdr:to>
      <xdr:col>71</xdr:col>
      <xdr:colOff>652680</xdr:colOff>
      <xdr:row>120</xdr:row>
      <xdr:rowOff>153510</xdr:rowOff>
    </xdr:to>
    <xdr:pic>
      <xdr:nvPicPr>
        <xdr:cNvPr id="6" name="Picture 5">
          <a:extLst>
            <a:ext uri="{FF2B5EF4-FFF2-40B4-BE49-F238E27FC236}">
              <a16:creationId xmlns:a16="http://schemas.microsoft.com/office/drawing/2014/main" id="{61D126D5-645B-F94D-9D2B-594659B942A4}"/>
            </a:ext>
          </a:extLst>
        </xdr:cNvPr>
        <xdr:cNvPicPr>
          <a:picLocks noChangeAspect="1"/>
        </xdr:cNvPicPr>
      </xdr:nvPicPr>
      <xdr:blipFill>
        <a:blip xmlns:r="http://schemas.openxmlformats.org/officeDocument/2006/relationships" r:embed="rId5"/>
        <a:stretch>
          <a:fillRect/>
        </a:stretch>
      </xdr:blipFill>
      <xdr:spPr>
        <a:xfrm>
          <a:off x="51433103" y="20667447"/>
          <a:ext cx="7677677" cy="3336663"/>
        </a:xfrm>
        <a:prstGeom prst="rect">
          <a:avLst/>
        </a:prstGeom>
      </xdr:spPr>
    </xdr:pic>
    <xdr:clientData/>
  </xdr:twoCellAnchor>
  <xdr:twoCellAnchor editAs="oneCell">
    <xdr:from>
      <xdr:col>0</xdr:col>
      <xdr:colOff>211942</xdr:colOff>
      <xdr:row>281</xdr:row>
      <xdr:rowOff>152400</xdr:rowOff>
    </xdr:from>
    <xdr:to>
      <xdr:col>42</xdr:col>
      <xdr:colOff>485140</xdr:colOff>
      <xdr:row>318</xdr:row>
      <xdr:rowOff>0</xdr:rowOff>
    </xdr:to>
    <xdr:pic>
      <xdr:nvPicPr>
        <xdr:cNvPr id="10" name="Picture 9">
          <a:extLst>
            <a:ext uri="{FF2B5EF4-FFF2-40B4-BE49-F238E27FC236}">
              <a16:creationId xmlns:a16="http://schemas.microsoft.com/office/drawing/2014/main" id="{302D978E-247E-7148-9794-1C6AC99F0B88}"/>
            </a:ext>
          </a:extLst>
        </xdr:cNvPr>
        <xdr:cNvPicPr>
          <a:picLocks noChangeAspect="1"/>
        </xdr:cNvPicPr>
      </xdr:nvPicPr>
      <xdr:blipFill>
        <a:blip xmlns:r="http://schemas.openxmlformats.org/officeDocument/2006/relationships" r:embed="rId6"/>
        <a:stretch>
          <a:fillRect/>
        </a:stretch>
      </xdr:blipFill>
      <xdr:spPr>
        <a:xfrm>
          <a:off x="211942" y="54622700"/>
          <a:ext cx="14329558" cy="6896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55</xdr:col>
      <xdr:colOff>7262</xdr:colOff>
      <xdr:row>44</xdr:row>
      <xdr:rowOff>63508</xdr:rowOff>
    </xdr:from>
    <xdr:to>
      <xdr:col>66</xdr:col>
      <xdr:colOff>544445</xdr:colOff>
      <xdr:row>75</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65</xdr:col>
      <xdr:colOff>505036</xdr:colOff>
      <xdr:row>47</xdr:row>
      <xdr:rowOff>121796</xdr:rowOff>
    </xdr:from>
    <xdr:to>
      <xdr:col>77</xdr:col>
      <xdr:colOff>370098</xdr:colOff>
      <xdr:row>74</xdr:row>
      <xdr:rowOff>48771</xdr:rowOff>
    </xdr:to>
    <xdr:graphicFrame macro="">
      <xdr:nvGraphicFramePr>
        <xdr:cNvPr id="3" name="Chart 2">
          <a:extLst>
            <a:ext uri="{FF2B5EF4-FFF2-40B4-BE49-F238E27FC236}">
              <a16:creationId xmlns:a16="http://schemas.microsoft.com/office/drawing/2014/main" id="{00000000-0008-0000-0200-000003000000}"/>
            </a:ext>
            <a:ext uri="{147F2762-F138-4A5C-976F-8EAC2B608ADB}">
              <a16:predDERef xmlns:a16="http://schemas.microsoft.com/office/drawing/2014/main" pre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54</xdr:col>
      <xdr:colOff>566145</xdr:colOff>
      <xdr:row>82</xdr:row>
      <xdr:rowOff>153012</xdr:rowOff>
    </xdr:from>
    <xdr:to>
      <xdr:col>66</xdr:col>
      <xdr:colOff>422972</xdr:colOff>
      <xdr:row>108</xdr:row>
      <xdr:rowOff>161056</xdr:rowOff>
    </xdr:to>
    <xdr:graphicFrame macro="">
      <xdr:nvGraphicFramePr>
        <xdr:cNvPr id="4" name="Chart 3">
          <a:extLst>
            <a:ext uri="{FF2B5EF4-FFF2-40B4-BE49-F238E27FC236}">
              <a16:creationId xmlns:a16="http://schemas.microsoft.com/office/drawing/2014/main" id="{00000000-0008-0000-0200-000004000000}"/>
            </a:ext>
            <a:ext uri="{147F2762-F138-4A5C-976F-8EAC2B608ADB}">
              <a16:predDERef xmlns:a16="http://schemas.microsoft.com/office/drawing/2014/main" pre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26</xdr:col>
      <xdr:colOff>0</xdr:colOff>
      <xdr:row>189</xdr:row>
      <xdr:rowOff>0</xdr:rowOff>
    </xdr:from>
    <xdr:to>
      <xdr:col>58</xdr:col>
      <xdr:colOff>233703</xdr:colOff>
      <xdr:row>264</xdr:row>
      <xdr:rowOff>112851</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21031200" y="27965400"/>
          <a:ext cx="12838095" cy="1154285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79</xdr:col>
      <xdr:colOff>628650</xdr:colOff>
      <xdr:row>43</xdr:row>
      <xdr:rowOff>0</xdr:rowOff>
    </xdr:from>
    <xdr:to>
      <xdr:col>82</xdr:col>
      <xdr:colOff>2019300</xdr:colOff>
      <xdr:row>51</xdr:row>
      <xdr:rowOff>28575</xdr:rowOff>
    </xdr:to>
    <xdr:pic>
      <xdr:nvPicPr>
        <xdr:cNvPr id="2" name="Picture 1">
          <a:extLst>
            <a:ext uri="{FF2B5EF4-FFF2-40B4-BE49-F238E27FC236}">
              <a16:creationId xmlns:a16="http://schemas.microsoft.com/office/drawing/2014/main" id="{EFE4D0EC-67F0-4828-8587-A8DD9CE4BEA9}"/>
            </a:ext>
          </a:extLst>
        </xdr:cNvPr>
        <xdr:cNvPicPr>
          <a:picLocks noChangeAspect="1"/>
        </xdr:cNvPicPr>
      </xdr:nvPicPr>
      <xdr:blipFill>
        <a:blip xmlns:r="http://schemas.openxmlformats.org/officeDocument/2006/relationships" r:embed="rId1"/>
        <a:stretch>
          <a:fillRect/>
        </a:stretch>
      </xdr:blipFill>
      <xdr:spPr>
        <a:xfrm>
          <a:off x="17887950" y="8705850"/>
          <a:ext cx="11696700" cy="14954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ttgrp-fs01/nasdata2/F/D/D/C/C/C/C/C/G/C/Documents%20and%20Settings/Administrator/Application%20Data/Microsoft/Excel/G/A/EG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F\D\D\C\C\C\C\C\G\C\Documents%20and%20Settings\Administrator\Application%20Data\Microsoft\Excel\G\C\&#3614;&#3637;&#3656;&#3629;&#3657;&#3629;&#3618;370097\Drive%20D\Thanaporn(370097)%20Floor17\AOI\GASPRICE\BUS_PLAN\&#3626;&#3619;&#3640;&#3611;&#3619;&#3634;&#3588;&#3634;&#3585;&#3658;&#3634;&#3595;&#363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ttgrp-fs01/NASDATA3/F/D/D/C/C/C/C/C/G/C/Documents%20and%20Settings/Administrator/Application%20Data/Microsoft/Excel/G/C/PlanningTeam/Yearly%20Plan/Nov07-2002/DSYP-5Nov02-BVW7-Dec-04-PL40-Bas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LEVELAL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q-fs-s03/Gas/Production%20Planning/RYG-GSP-ProductionDBonWeb/Supply-DemandProgram-V1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EXAMPLES\BOOKS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ites/PJR-PTT-DigitalAllocationMode/Shared%20Documents/General/9.%20Information%20&#3592;&#3634;&#3585;&#3588;&#3640;&#3603;&#3648;&#3605;&#3618;/1.%20Input/Optimization%20(Volume%20Inventory%20LR)/Merge%20Allocation%202021_Ability%2011rev3%2019Oct.xlsx" TargetMode="External"/></Relationships>
</file>

<file path=xl/externalLinks/_rels/externalLink8.xml.rels><?xml version="1.0" encoding="UTF-8" standalone="yes"?>
<Relationships xmlns="http://schemas.openxmlformats.org/package/2006/relationships"><Relationship Id="rId2" Type="http://schemas.microsoft.com/office/2019/04/relationships/externalLinkLongPath" Target="/Users/maliwan.p/Google%20Drive/PTTDIGITAL/PTT%20GSP%20Allocation%20System/%20Documentation/Documentation/01_Information/&#3648;&#3629;&#3585;&#3626;&#3634;&#3619;&#3592;&#3634;&#3585;%20User/&#3588;&#3640;&#3603;&#3648;&#3605;&#3618;%20&#3605;&#3634;&#3617;%20Email%20&#3623;&#3633;&#3609;&#3607;&#3637;&#3656;%2024052021/Output/New%20Balance_24May2021.xlsx?118BB946" TargetMode="External"/><Relationship Id="rId1" Type="http://schemas.openxmlformats.org/officeDocument/2006/relationships/externalLinkPath" Target="file:///\\118BB946\New%20Balance_24May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LHEAD"/>
      <sheetName val="UNOCALII"/>
      <sheetName val="UNOIII"/>
      <sheetName val="UNOE"/>
      <sheetName val="BONGKOT"/>
      <sheetName val="ESSO"/>
      <sheetName val="BUSP"/>
      <sheetName val="Sheet2"/>
      <sheetName val="EGP"/>
      <sheetName val="Assumptions"/>
      <sheetName val="MP_97"/>
      <sheetName val="MP_98"/>
      <sheetName val="PRC_YR"/>
      <sheetName val="Sheet1"/>
      <sheetName val="Old Price"/>
      <sheetName val="Expanded Price "/>
      <sheetName val="ESSO-ESSO (incre.)"/>
      <sheetName val="Existing"/>
      <sheetName val="High Potential "/>
      <sheetName val="ประเภทเหตุผล"/>
      <sheetName val="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2%"/>
      <sheetName val="Sheet1"/>
      <sheetName val="vol"/>
      <sheetName val="Assumptions"/>
      <sheetName val="MP_98"/>
      <sheetName val="MP_99"/>
      <sheetName val="MP_00"/>
      <sheetName val="MP_01"/>
      <sheetName val="MP_02"/>
      <sheetName val="MP_03"/>
      <sheetName val="MP_04"/>
      <sheetName val="MP_05"/>
      <sheetName val="Yadana"/>
      <sheetName val="สรุปราคา_M (02-05)"/>
      <sheetName val="Sheet3"/>
      <sheetName val="AGP"/>
      <sheetName val="สรุปราคา_Y"/>
      <sheetName val="Sheet2"/>
      <sheetName val="#REF"/>
      <sheetName val="สรุปราคาก๊าซฯ"/>
      <sheetName val="ประเภทเหตุผล"/>
      <sheetName val="Area"/>
      <sheetName val="ประเภทเหตุผล "/>
      <sheetName val="Normal"/>
      <sheetName val="level_all"/>
      <sheetName val="For Fuel Tren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ning"/>
      <sheetName val="SupplyPlan"/>
      <sheetName val="ToP"/>
      <sheetName val="Obligation"/>
      <sheetName val="Revenue"/>
      <sheetName val="Pools"/>
      <sheetName val="Purchase"/>
      <sheetName val="GWh"/>
      <sheetName val="GWhPTT"/>
      <sheetName val="EGATGasPTT"/>
      <sheetName val="HeatRate"/>
      <sheetName val="level_all"/>
      <sheetName val="TAB22"/>
      <sheetName val="TAB01"/>
      <sheetName val="Mat'l_Unit"/>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vel_all"/>
      <sheetName val="AllDam (ใช้งาน)"/>
      <sheetName val="(Ref)"/>
      <sheetName val="Sheet3"/>
      <sheetName val="bb"/>
      <sheetName val="sk"/>
      <sheetName val="snr"/>
      <sheetName val="khl"/>
      <sheetName val="rpb"/>
      <sheetName val="blg"/>
      <sheetName val="ur"/>
      <sheetName val="srd"/>
      <sheetName val="clb"/>
      <sheetName val="np"/>
      <sheetName val="kkc"/>
      <sheetName val="krd"/>
      <sheetName val="mng"/>
      <sheetName val="พลังงานไฟฟ้า"/>
      <sheetName val="Input_Allocate"/>
      <sheetName val="Cal_Project"/>
      <sheetName val="Dum_AllocateIDC"/>
      <sheetName val="Report_AllIDC"/>
      <sheetName val="Apr"/>
      <sheetName val="Aug"/>
      <sheetName val="Feb"/>
      <sheetName val="Jan"/>
      <sheetName val="Jun"/>
      <sheetName val="Jul"/>
      <sheetName val="Mar"/>
      <sheetName val="May"/>
      <sheetName val="Oct"/>
      <sheetName val="Sep"/>
      <sheetName val="factor"/>
      <sheetName val="AuxiliaryTables"/>
      <sheetName val="LEVELALL"/>
      <sheetName val="USD"/>
      <sheetName val="THB"/>
      <sheetName val="Monthly USD"/>
      <sheetName val="Monthly THB"/>
      <sheetName val="Quaterly USD"/>
      <sheetName val="Quaterly THB"/>
      <sheetName val="FX"/>
      <sheetName val="By book"/>
      <sheetName val="สรุปวงเงินดำเนินการ_V0 "/>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sheetData sheetId="42"/>
      <sheetData sheetId="4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Link"/>
      <sheetName val="GSP-SMT LPG Inv."/>
      <sheetName val="CustomerDeli"/>
      <sheetName val="F-Total"/>
      <sheetName val="D-Total"/>
      <sheetName val="Chart5"/>
      <sheetName val="Sheet1"/>
      <sheetName val="-"/>
      <sheetName val="LevelProve"/>
      <sheetName val="Chart1"/>
      <sheetName val="Chart1 (2)"/>
      <sheetName val="--"/>
      <sheetName val="Invent."/>
      <sheetName val="Chart2"/>
      <sheetName val="Chart3"/>
      <sheetName val="DataLink-ManualINV"/>
      <sheetName val="Adj. 2007-06 Rate ให้ จจ.Rev1"/>
    </sheetNames>
    <sheetDataSet>
      <sheetData sheetId="0"/>
      <sheetData sheetId="1" refreshError="1"/>
      <sheetData sheetId="2" refreshError="1"/>
      <sheetData sheetId="3"/>
      <sheetData sheetId="4"/>
      <sheetData sheetId="5" refreshError="1"/>
      <sheetData sheetId="6"/>
      <sheetData sheetId="7"/>
      <sheetData sheetId="8"/>
      <sheetData sheetId="9" refreshError="1"/>
      <sheetData sheetId="10" refreshError="1"/>
      <sheetData sheetId="11"/>
      <sheetData sheetId="12"/>
      <sheetData sheetId="13" refreshError="1"/>
      <sheetData sheetId="14" refreshError="1"/>
      <sheetData sheetId="15"/>
      <sheetData sheetId="1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T"/>
    </sheetNames>
    <definedNames>
      <definedName name="OneStepChart"/>
    </defined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2"/>
      <sheetName val="LR monthly"/>
      <sheetName val="C3LPG"/>
      <sheetName val="NGL"/>
    </sheetNames>
    <sheetDataSet>
      <sheetData sheetId="0"/>
      <sheetData sheetId="1">
        <row r="39">
          <cell r="Z39">
            <v>44502</v>
          </cell>
          <cell r="AA39">
            <v>44532</v>
          </cell>
          <cell r="AB39">
            <v>44563</v>
          </cell>
          <cell r="AC39">
            <v>44594</v>
          </cell>
          <cell r="AD39">
            <v>44622</v>
          </cell>
          <cell r="AE39">
            <v>44653</v>
          </cell>
          <cell r="AF39">
            <v>44683</v>
          </cell>
          <cell r="AG39">
            <v>44714</v>
          </cell>
          <cell r="AH39">
            <v>44744</v>
          </cell>
          <cell r="AI39">
            <v>44775</v>
          </cell>
          <cell r="AJ39">
            <v>44806</v>
          </cell>
          <cell r="AK39">
            <v>44836</v>
          </cell>
        </row>
        <row r="40">
          <cell r="A40" t="str">
            <v>Total LR (GSP RY+MT+BRP)</v>
          </cell>
          <cell r="Z40">
            <v>51.476952014121991</v>
          </cell>
          <cell r="AA40">
            <v>42.687051302899022</v>
          </cell>
          <cell r="AB40">
            <v>43.440751169639078</v>
          </cell>
          <cell r="AC40">
            <v>53.120489091198259</v>
          </cell>
          <cell r="AD40">
            <v>71.708335264525033</v>
          </cell>
          <cell r="AE40">
            <v>52.859256933866497</v>
          </cell>
          <cell r="AF40">
            <v>57.986986304365132</v>
          </cell>
          <cell r="AG40">
            <v>77.684638279991617</v>
          </cell>
          <cell r="AH40">
            <v>63.031408094713925</v>
          </cell>
          <cell r="AI40">
            <v>54.315143754181641</v>
          </cell>
          <cell r="AJ40">
            <v>80.663551525806227</v>
          </cell>
          <cell r="AK40">
            <v>58.694701359495951</v>
          </cell>
        </row>
        <row r="41">
          <cell r="A41" t="str">
            <v>Stock (GSP RY+MT+BRP)</v>
          </cell>
          <cell r="Z41">
            <v>7.4769520141219914</v>
          </cell>
          <cell r="AA41">
            <v>20.687051302899022</v>
          </cell>
          <cell r="AB41">
            <v>34.620751169639078</v>
          </cell>
          <cell r="AC41">
            <v>9.1204890911982588</v>
          </cell>
          <cell r="AD41">
            <v>27.708335264525033</v>
          </cell>
          <cell r="AE41">
            <v>18.859256933866497</v>
          </cell>
          <cell r="AF41">
            <v>5.4679863043651338</v>
          </cell>
          <cell r="AG41">
            <v>24.730638279991616</v>
          </cell>
          <cell r="AH41">
            <v>32.512408094713926</v>
          </cell>
          <cell r="AI41">
            <v>18.796143754181642</v>
          </cell>
          <cell r="AJ41">
            <v>5.7095515258062193</v>
          </cell>
          <cell r="AK41">
            <v>25.494701359495949</v>
          </cell>
        </row>
        <row r="42">
          <cell r="A42" t="str">
            <v>Import Cargo</v>
          </cell>
          <cell r="Z42">
            <v>44</v>
          </cell>
          <cell r="AA42">
            <v>22</v>
          </cell>
          <cell r="AB42">
            <v>8.82</v>
          </cell>
          <cell r="AC42">
            <v>44</v>
          </cell>
          <cell r="AD42">
            <v>44</v>
          </cell>
          <cell r="AE42">
            <v>34</v>
          </cell>
          <cell r="AF42">
            <v>52.518999999999998</v>
          </cell>
          <cell r="AG42">
            <v>52.954000000000001</v>
          </cell>
          <cell r="AH42">
            <v>30.518999999999998</v>
          </cell>
          <cell r="AI42">
            <v>35.518999999999998</v>
          </cell>
          <cell r="AJ42">
            <v>74.954000000000008</v>
          </cell>
          <cell r="AK42">
            <v>33.200000000000003</v>
          </cell>
        </row>
        <row r="43">
          <cell r="A43" t="str">
            <v xml:space="preserve">LR by Legal </v>
          </cell>
          <cell r="Z43">
            <v>22.03</v>
          </cell>
          <cell r="AA43">
            <v>22.03</v>
          </cell>
          <cell r="AB43">
            <v>37.6</v>
          </cell>
          <cell r="AC43">
            <v>37.6</v>
          </cell>
          <cell r="AD43">
            <v>37.6</v>
          </cell>
          <cell r="AE43">
            <v>37.6</v>
          </cell>
          <cell r="AF43">
            <v>37.6</v>
          </cell>
          <cell r="AG43">
            <v>37.6</v>
          </cell>
          <cell r="AH43">
            <v>37.6</v>
          </cell>
          <cell r="AI43">
            <v>37.6</v>
          </cell>
          <cell r="AJ43">
            <v>37.6</v>
          </cell>
          <cell r="AK43">
            <v>37.6</v>
          </cell>
        </row>
        <row r="44">
          <cell r="A44" t="str">
            <v>LR by Internal Control</v>
          </cell>
          <cell r="Z44">
            <v>39.03</v>
          </cell>
          <cell r="AA44">
            <v>39.03</v>
          </cell>
          <cell r="AB44">
            <v>54.6</v>
          </cell>
          <cell r="AC44">
            <v>54.6</v>
          </cell>
          <cell r="AD44">
            <v>54.6</v>
          </cell>
          <cell r="AE44">
            <v>54.6</v>
          </cell>
          <cell r="AF44">
            <v>54.6</v>
          </cell>
          <cell r="AG44">
            <v>54.6</v>
          </cell>
          <cell r="AH44">
            <v>54.6</v>
          </cell>
          <cell r="AI44">
            <v>54.6</v>
          </cell>
          <cell r="AJ44">
            <v>54.6</v>
          </cell>
          <cell r="AK44">
            <v>54.6</v>
          </cell>
        </row>
      </sheetData>
      <sheetData sheetId="2">
        <row r="2">
          <cell r="M2">
            <v>16.827883907470703</v>
          </cell>
          <cell r="N2">
            <v>36.020527630224606</v>
          </cell>
          <cell r="O2">
            <v>33.684161457519529</v>
          </cell>
          <cell r="P2">
            <v>18.635842199999999</v>
          </cell>
          <cell r="Q2">
            <v>29.542833899999998</v>
          </cell>
          <cell r="R2">
            <v>14.458839999999999</v>
          </cell>
          <cell r="S2">
            <v>18.007720000000003</v>
          </cell>
          <cell r="T2">
            <v>15.124660000000002</v>
          </cell>
          <cell r="U2">
            <v>26.696860000000001</v>
          </cell>
          <cell r="V2">
            <v>14.437240000000001</v>
          </cell>
          <cell r="W2">
            <v>22.420850699999999</v>
          </cell>
          <cell r="X2">
            <v>18.055042360000002</v>
          </cell>
          <cell r="Y2">
            <v>24.4024</v>
          </cell>
          <cell r="Z2">
            <v>28.877920000000003</v>
          </cell>
          <cell r="AA2">
            <v>23.042922528000002</v>
          </cell>
          <cell r="AB2">
            <v>33.906688200000005</v>
          </cell>
          <cell r="AC2">
            <v>33.714913788000004</v>
          </cell>
          <cell r="AD2">
            <v>20.090257854000004</v>
          </cell>
          <cell r="AE2">
            <v>18.548406900000003</v>
          </cell>
          <cell r="AF2">
            <v>27.909638357999999</v>
          </cell>
          <cell r="AG2">
            <v>13.881282000000002</v>
          </cell>
          <cell r="AH2">
            <v>16.226553841220454</v>
          </cell>
          <cell r="AI2">
            <v>19.721832014121993</v>
          </cell>
          <cell r="AJ2">
            <v>23.631931302899027</v>
          </cell>
          <cell r="AK2">
            <v>28.86563116963908</v>
          </cell>
          <cell r="AL2">
            <v>28.845369091198258</v>
          </cell>
          <cell r="AM2">
            <v>27.733215264525022</v>
          </cell>
          <cell r="AN2">
            <v>29.18413693386649</v>
          </cell>
          <cell r="AO2">
            <v>29.092866304365124</v>
          </cell>
          <cell r="AP2">
            <v>29.136518279991613</v>
          </cell>
          <cell r="AQ2">
            <v>29.264288094713912</v>
          </cell>
          <cell r="AR2">
            <v>29.329023754181627</v>
          </cell>
          <cell r="AS2">
            <v>29.023431525806195</v>
          </cell>
          <cell r="AT2">
            <v>29.154581359495914</v>
          </cell>
          <cell r="AU2">
            <v>29.021241648976989</v>
          </cell>
          <cell r="AV2">
            <v>29.270621631560353</v>
          </cell>
        </row>
        <row r="3">
          <cell r="H3">
            <v>43679</v>
          </cell>
          <cell r="I3">
            <v>43710</v>
          </cell>
          <cell r="J3">
            <v>43740</v>
          </cell>
          <cell r="K3">
            <v>43771</v>
          </cell>
          <cell r="L3">
            <v>43801</v>
          </cell>
          <cell r="M3">
            <v>43832</v>
          </cell>
          <cell r="N3">
            <v>43863</v>
          </cell>
          <cell r="O3">
            <v>43892</v>
          </cell>
          <cell r="P3">
            <v>43923</v>
          </cell>
          <cell r="Q3">
            <v>43953</v>
          </cell>
          <cell r="R3">
            <v>43984</v>
          </cell>
          <cell r="S3">
            <v>44014</v>
          </cell>
          <cell r="T3">
            <v>44045</v>
          </cell>
          <cell r="U3">
            <v>44076</v>
          </cell>
          <cell r="V3">
            <v>44106</v>
          </cell>
          <cell r="W3">
            <v>44137</v>
          </cell>
          <cell r="X3">
            <v>44167</v>
          </cell>
        </row>
        <row r="4">
          <cell r="F4"/>
          <cell r="G4"/>
          <cell r="H4"/>
          <cell r="I4"/>
          <cell r="J4"/>
          <cell r="K4"/>
          <cell r="L4"/>
          <cell r="M4"/>
          <cell r="N4"/>
          <cell r="O4"/>
          <cell r="P4"/>
          <cell r="Q4"/>
          <cell r="R4"/>
          <cell r="S4"/>
          <cell r="T4"/>
          <cell r="U4"/>
          <cell r="V4"/>
        </row>
        <row r="7">
          <cell r="H7">
            <v>0.39182363423008387</v>
          </cell>
          <cell r="I7">
            <v>0.2216113230263459</v>
          </cell>
          <cell r="J7">
            <v>0.59643698300303716</v>
          </cell>
          <cell r="K7">
            <v>0.56993512537453628</v>
          </cell>
          <cell r="L7">
            <v>0.64258389415354455</v>
          </cell>
          <cell r="M7">
            <v>0.33910230182228851</v>
          </cell>
          <cell r="N7">
            <v>0.72585738643227993</v>
          </cell>
          <cell r="O7">
            <v>0.67877677003271597</v>
          </cell>
          <cell r="P7">
            <v>0.37553485757121435</v>
          </cell>
          <cell r="Q7">
            <v>0.64516963887942547</v>
          </cell>
          <cell r="R7">
            <v>0.31575862400307481</v>
          </cell>
          <cell r="S7">
            <v>0.39326065497872936</v>
          </cell>
          <cell r="T7">
            <v>0.3302990993824087</v>
          </cell>
          <cell r="U7">
            <v>0.58301798614568867</v>
          </cell>
          <cell r="V7">
            <v>0.31373027945586512</v>
          </cell>
          <cell r="W7">
            <v>0.48721914685557821</v>
          </cell>
          <cell r="X7">
            <v>0.36383103528880723</v>
          </cell>
        </row>
        <row r="8">
          <cell r="L8">
            <v>14.1</v>
          </cell>
          <cell r="M8"/>
          <cell r="N8">
            <v>3.4</v>
          </cell>
          <cell r="O8"/>
          <cell r="P8"/>
          <cell r="Q8">
            <v>2</v>
          </cell>
          <cell r="R8">
            <v>3.58</v>
          </cell>
          <cell r="S8">
            <v>23</v>
          </cell>
          <cell r="T8">
            <v>27</v>
          </cell>
          <cell r="U8">
            <v>13</v>
          </cell>
          <cell r="V8">
            <v>7</v>
          </cell>
          <cell r="W8">
            <v>32</v>
          </cell>
          <cell r="X8">
            <v>20.677</v>
          </cell>
          <cell r="Y8">
            <v>6</v>
          </cell>
          <cell r="Z8">
            <v>39</v>
          </cell>
          <cell r="AA8">
            <v>37</v>
          </cell>
          <cell r="AB8">
            <v>29.5</v>
          </cell>
          <cell r="AC8">
            <v>35</v>
          </cell>
          <cell r="AD8">
            <v>31.5</v>
          </cell>
          <cell r="AE8">
            <v>100</v>
          </cell>
          <cell r="AF8">
            <v>26</v>
          </cell>
          <cell r="AG8">
            <v>51</v>
          </cell>
          <cell r="AH8">
            <v>42</v>
          </cell>
          <cell r="AI8">
            <v>29</v>
          </cell>
          <cell r="AJ8">
            <v>28</v>
          </cell>
          <cell r="AK8">
            <v>10</v>
          </cell>
          <cell r="AL8">
            <v>31</v>
          </cell>
          <cell r="AM8">
            <v>21</v>
          </cell>
          <cell r="AN8">
            <v>51</v>
          </cell>
          <cell r="AO8">
            <v>44</v>
          </cell>
          <cell r="AP8">
            <v>30</v>
          </cell>
          <cell r="AQ8">
            <v>42</v>
          </cell>
          <cell r="AR8">
            <v>41</v>
          </cell>
          <cell r="AS8">
            <v>45</v>
          </cell>
          <cell r="AT8">
            <v>52</v>
          </cell>
          <cell r="AU8">
            <v>57</v>
          </cell>
          <cell r="AV8">
            <v>60</v>
          </cell>
        </row>
        <row r="9">
          <cell r="M9"/>
          <cell r="N9">
            <v>-5.97</v>
          </cell>
          <cell r="O9">
            <v>5.85</v>
          </cell>
          <cell r="P9"/>
          <cell r="Q9"/>
          <cell r="R9"/>
          <cell r="S9"/>
          <cell r="T9"/>
          <cell r="U9">
            <v>-5</v>
          </cell>
          <cell r="V9"/>
          <cell r="W9"/>
          <cell r="X9"/>
          <cell r="Y9"/>
          <cell r="Z9"/>
          <cell r="AA9"/>
          <cell r="AB9"/>
          <cell r="AC9"/>
          <cell r="AD9"/>
          <cell r="AE9"/>
          <cell r="AF9">
            <v>-2</v>
          </cell>
          <cell r="AG9"/>
          <cell r="AH9"/>
          <cell r="AI9"/>
          <cell r="AJ9"/>
          <cell r="AK9"/>
          <cell r="AL9"/>
          <cell r="AM9"/>
          <cell r="AN9"/>
          <cell r="AO9"/>
          <cell r="AP9"/>
          <cell r="AQ9"/>
          <cell r="AR9"/>
          <cell r="AS9"/>
          <cell r="AT9"/>
          <cell r="AU9"/>
          <cell r="AV9"/>
        </row>
        <row r="54">
          <cell r="L54">
            <v>43801</v>
          </cell>
          <cell r="M54">
            <v>43832</v>
          </cell>
          <cell r="N54">
            <v>43863</v>
          </cell>
          <cell r="O54">
            <v>43892</v>
          </cell>
          <cell r="P54">
            <v>43923</v>
          </cell>
          <cell r="Q54">
            <v>43953</v>
          </cell>
          <cell r="R54">
            <v>43984</v>
          </cell>
          <cell r="S54">
            <v>44014</v>
          </cell>
          <cell r="T54">
            <v>44045</v>
          </cell>
          <cell r="U54">
            <v>44076</v>
          </cell>
          <cell r="V54">
            <v>44106</v>
          </cell>
          <cell r="W54">
            <v>44137</v>
          </cell>
          <cell r="X54">
            <v>44167</v>
          </cell>
        </row>
        <row r="59">
          <cell r="A59" t="str">
            <v>C3/LPG GSP RY</v>
          </cell>
          <cell r="L59">
            <v>308.76</v>
          </cell>
          <cell r="M59">
            <v>274.16699999999997</v>
          </cell>
          <cell r="N59">
            <v>269</v>
          </cell>
          <cell r="O59">
            <v>299.5</v>
          </cell>
          <cell r="P59">
            <v>248.80099999999999</v>
          </cell>
          <cell r="Q59">
            <v>225</v>
          </cell>
          <cell r="R59">
            <v>238.5</v>
          </cell>
          <cell r="S59">
            <v>250.608</v>
          </cell>
          <cell r="T59">
            <v>270.3</v>
          </cell>
          <cell r="U59">
            <v>276</v>
          </cell>
          <cell r="V59">
            <v>279.80200000000002</v>
          </cell>
          <cell r="W59">
            <v>255.7</v>
          </cell>
          <cell r="X59">
            <v>267.7</v>
          </cell>
          <cell r="Y59">
            <v>277.40185793868551</v>
          </cell>
          <cell r="Z59">
            <v>254.34023227435031</v>
          </cell>
          <cell r="AA59">
            <v>285</v>
          </cell>
          <cell r="AB59">
            <v>264.5</v>
          </cell>
          <cell r="AC59">
            <v>290.161</v>
          </cell>
          <cell r="AD59">
            <v>283.28385350177302</v>
          </cell>
          <cell r="AE59">
            <v>214</v>
          </cell>
          <cell r="AF59">
            <v>279</v>
          </cell>
          <cell r="AG59">
            <v>256.75632875843218</v>
          </cell>
          <cell r="AH59">
            <v>242.24027184122048</v>
          </cell>
          <cell r="AI59">
            <v>257.97827817290158</v>
          </cell>
          <cell r="AJ59">
            <v>271.07009928877699</v>
          </cell>
          <cell r="AK59">
            <v>295.37387931034482</v>
          </cell>
          <cell r="AL59">
            <v>261.73965517241385</v>
          </cell>
          <cell r="AM59">
            <v>289.78318965517246</v>
          </cell>
          <cell r="AN59">
            <v>266.93534482758628</v>
          </cell>
          <cell r="AO59">
            <v>265.11650862068961</v>
          </cell>
          <cell r="AP59">
            <v>255.4913793103448</v>
          </cell>
          <cell r="AQ59">
            <v>264.00775862068963</v>
          </cell>
          <cell r="AR59">
            <v>264.20818965517242</v>
          </cell>
          <cell r="AS59">
            <v>255.68534482758628</v>
          </cell>
          <cell r="AT59">
            <v>264.20818965517242</v>
          </cell>
          <cell r="AU59">
            <v>249.78879310344828</v>
          </cell>
          <cell r="AV59">
            <v>242.90483077594604</v>
          </cell>
        </row>
        <row r="61">
          <cell r="A61" t="str">
            <v>GC</v>
          </cell>
          <cell r="L61">
            <v>25</v>
          </cell>
          <cell r="M61">
            <v>20</v>
          </cell>
          <cell r="N61">
            <v>18</v>
          </cell>
          <cell r="O61">
            <v>7</v>
          </cell>
          <cell r="P61">
            <v>2</v>
          </cell>
          <cell r="Q61">
            <v>6</v>
          </cell>
          <cell r="R61">
            <v>0</v>
          </cell>
          <cell r="S61">
            <v>4</v>
          </cell>
          <cell r="T61">
            <v>1.2</v>
          </cell>
          <cell r="U61">
            <v>0</v>
          </cell>
          <cell r="V61">
            <v>0</v>
          </cell>
          <cell r="W61">
            <v>13</v>
          </cell>
          <cell r="X61">
            <v>11.6</v>
          </cell>
          <cell r="Y61">
            <v>19</v>
          </cell>
          <cell r="Z61">
            <v>15</v>
          </cell>
          <cell r="AA61">
            <v>0</v>
          </cell>
          <cell r="AB61">
            <v>2</v>
          </cell>
          <cell r="AC61">
            <v>0</v>
          </cell>
          <cell r="AD61">
            <v>0</v>
          </cell>
          <cell r="AE61">
            <v>0</v>
          </cell>
          <cell r="AF61">
            <v>0</v>
          </cell>
          <cell r="AG61">
            <v>0</v>
          </cell>
          <cell r="AH61">
            <v>1</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row>
        <row r="62">
          <cell r="A62" t="str">
            <v>SPRC</v>
          </cell>
          <cell r="K62">
            <v>0</v>
          </cell>
          <cell r="L62">
            <v>3.96</v>
          </cell>
          <cell r="M62">
            <v>6.37</v>
          </cell>
          <cell r="N62">
            <v>6.1</v>
          </cell>
          <cell r="O62">
            <v>6.4799999999999995</v>
          </cell>
          <cell r="P62">
            <v>4.3</v>
          </cell>
          <cell r="Q62">
            <v>3</v>
          </cell>
          <cell r="R62">
            <v>3</v>
          </cell>
          <cell r="S62">
            <v>3.5</v>
          </cell>
          <cell r="T62">
            <v>3</v>
          </cell>
          <cell r="U62">
            <v>3.6</v>
          </cell>
          <cell r="V62">
            <v>6.7600000000000007</v>
          </cell>
          <cell r="W62">
            <v>6.06</v>
          </cell>
          <cell r="X62">
            <v>6.67</v>
          </cell>
        </row>
        <row r="63">
          <cell r="A63" t="str">
            <v xml:space="preserve">PTTEP/LKB </v>
          </cell>
          <cell r="L63">
            <v>6.05</v>
          </cell>
          <cell r="M63">
            <v>6.2</v>
          </cell>
          <cell r="N63">
            <v>5.66</v>
          </cell>
          <cell r="O63">
            <v>6.0449999999999999</v>
          </cell>
          <cell r="P63">
            <v>5.85</v>
          </cell>
          <cell r="Q63">
            <v>4.5999999999999996</v>
          </cell>
          <cell r="R63">
            <v>5.7</v>
          </cell>
          <cell r="S63">
            <v>5.7</v>
          </cell>
          <cell r="T63">
            <v>5.68</v>
          </cell>
          <cell r="U63">
            <v>5.4</v>
          </cell>
          <cell r="V63">
            <v>5.8</v>
          </cell>
          <cell r="W63">
            <v>5.4</v>
          </cell>
          <cell r="X63">
            <v>5.58</v>
          </cell>
        </row>
        <row r="64">
          <cell r="A64" t="str">
            <v>GSP KHM</v>
          </cell>
          <cell r="L64">
            <v>13.26</v>
          </cell>
          <cell r="M64">
            <v>17</v>
          </cell>
          <cell r="N64">
            <v>17.5</v>
          </cell>
          <cell r="O64">
            <v>15</v>
          </cell>
          <cell r="P64">
            <v>16.5</v>
          </cell>
          <cell r="Q64">
            <v>15</v>
          </cell>
          <cell r="R64">
            <v>14.5</v>
          </cell>
          <cell r="S64">
            <v>15.5</v>
          </cell>
          <cell r="T64">
            <v>13.04</v>
          </cell>
          <cell r="U64">
            <v>17.2</v>
          </cell>
          <cell r="V64">
            <v>15.83</v>
          </cell>
          <cell r="W64">
            <v>16.2</v>
          </cell>
          <cell r="X64">
            <v>15.4</v>
          </cell>
        </row>
        <row r="96">
          <cell r="AC96">
            <v>17</v>
          </cell>
          <cell r="AD96">
            <v>18</v>
          </cell>
          <cell r="AF96"/>
          <cell r="AG96"/>
          <cell r="AH96"/>
          <cell r="AI96"/>
          <cell r="AJ96"/>
          <cell r="AK96">
            <v>13.18</v>
          </cell>
          <cell r="AL96"/>
          <cell r="AM96"/>
          <cell r="AN96">
            <v>10</v>
          </cell>
        </row>
        <row r="97">
          <cell r="AO97">
            <v>13.481</v>
          </cell>
          <cell r="AP97">
            <v>13.045999999999999</v>
          </cell>
          <cell r="AQ97">
            <v>13.481</v>
          </cell>
          <cell r="AR97">
            <v>8.4809999999999999</v>
          </cell>
          <cell r="AS97">
            <v>13.045999999999999</v>
          </cell>
          <cell r="AT97">
            <v>10.8</v>
          </cell>
          <cell r="AU97">
            <v>10.8</v>
          </cell>
          <cell r="AV97">
            <v>10.8</v>
          </cell>
        </row>
        <row r="98">
          <cell r="AO98"/>
          <cell r="AP98">
            <v>34.861799729561781</v>
          </cell>
          <cell r="AQ98">
            <v>47.748060573613706</v>
          </cell>
          <cell r="AR98">
            <v>47.748059323430049</v>
          </cell>
          <cell r="AS98">
            <v>19.89204045832156</v>
          </cell>
          <cell r="AT98">
            <v>43.545179998576657</v>
          </cell>
          <cell r="AU98">
            <v>42.982199800729759</v>
          </cell>
          <cell r="AV98">
            <v>17.454420186460034</v>
          </cell>
        </row>
        <row r="170">
          <cell r="M170">
            <v>109.81</v>
          </cell>
          <cell r="N170">
            <v>84.705999999999989</v>
          </cell>
          <cell r="O170">
            <v>119.328</v>
          </cell>
          <cell r="P170">
            <v>121.05</v>
          </cell>
          <cell r="Q170">
            <v>73.457999999999998</v>
          </cell>
          <cell r="R170">
            <v>99.144000000000005</v>
          </cell>
          <cell r="S170">
            <v>95.72999999999999</v>
          </cell>
          <cell r="T170">
            <v>108.71236263736263</v>
          </cell>
          <cell r="U170">
            <v>94.41</v>
          </cell>
          <cell r="V170">
            <v>97.06</v>
          </cell>
          <cell r="W170">
            <v>100.8</v>
          </cell>
          <cell r="X170">
            <v>112.874</v>
          </cell>
          <cell r="Y170">
            <v>114.867</v>
          </cell>
          <cell r="Z170">
            <v>120.536</v>
          </cell>
          <cell r="AA170">
            <v>128.65600000000001</v>
          </cell>
          <cell r="AB170">
            <v>128.49099999999999</v>
          </cell>
          <cell r="AC170">
            <v>171.02699999999999</v>
          </cell>
          <cell r="AD170">
            <v>148.04000000000002</v>
          </cell>
          <cell r="AE170">
            <v>131.059</v>
          </cell>
          <cell r="AF170">
            <v>123.10399999999998</v>
          </cell>
          <cell r="AG170">
            <v>147.90600000000001</v>
          </cell>
          <cell r="AH170">
            <v>107.60600000000001</v>
          </cell>
          <cell r="AI170">
            <v>109.64300000000001</v>
          </cell>
          <cell r="AJ170">
            <v>114.94999999999999</v>
          </cell>
          <cell r="AK170">
            <v>116.13017944360473</v>
          </cell>
          <cell r="AL170">
            <v>121.8099172508546</v>
          </cell>
          <cell r="AM170">
            <v>129.49534348184571</v>
          </cell>
          <cell r="AN170">
            <v>135.42442315824482</v>
          </cell>
          <cell r="AO170">
            <v>128.38777925019099</v>
          </cell>
          <cell r="AP170">
            <v>106.34772733471829</v>
          </cell>
          <cell r="AQ170">
            <v>109.73998880596733</v>
          </cell>
          <cell r="AR170">
            <v>109.41345399570474</v>
          </cell>
          <cell r="AS170">
            <v>102.85093705596174</v>
          </cell>
          <cell r="AT170">
            <v>114.79703982148268</v>
          </cell>
          <cell r="AU170">
            <v>111.8421328139672</v>
          </cell>
          <cell r="AV170">
            <v>104.68545079336262</v>
          </cell>
        </row>
        <row r="174">
          <cell r="M174">
            <v>22.66</v>
          </cell>
          <cell r="N174">
            <v>18.09</v>
          </cell>
          <cell r="O174">
            <v>17.23</v>
          </cell>
          <cell r="P174">
            <v>11.25</v>
          </cell>
          <cell r="Q174">
            <v>12.100000000000001</v>
          </cell>
          <cell r="R174">
            <v>17.88</v>
          </cell>
          <cell r="S174">
            <v>23.200000000000003</v>
          </cell>
          <cell r="T174">
            <v>31.1</v>
          </cell>
          <cell r="U174">
            <v>28.200000000000003</v>
          </cell>
          <cell r="V174">
            <v>31.5</v>
          </cell>
          <cell r="W174">
            <v>32.200000000000003</v>
          </cell>
          <cell r="X174">
            <v>30.77</v>
          </cell>
          <cell r="Y174">
            <v>26.55</v>
          </cell>
          <cell r="Z174">
            <v>32.519999999999996</v>
          </cell>
          <cell r="AA174">
            <v>34.83</v>
          </cell>
          <cell r="AB174">
            <v>29.07</v>
          </cell>
          <cell r="AC174">
            <v>28.519999999999996</v>
          </cell>
          <cell r="AD174">
            <v>36.29</v>
          </cell>
          <cell r="AE174">
            <v>38.450000000000003</v>
          </cell>
          <cell r="AF174">
            <v>32.43</v>
          </cell>
          <cell r="AG174">
            <v>33.450000000000003</v>
          </cell>
          <cell r="AH174">
            <v>29.48</v>
          </cell>
          <cell r="AI174">
            <v>31.700000000000003</v>
          </cell>
          <cell r="AJ174">
            <v>30.200000000000003</v>
          </cell>
          <cell r="AK174">
            <v>30.68</v>
          </cell>
          <cell r="AL174">
            <v>30.68</v>
          </cell>
          <cell r="AM174">
            <v>42.68</v>
          </cell>
          <cell r="AN174">
            <v>33.68</v>
          </cell>
          <cell r="AO174">
            <v>30.68</v>
          </cell>
          <cell r="AP174">
            <v>30.68</v>
          </cell>
          <cell r="AQ174">
            <v>39.480000000000004</v>
          </cell>
          <cell r="AR174">
            <v>37.619999999999997</v>
          </cell>
          <cell r="AS174">
            <v>44.120000000000005</v>
          </cell>
          <cell r="AT174">
            <v>45.320000000000007</v>
          </cell>
          <cell r="AU174">
            <v>43.480000000000004</v>
          </cell>
          <cell r="AV174">
            <v>44.080000000000005</v>
          </cell>
        </row>
        <row r="175">
          <cell r="M175">
            <v>181.64329082</v>
          </cell>
          <cell r="N175">
            <v>175.59545953</v>
          </cell>
          <cell r="O175">
            <v>161.47</v>
          </cell>
          <cell r="P175">
            <v>132.49</v>
          </cell>
          <cell r="Q175">
            <v>133.46</v>
          </cell>
          <cell r="R175">
            <v>141.44</v>
          </cell>
          <cell r="S175">
            <v>156.22999999999999</v>
          </cell>
          <cell r="T175">
            <v>160.78</v>
          </cell>
          <cell r="U175">
            <v>158.84</v>
          </cell>
          <cell r="V175">
            <v>166.91</v>
          </cell>
          <cell r="W175">
            <v>160.70240770999999</v>
          </cell>
          <cell r="X175">
            <v>162.72</v>
          </cell>
          <cell r="Y175">
            <v>156.13</v>
          </cell>
          <cell r="Z175">
            <v>148.42743945000001</v>
          </cell>
          <cell r="AA175">
            <v>162.11000000000001</v>
          </cell>
          <cell r="AB175">
            <v>137.82999999999998</v>
          </cell>
          <cell r="AC175">
            <v>140.82999999999998</v>
          </cell>
          <cell r="AD175">
            <v>141.32</v>
          </cell>
          <cell r="AE175">
            <v>145.26999999999998</v>
          </cell>
          <cell r="AF175">
            <v>138.22999999999999</v>
          </cell>
          <cell r="AG175">
            <v>138.94999999999999</v>
          </cell>
          <cell r="AH175">
            <v>144.75900000000001</v>
          </cell>
          <cell r="AI175">
            <v>140.63999999999999</v>
          </cell>
          <cell r="AJ175">
            <v>148.66</v>
          </cell>
          <cell r="AK175">
            <v>152.48000000000002</v>
          </cell>
          <cell r="AL175">
            <v>139.37</v>
          </cell>
          <cell r="AM175">
            <v>138.82</v>
          </cell>
          <cell r="AN175">
            <v>146.43</v>
          </cell>
          <cell r="AO175">
            <v>149.19</v>
          </cell>
          <cell r="AP175">
            <v>147.52000000000001</v>
          </cell>
          <cell r="AQ175">
            <v>155.56</v>
          </cell>
          <cell r="AR175">
            <v>157.01</v>
          </cell>
          <cell r="AS175">
            <v>152.91999999999999</v>
          </cell>
          <cell r="AT175">
            <v>154.86000000000001</v>
          </cell>
          <cell r="AU175">
            <v>150.5</v>
          </cell>
          <cell r="AV175">
            <v>152.79</v>
          </cell>
        </row>
        <row r="176">
          <cell r="M176">
            <v>1.3</v>
          </cell>
          <cell r="N176">
            <v>1.56</v>
          </cell>
          <cell r="O176">
            <v>1.3</v>
          </cell>
          <cell r="P176">
            <v>1.45</v>
          </cell>
          <cell r="Q176">
            <v>1.3585938099999999</v>
          </cell>
          <cell r="R176">
            <v>1.12617382</v>
          </cell>
          <cell r="S176">
            <v>1.4</v>
          </cell>
          <cell r="T176">
            <v>1.02</v>
          </cell>
          <cell r="U176">
            <v>1.45</v>
          </cell>
          <cell r="V176">
            <v>1.4500000000000002</v>
          </cell>
          <cell r="W176">
            <v>1.4</v>
          </cell>
          <cell r="X176">
            <v>1.2</v>
          </cell>
          <cell r="Y176">
            <v>1.4</v>
          </cell>
          <cell r="Z176">
            <v>1.2999999999999998</v>
          </cell>
          <cell r="AA176">
            <v>1.35</v>
          </cell>
          <cell r="AB176">
            <v>1.2</v>
          </cell>
          <cell r="AC176">
            <v>1.45</v>
          </cell>
          <cell r="AD176">
            <v>1.47</v>
          </cell>
          <cell r="AE176">
            <v>1.26</v>
          </cell>
          <cell r="AF176">
            <v>1.33</v>
          </cell>
          <cell r="AG176">
            <v>1.23</v>
          </cell>
          <cell r="AH176">
            <v>1.05</v>
          </cell>
          <cell r="AI176">
            <v>1.5</v>
          </cell>
          <cell r="AJ176">
            <v>1.35</v>
          </cell>
          <cell r="AK176">
            <v>0.85</v>
          </cell>
          <cell r="AL176">
            <v>0.9</v>
          </cell>
          <cell r="AM176">
            <v>0.9</v>
          </cell>
          <cell r="AN176">
            <v>0.95</v>
          </cell>
          <cell r="AO176">
            <v>0.95</v>
          </cell>
          <cell r="AP176">
            <v>0.9</v>
          </cell>
          <cell r="AQ176">
            <v>1.1000000000000001</v>
          </cell>
          <cell r="AR176">
            <v>1.1000000000000001</v>
          </cell>
          <cell r="AS176">
            <v>1.1000000000000001</v>
          </cell>
          <cell r="AT176">
            <v>1.1000000000000001</v>
          </cell>
          <cell r="AU176">
            <v>1.1000000000000001</v>
          </cell>
          <cell r="AV176">
            <v>1.1000000000000001</v>
          </cell>
        </row>
        <row r="188">
          <cell r="L188">
            <v>301.83112309999996</v>
          </cell>
          <cell r="M188">
            <v>297.98329081999998</v>
          </cell>
          <cell r="N188">
            <v>287.21145953000001</v>
          </cell>
          <cell r="O188">
            <v>287.78300000000007</v>
          </cell>
          <cell r="P188">
            <v>293.58999999999986</v>
          </cell>
          <cell r="Q188">
            <v>243.57659381000002</v>
          </cell>
          <cell r="R188">
            <v>282.79017382000001</v>
          </cell>
          <cell r="S188">
            <v>301.85999999999996</v>
          </cell>
          <cell r="T188">
            <v>323.9323626373627</v>
          </cell>
          <cell r="U188">
            <v>310.59999999999997</v>
          </cell>
          <cell r="V188">
            <v>325.31</v>
          </cell>
          <cell r="W188">
            <v>323.36240770999996</v>
          </cell>
          <cell r="X188">
            <v>337.09400000000005</v>
          </cell>
        </row>
      </sheetData>
      <sheetData sheetId="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ility"/>
      <sheetName val="Ethane Balance"/>
      <sheetName val="C3LPG Balance"/>
      <sheetName val="NGL Balance"/>
      <sheetName val="Pentane Balance"/>
      <sheetName val="แผนจำหน่าย เม.ย. 64"/>
      <sheetName val="ปรับแผนจำหน่าย เม.ย. 64 (1)"/>
      <sheetName val="ปรับแผนจำหน่าย เม.ย. 64 (2)"/>
      <sheetName val="ปรับแผนจำหน่าย เม.ย. 64 (3)"/>
      <sheetName val="ปรับแผนจำหน่าย เม.ย. 64 (4)"/>
      <sheetName val="สรุปแผนจำหน่าย เม.ย. (Final)"/>
      <sheetName val="แผนจำหน่าย พ.ค. 64"/>
      <sheetName val="ปรับแผนจำหน่าย พ.ค. 64 (1)"/>
      <sheetName val="ปรับแผนจำหน่าย พ.ค. 64 (2)"/>
      <sheetName val="สรุปแผนจำหน่าย พ.ค. (Final)"/>
      <sheetName val="Link 2021"/>
      <sheetName val="แผนจำหน่าย มิ.ย. 64"/>
      <sheetName val="สรุปแผนจำหน่าย มิ.ย. (Final)"/>
      <sheetName val="Form แผนจำหน่าย"/>
      <sheetName val="Form ปรับแผนจำหน่าย"/>
    </sheetNames>
    <sheetDataSet>
      <sheetData sheetId="0">
        <row r="55">
          <cell r="C55">
            <v>7.84</v>
          </cell>
          <cell r="D55">
            <v>14</v>
          </cell>
          <cell r="E55">
            <v>15.81</v>
          </cell>
          <cell r="F55">
            <v>15.15</v>
          </cell>
          <cell r="G55">
            <v>15.654999999999999</v>
          </cell>
          <cell r="H55">
            <v>15</v>
          </cell>
          <cell r="I55">
            <v>13.02</v>
          </cell>
          <cell r="J55">
            <v>13.02</v>
          </cell>
          <cell r="K55">
            <v>12.6</v>
          </cell>
          <cell r="L55">
            <v>4.2</v>
          </cell>
          <cell r="M55">
            <v>12.6</v>
          </cell>
          <cell r="N55">
            <v>13.02</v>
          </cell>
          <cell r="O55">
            <v>14.414999999999999</v>
          </cell>
          <cell r="P55">
            <v>13.02</v>
          </cell>
          <cell r="Q55">
            <v>18.538</v>
          </cell>
          <cell r="R55">
            <v>17.940000000000001</v>
          </cell>
          <cell r="S55">
            <v>4.7119999999999997</v>
          </cell>
          <cell r="T55">
            <v>5.22</v>
          </cell>
          <cell r="U55">
            <v>16.957000000000001</v>
          </cell>
          <cell r="V55">
            <v>18.196999999999999</v>
          </cell>
          <cell r="W55">
            <v>17.37</v>
          </cell>
          <cell r="X55">
            <v>17.856000000000002</v>
          </cell>
          <cell r="Y55">
            <v>13.5</v>
          </cell>
          <cell r="Z55">
            <v>13.95</v>
          </cell>
          <cell r="AA55">
            <v>15.5</v>
          </cell>
          <cell r="AB55">
            <v>14.28</v>
          </cell>
          <cell r="AC55">
            <v>16.027000000000001</v>
          </cell>
          <cell r="AD55">
            <v>15.6</v>
          </cell>
          <cell r="AE55">
            <v>16.12</v>
          </cell>
          <cell r="AF55">
            <v>15.42</v>
          </cell>
          <cell r="AG55">
            <v>16.027000000000001</v>
          </cell>
          <cell r="AH55">
            <v>15.933999999999999</v>
          </cell>
          <cell r="AI55">
            <v>15.45</v>
          </cell>
          <cell r="AJ55">
            <v>10.85</v>
          </cell>
          <cell r="AK55">
            <v>10.5</v>
          </cell>
          <cell r="AL55">
            <v>13.26</v>
          </cell>
          <cell r="AM55">
            <v>14.281000000000001</v>
          </cell>
          <cell r="AN55">
            <v>13.484999999999999</v>
          </cell>
          <cell r="AO55">
            <v>17</v>
          </cell>
          <cell r="AP55">
            <v>15.6</v>
          </cell>
          <cell r="AQ55">
            <v>17.05</v>
          </cell>
          <cell r="AR55">
            <v>15.6</v>
          </cell>
          <cell r="AS55">
            <v>14.589</v>
          </cell>
          <cell r="AT55">
            <v>13.04</v>
          </cell>
          <cell r="AU55">
            <v>15.6</v>
          </cell>
          <cell r="AV55">
            <v>16.739999999999998</v>
          </cell>
          <cell r="AW55">
            <v>16.2</v>
          </cell>
          <cell r="AX55">
            <v>16.12</v>
          </cell>
          <cell r="AY55">
            <v>13.12</v>
          </cell>
          <cell r="AZ55">
            <v>6.72</v>
          </cell>
          <cell r="BA55">
            <v>15.56</v>
          </cell>
          <cell r="BB55">
            <v>15</v>
          </cell>
          <cell r="BC55">
            <v>15.5</v>
          </cell>
          <cell r="BD55">
            <v>13.95</v>
          </cell>
          <cell r="BE55">
            <v>8.99</v>
          </cell>
          <cell r="BF55">
            <v>14.66</v>
          </cell>
          <cell r="BG55">
            <v>15</v>
          </cell>
          <cell r="BH55">
            <v>15.5</v>
          </cell>
          <cell r="BI55">
            <v>15</v>
          </cell>
          <cell r="BJ55">
            <v>15.08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persons/person.xml><?xml version="1.0" encoding="utf-8"?>
<personList xmlns="http://schemas.microsoft.com/office/spreadsheetml/2018/threadedcomments" xmlns:x="http://schemas.openxmlformats.org/spreadsheetml/2006/main">
  <person displayName="Primapa Thanyathirakonkoon" id="{61959905-9377-5A4E-BB99-82009396F529}" userId="S::zprimapa.th@pttdigital.com::5554cd9f-7781-4a07-b02d-dfe98b1b1aa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3" dT="2021-11-15T07:39:14.69" personId="{61959905-9377-5A4E-BB99-82009396F529}" id="{69E289C2-E852-FD4B-9FC9-DD70E4803C57}">
    <text>คือ row 47 - c3 split cargo to scg</text>
  </threadedComment>
  <threadedComment ref="A43" dT="2021-11-15T07:44:00.41" personId="{61959905-9377-5A4E-BB99-82009396F529}" id="{BA1EEB90-9ACA-1C40-806D-5FDC0CB303BE}">
    <text xml:space="preserve">ต้นทางมาจากหน่วยงาน กผ.
</text>
  </threadedComment>
  <threadedComment ref="A47" dT="2021-11-15T07:08:57.42" personId="{61959905-9377-5A4E-BB99-82009396F529}" id="{5240FB1E-DF6D-4447-96C8-F39FB4F39A7D}">
    <text>22 KT = ครึ่งลำ
44 KT = 1ลำ
66 KT = 1ลำ ครึ่ง
88 KT = 2 ลำ</text>
  </threadedComment>
</ThreadedComments>
</file>

<file path=xl/threadedComments/threadedComment2.xml><?xml version="1.0" encoding="utf-8"?>
<ThreadedComments xmlns="http://schemas.microsoft.com/office/spreadsheetml/2018/threadedcomments" xmlns:x="http://schemas.openxmlformats.org/spreadsheetml/2006/main">
  <threadedComment ref="AW6" dT="2021-11-05T03:28:25.32" personId="{61959905-9377-5A4E-BB99-82009396F529}" id="{DF010D19-FFE4-7A4C-9F6A-156D1B6B5E29}">
    <text xml:space="preserve">ได้มาจาก 24377 (oct-21) +ability เดือน nov21 ของ C3 และ LGP -ยอดขายลูกค้า C3 และ LPG </text>
  </threadedComment>
  <threadedComment ref="A8" dT="2021-11-15T07:00:15.77" personId="{61959905-9377-5A4E-BB99-82009396F529}" id="{31525DE5-402F-D04C-A782-607827001621}">
    <text xml:space="preserve">ข้อมูลมาจากการรันโมเดล จากdemand มากกว่า supply
</text>
  </threadedComment>
</ThreadedComments>
</file>

<file path=xl/threadedComments/threadedComment3.xml><?xml version="1.0" encoding="utf-8"?>
<ThreadedComments xmlns="http://schemas.microsoft.com/office/spreadsheetml/2018/threadedcomments" xmlns:x="http://schemas.openxmlformats.org/spreadsheetml/2006/main">
  <threadedComment ref="AO6" dT="2021-11-05T03:02:25.32" personId="{61959905-9377-5A4E-BB99-82009396F529}" id="{14FDF8E9-0649-2240-804F-4761139220AA}">
    <text xml:space="preserve">ได้มาจาก 24377 (oct-21) +ability เดือน nov21 ของ C3 และ LGP -ยอดขายลูกค้า C3 และ LPG </text>
  </threadedComment>
  <threadedComment ref="AP6" dT="2021-11-05T03:28:25.32" personId="{61959905-9377-5A4E-BB99-82009396F529}" id="{193436A3-F0CF-B54B-A8EE-216356031C9A}">
    <text xml:space="preserve">ได้มาจาก 24377 (oct-21) +ability เดือน nov21 ของ C3 และ LGP -ยอดขายลูกค้า C3 และ LPG </text>
  </threadedComment>
  <threadedComment ref="AI16" dT="2021-11-05T03:18:20.76" personId="{61959905-9377-5A4E-BB99-82009396F529}" id="{FB268740-A5F3-1A4E-8C22-A1D88C89E57A}">
    <text>ได้มาจาก 9698 (oct-21) +ability เดือน nov21 ของ C3 (กรณีที่ มี import บวกเข้าไปด้วย)-ยอดขายลูกค้า C3</text>
  </threadedComment>
  <threadedComment ref="AI24" dT="2021-11-05T03:17:17.31" personId="{61959905-9377-5A4E-BB99-82009396F529}" id="{3DE4B898-5395-5C49-BD43-89AE7B87983C}">
    <text xml:space="preserve">ได้มาจาก 14678 (oct-21) +ability เดือน nov21 ของ LPG(กรณีที่ มี import บวกเข้าไปด้วย)-ยอดขายลูกค้า LPG </text>
  </threadedComment>
</ThreadedComments>
</file>

<file path=xl/threadedComments/threadedComment4.xml><?xml version="1.0" encoding="utf-8"?>
<ThreadedComments xmlns="http://schemas.microsoft.com/office/spreadsheetml/2018/threadedcomments" xmlns:x="http://schemas.openxmlformats.org/spreadsheetml/2006/main">
  <threadedComment ref="CB12" dT="2021-11-05T03:28:25.32" personId="{61959905-9377-5A4E-BB99-82009396F529}" id="{74ABA495-3955-E049-8EE2-E2D22B69918F}">
    <text xml:space="preserve">ได้มาจาก 24377 (oct-21) +ability เดือน nov21 ของ C3 และ LGP -ยอดขายลูกค้า C3 และ LPG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3.xml"/><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microsoft.com/office/2017/10/relationships/threadedComment" Target="../threadedComments/threadedComment4.xm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F1B3A-F04E-BE47-B32A-ECA77C6FFF19}">
  <sheetPr>
    <tabColor rgb="FF00B0F0"/>
  </sheetPr>
  <dimension ref="A1:AH59"/>
  <sheetViews>
    <sheetView zoomScale="174" zoomScaleNormal="130" workbookViewId="0">
      <pane xSplit="2" ySplit="6" topLeftCell="H7" activePane="bottomRight" state="frozen"/>
      <selection pane="bottomRight" activeCell="N8" sqref="N8:T8"/>
      <selection pane="bottomLeft" activeCell="A7" sqref="A7"/>
      <selection pane="topRight" activeCell="C1" sqref="C1"/>
    </sheetView>
  </sheetViews>
  <sheetFormatPr defaultColWidth="8.875" defaultRowHeight="14.25"/>
  <cols>
    <col min="1" max="1" width="29" style="395" customWidth="1"/>
    <col min="3" max="3" width="10.375" customWidth="1"/>
    <col min="4" max="8" width="10.5" customWidth="1"/>
    <col min="9" max="11" width="10.5" bestFit="1" customWidth="1"/>
    <col min="12" max="17" width="12.125" bestFit="1" customWidth="1"/>
    <col min="18" max="18" width="10.5" customWidth="1"/>
    <col min="19" max="19" width="10.5" bestFit="1" customWidth="1"/>
    <col min="20" max="20" width="9.125" customWidth="1"/>
    <col min="21" max="21" width="10.5" bestFit="1" customWidth="1"/>
    <col min="22" max="22" width="10.5" customWidth="1"/>
    <col min="23" max="23" width="59.125" bestFit="1" customWidth="1"/>
    <col min="24" max="24" width="44.125" bestFit="1" customWidth="1"/>
    <col min="25" max="25" width="10.5" bestFit="1" customWidth="1"/>
    <col min="26" max="26" width="15.875" bestFit="1" customWidth="1"/>
  </cols>
  <sheetData>
    <row r="1" spans="1:32">
      <c r="A1" s="395" t="s">
        <v>0</v>
      </c>
      <c r="B1" s="2" t="s">
        <v>1</v>
      </c>
      <c r="C1" s="257">
        <v>200.00475408799599</v>
      </c>
      <c r="D1" s="257">
        <v>180.7371222570533</v>
      </c>
      <c r="E1" s="257">
        <v>202.46136608303385</v>
      </c>
      <c r="F1" s="257">
        <v>187.53</v>
      </c>
      <c r="G1" s="257">
        <v>203.11200000000002</v>
      </c>
      <c r="H1" s="257">
        <v>196.56</v>
      </c>
      <c r="I1" s="257">
        <v>150.69829090909093</v>
      </c>
      <c r="J1" s="257">
        <v>203.11200000000002</v>
      </c>
      <c r="K1" s="257">
        <v>184.72800000000001</v>
      </c>
      <c r="L1" s="257">
        <v>159.51758748120392</v>
      </c>
      <c r="M1" s="257">
        <v>197.83230445752736</v>
      </c>
      <c r="N1" s="257">
        <v>201.4497760022428</v>
      </c>
      <c r="O1" s="257">
        <v>204.88926380712081</v>
      </c>
      <c r="P1" s="257">
        <v>185.06127053546396</v>
      </c>
      <c r="Q1" s="257">
        <v>203.24626380712081</v>
      </c>
      <c r="R1" s="257"/>
      <c r="S1" s="257">
        <v>196.68993271656853</v>
      </c>
      <c r="T1" s="257"/>
      <c r="U1" s="257">
        <v>196.68993271656853</v>
      </c>
      <c r="V1" s="257"/>
      <c r="W1" s="409" t="s">
        <v>2</v>
      </c>
      <c r="X1" s="579" t="s">
        <v>3</v>
      </c>
    </row>
    <row r="2" spans="1:32" ht="15">
      <c r="A2" s="395" t="s">
        <v>4</v>
      </c>
      <c r="B2" s="2" t="s">
        <v>1</v>
      </c>
      <c r="C2" s="182">
        <f>C7-C1</f>
        <v>-0.99693893053157012</v>
      </c>
      <c r="D2" s="182">
        <f t="shared" ref="D2:U2" si="0">D7-D1</f>
        <v>1.5036723472260292</v>
      </c>
      <c r="E2" s="182">
        <f t="shared" si="0"/>
        <v>1.4694360233963266</v>
      </c>
      <c r="F2" s="182">
        <f t="shared" si="0"/>
        <v>-3.1503056426332421</v>
      </c>
      <c r="G2" s="182">
        <f t="shared" si="0"/>
        <v>0.50199999999998113</v>
      </c>
      <c r="H2" s="182">
        <f t="shared" si="0"/>
        <v>0</v>
      </c>
      <c r="I2" s="182">
        <f t="shared" si="0"/>
        <v>4.7709090909080487E-2</v>
      </c>
      <c r="J2" s="182">
        <f t="shared" si="0"/>
        <v>0</v>
      </c>
      <c r="K2" s="182">
        <f t="shared" si="0"/>
        <v>-1.103999999999985</v>
      </c>
      <c r="L2" s="182">
        <f t="shared" si="0"/>
        <v>0</v>
      </c>
      <c r="M2" s="182">
        <f t="shared" si="0"/>
        <v>-14.832304457527357</v>
      </c>
      <c r="N2" s="182">
        <f t="shared" si="0"/>
        <v>0</v>
      </c>
      <c r="O2" s="182">
        <f t="shared" si="0"/>
        <v>-16.586764227642249</v>
      </c>
      <c r="P2" s="182">
        <f t="shared" si="0"/>
        <v>-14.981593495934959</v>
      </c>
      <c r="Q2" s="182">
        <f t="shared" si="0"/>
        <v>-14.943764227642248</v>
      </c>
      <c r="R2" s="182"/>
      <c r="S2" s="182">
        <f t="shared" si="0"/>
        <v>-19.080243902439008</v>
      </c>
      <c r="T2" s="182"/>
      <c r="U2" s="182">
        <f t="shared" si="0"/>
        <v>-13.159920941968011</v>
      </c>
      <c r="V2" s="182"/>
      <c r="W2" s="577" t="s">
        <v>5</v>
      </c>
      <c r="X2" s="579" t="s">
        <v>3</v>
      </c>
      <c r="Y2" s="527" t="s">
        <v>6</v>
      </c>
      <c r="AF2" s="531" t="s">
        <v>7</v>
      </c>
    </row>
    <row r="3" spans="1:32">
      <c r="A3" s="395" t="s">
        <v>8</v>
      </c>
      <c r="B3" s="2" t="s">
        <v>1</v>
      </c>
      <c r="C3" s="257">
        <v>46.417000000000002</v>
      </c>
      <c r="D3" s="257">
        <v>44.466758620689653</v>
      </c>
      <c r="E3" s="257">
        <v>48.368068965517239</v>
      </c>
      <c r="F3" s="257">
        <v>45.692999999999998</v>
      </c>
      <c r="G3" s="257">
        <v>48.36</v>
      </c>
      <c r="H3" s="257">
        <v>46.8</v>
      </c>
      <c r="I3" s="257">
        <v>48.36</v>
      </c>
      <c r="J3" s="257">
        <v>48.36</v>
      </c>
      <c r="K3" s="257">
        <v>46.8</v>
      </c>
      <c r="L3" s="257">
        <v>46.692413793103455</v>
      </c>
      <c r="M3" s="257">
        <v>45.186206896551731</v>
      </c>
      <c r="N3" s="257">
        <v>47.526206896551727</v>
      </c>
      <c r="O3" s="257">
        <v>47.526206896551727</v>
      </c>
      <c r="P3" s="257">
        <v>42.926896551724141</v>
      </c>
      <c r="Q3" s="257">
        <v>47.526206896551727</v>
      </c>
      <c r="R3" s="257"/>
      <c r="S3" s="257">
        <v>45.993103448275861</v>
      </c>
      <c r="T3" s="257"/>
      <c r="U3" s="257">
        <v>45.993103448275861</v>
      </c>
      <c r="V3" s="257"/>
      <c r="W3" s="409" t="s">
        <v>9</v>
      </c>
      <c r="X3" s="579" t="s">
        <v>3</v>
      </c>
    </row>
    <row r="4" spans="1:32">
      <c r="A4" s="395" t="s">
        <v>4</v>
      </c>
      <c r="B4" s="2" t="s">
        <v>1</v>
      </c>
      <c r="C4" s="182">
        <f>C9-C3</f>
        <v>-0.28151834684843635</v>
      </c>
      <c r="D4" s="182">
        <f t="shared" ref="D4:S4" si="1">D9-D3</f>
        <v>-1.0419212381248784</v>
      </c>
      <c r="E4" s="182">
        <f t="shared" si="1"/>
        <v>1.4799310344827603</v>
      </c>
      <c r="F4" s="182">
        <f t="shared" si="1"/>
        <v>-0.23889655172413882</v>
      </c>
      <c r="G4" s="182">
        <f t="shared" si="1"/>
        <v>0.11599999999999966</v>
      </c>
      <c r="H4" s="182">
        <f t="shared" si="1"/>
        <v>0</v>
      </c>
      <c r="I4" s="182">
        <f t="shared" si="1"/>
        <v>0</v>
      </c>
      <c r="J4" s="182">
        <f t="shared" si="1"/>
        <v>0</v>
      </c>
      <c r="K4" s="182">
        <f t="shared" si="1"/>
        <v>0</v>
      </c>
      <c r="L4" s="182">
        <f t="shared" si="1"/>
        <v>0</v>
      </c>
      <c r="M4" s="182">
        <f t="shared" si="1"/>
        <v>-14.686206896551731</v>
      </c>
      <c r="N4" s="182">
        <f t="shared" si="1"/>
        <v>0</v>
      </c>
      <c r="O4" s="182">
        <f t="shared" si="1"/>
        <v>0</v>
      </c>
      <c r="P4" s="182">
        <f t="shared" si="1"/>
        <v>0</v>
      </c>
      <c r="Q4" s="182">
        <f t="shared" si="1"/>
        <v>0</v>
      </c>
      <c r="R4" s="182"/>
      <c r="S4" s="182">
        <f t="shared" si="1"/>
        <v>0</v>
      </c>
      <c r="T4" s="182"/>
      <c r="U4" s="182">
        <f>U9-U3</f>
        <v>1.5331034482758668</v>
      </c>
      <c r="V4" s="182"/>
      <c r="W4" s="577" t="s">
        <v>5</v>
      </c>
      <c r="X4" s="579" t="s">
        <v>3</v>
      </c>
      <c r="Y4" s="512" t="s">
        <v>10</v>
      </c>
    </row>
    <row r="5" spans="1:32">
      <c r="A5" s="578" t="s">
        <v>11</v>
      </c>
      <c r="C5" s="396">
        <v>31</v>
      </c>
      <c r="D5" s="450">
        <v>28</v>
      </c>
      <c r="E5" s="450">
        <v>31</v>
      </c>
      <c r="F5" s="450">
        <v>30</v>
      </c>
      <c r="G5" s="450">
        <v>31</v>
      </c>
      <c r="H5" s="450">
        <v>30</v>
      </c>
      <c r="I5" s="450">
        <v>31</v>
      </c>
      <c r="J5" s="450">
        <v>31</v>
      </c>
      <c r="K5" s="450">
        <v>30</v>
      </c>
      <c r="L5" s="450">
        <v>31</v>
      </c>
      <c r="M5" s="450">
        <v>30</v>
      </c>
      <c r="N5" s="450">
        <v>31</v>
      </c>
      <c r="O5" s="450">
        <v>31</v>
      </c>
      <c r="P5" s="450">
        <v>28</v>
      </c>
      <c r="Q5" s="450">
        <v>31</v>
      </c>
      <c r="R5" s="450"/>
      <c r="S5" s="450">
        <v>30</v>
      </c>
      <c r="T5" s="450"/>
      <c r="U5" s="450">
        <v>31</v>
      </c>
      <c r="V5" s="450"/>
      <c r="W5" s="577" t="s">
        <v>5</v>
      </c>
      <c r="X5" s="580" t="s">
        <v>12</v>
      </c>
      <c r="Y5" s="528" t="s">
        <v>11</v>
      </c>
      <c r="Z5" s="396"/>
    </row>
    <row r="6" spans="1:32">
      <c r="A6" s="397" t="s">
        <v>13</v>
      </c>
      <c r="B6" s="397" t="s">
        <v>14</v>
      </c>
      <c r="C6" s="398">
        <v>44198</v>
      </c>
      <c r="D6" s="398">
        <v>44229</v>
      </c>
      <c r="E6" s="398">
        <v>44257</v>
      </c>
      <c r="F6" s="398">
        <v>44288</v>
      </c>
      <c r="G6" s="398">
        <v>44318</v>
      </c>
      <c r="H6" s="398">
        <v>44349</v>
      </c>
      <c r="I6" s="399">
        <v>44379</v>
      </c>
      <c r="J6" s="399">
        <v>44410</v>
      </c>
      <c r="K6" s="399">
        <v>44441</v>
      </c>
      <c r="L6" s="399">
        <v>44471</v>
      </c>
      <c r="M6" s="399">
        <v>44502</v>
      </c>
      <c r="N6" s="399">
        <v>44532</v>
      </c>
      <c r="O6" s="399">
        <v>44563</v>
      </c>
      <c r="P6" s="399">
        <v>44594</v>
      </c>
      <c r="Q6" s="399">
        <v>44622</v>
      </c>
      <c r="R6" s="399"/>
      <c r="S6" s="399">
        <v>44653</v>
      </c>
      <c r="T6" s="399"/>
      <c r="U6" s="399">
        <v>44683</v>
      </c>
      <c r="V6" s="399"/>
      <c r="Y6" s="406"/>
      <c r="Z6" s="406"/>
    </row>
    <row r="7" spans="1:32">
      <c r="A7" s="400" t="s">
        <v>15</v>
      </c>
      <c r="B7" s="2" t="s">
        <v>1</v>
      </c>
      <c r="C7" s="405">
        <v>199.00781515746442</v>
      </c>
      <c r="D7" s="401">
        <v>182.24079460427933</v>
      </c>
      <c r="E7" s="401">
        <v>203.93080210643018</v>
      </c>
      <c r="F7" s="401">
        <v>184.37969435736676</v>
      </c>
      <c r="G7" s="401">
        <v>203.614</v>
      </c>
      <c r="H7" s="401">
        <v>196.56</v>
      </c>
      <c r="I7" s="401">
        <v>150.74600000000001</v>
      </c>
      <c r="J7" s="401">
        <v>203.11200000000002</v>
      </c>
      <c r="K7" s="401">
        <v>183.62400000000002</v>
      </c>
      <c r="L7" s="401">
        <v>159.51758748120392</v>
      </c>
      <c r="M7" s="665">
        <v>183</v>
      </c>
      <c r="N7" s="401">
        <v>201.4497760022428</v>
      </c>
      <c r="O7" s="401">
        <v>188.30249957947856</v>
      </c>
      <c r="P7" s="401">
        <v>170.079677039529</v>
      </c>
      <c r="Q7" s="401">
        <v>188.30249957947856</v>
      </c>
      <c r="R7" s="401"/>
      <c r="S7" s="401">
        <v>177.60968881412953</v>
      </c>
      <c r="T7" s="401"/>
      <c r="U7" s="401">
        <v>183.53001177460052</v>
      </c>
      <c r="V7" s="401"/>
      <c r="W7" t="s">
        <v>16</v>
      </c>
      <c r="X7" s="579" t="s">
        <v>3</v>
      </c>
      <c r="Y7" s="526" t="s">
        <v>17</v>
      </c>
      <c r="Z7" s="485"/>
    </row>
    <row r="8" spans="1:32">
      <c r="A8" s="395" t="str">
        <f>A7</f>
        <v>Total C2 (Ability 6rev0_7May'21) (ฉบับแก้ไข)</v>
      </c>
      <c r="B8" s="2" t="s">
        <v>18</v>
      </c>
      <c r="C8" s="402">
        <f>C7/24/C5*1000</f>
        <v>267.48362252347368</v>
      </c>
      <c r="D8" s="402">
        <f t="shared" ref="D8:S8" si="2">D7/24/D5*1000</f>
        <v>271.19165863732042</v>
      </c>
      <c r="E8" s="402">
        <f>E7/24/E5*1000</f>
        <v>274.10054046563198</v>
      </c>
      <c r="F8" s="402">
        <f t="shared" si="2"/>
        <v>256.08290882967606</v>
      </c>
      <c r="G8" s="402">
        <f t="shared" si="2"/>
        <v>273.67473118279571</v>
      </c>
      <c r="H8" s="402">
        <f t="shared" si="2"/>
        <v>272.99999999999994</v>
      </c>
      <c r="I8" s="402">
        <f>I7/24/I5*1000</f>
        <v>202.6155913978495</v>
      </c>
      <c r="J8" s="402">
        <f t="shared" si="2"/>
        <v>273</v>
      </c>
      <c r="K8" s="402">
        <f t="shared" si="2"/>
        <v>255.03333333333333</v>
      </c>
      <c r="L8" s="402">
        <f t="shared" si="2"/>
        <v>214.4053595177472</v>
      </c>
      <c r="M8" s="666">
        <f t="shared" si="2"/>
        <v>254.16666666666666</v>
      </c>
      <c r="N8" s="402">
        <f t="shared" si="2"/>
        <v>270.76582796000378</v>
      </c>
      <c r="O8" s="402">
        <f t="shared" si="2"/>
        <v>253.09475749929916</v>
      </c>
      <c r="P8" s="402">
        <f t="shared" si="2"/>
        <v>253.09475749929911</v>
      </c>
      <c r="Q8" s="402">
        <f t="shared" si="2"/>
        <v>253.09475749929916</v>
      </c>
      <c r="R8" s="402"/>
      <c r="S8" s="402">
        <f t="shared" si="2"/>
        <v>246.68012335295765</v>
      </c>
      <c r="T8" s="402"/>
      <c r="U8" s="402">
        <f>U7/24/U5*1000</f>
        <v>246.68012335295768</v>
      </c>
      <c r="V8" s="402"/>
      <c r="W8" s="577" t="s">
        <v>5</v>
      </c>
      <c r="X8" s="579" t="s">
        <v>3</v>
      </c>
      <c r="Y8" s="505" t="s">
        <v>19</v>
      </c>
      <c r="Z8" s="486"/>
    </row>
    <row r="9" spans="1:32">
      <c r="A9" s="422" t="s">
        <v>8</v>
      </c>
      <c r="B9" s="2" t="s">
        <v>1</v>
      </c>
      <c r="C9" s="405">
        <v>46.135481653151565</v>
      </c>
      <c r="D9" s="405">
        <v>43.424837382564775</v>
      </c>
      <c r="E9" s="405">
        <v>49.847999999999999</v>
      </c>
      <c r="F9" s="405">
        <v>45.454103448275859</v>
      </c>
      <c r="G9" s="405">
        <v>48.475999999999999</v>
      </c>
      <c r="H9" s="405">
        <v>46.8</v>
      </c>
      <c r="I9" s="405">
        <v>48.36</v>
      </c>
      <c r="J9" s="405">
        <v>48.36</v>
      </c>
      <c r="K9" s="405">
        <v>46.8</v>
      </c>
      <c r="L9" s="405">
        <v>46.692413793103455</v>
      </c>
      <c r="M9" s="667">
        <v>30.5</v>
      </c>
      <c r="N9" s="405">
        <v>47.526206896551727</v>
      </c>
      <c r="O9" s="405">
        <v>47.526206896551727</v>
      </c>
      <c r="P9" s="405">
        <v>42.926896551724141</v>
      </c>
      <c r="Q9" s="405">
        <v>47.526206896551727</v>
      </c>
      <c r="R9" s="405"/>
      <c r="S9" s="405">
        <v>45.993103448275861</v>
      </c>
      <c r="T9" s="405"/>
      <c r="U9" s="405">
        <v>47.526206896551727</v>
      </c>
      <c r="V9" s="405"/>
      <c r="W9" t="s">
        <v>20</v>
      </c>
      <c r="X9" s="579" t="s">
        <v>3</v>
      </c>
      <c r="Y9" s="526" t="s">
        <v>21</v>
      </c>
      <c r="Z9" s="485"/>
    </row>
    <row r="10" spans="1:32">
      <c r="A10" s="395" t="s">
        <v>8</v>
      </c>
      <c r="B10" s="2" t="s">
        <v>18</v>
      </c>
      <c r="C10" s="403">
        <f>C9/24/C5*1000</f>
        <v>62.010055985418774</v>
      </c>
      <c r="D10" s="403">
        <f t="shared" ref="D10:S10" si="3">D9/24/D5*1000</f>
        <v>64.620293724054733</v>
      </c>
      <c r="E10" s="403">
        <f t="shared" si="3"/>
        <v>67</v>
      </c>
      <c r="F10" s="403">
        <f t="shared" si="3"/>
        <v>63.130699233716477</v>
      </c>
      <c r="G10" s="403">
        <f t="shared" si="3"/>
        <v>65.15591397849461</v>
      </c>
      <c r="H10" s="403">
        <f>H9/24/H5*1000</f>
        <v>65</v>
      </c>
      <c r="I10" s="403">
        <f t="shared" si="3"/>
        <v>65</v>
      </c>
      <c r="J10" s="403">
        <f>J9/24/J5*1000</f>
        <v>65</v>
      </c>
      <c r="K10" s="403">
        <f t="shared" si="3"/>
        <v>65</v>
      </c>
      <c r="L10" s="403">
        <f t="shared" si="3"/>
        <v>62.758620689655181</v>
      </c>
      <c r="M10" s="668">
        <f>M9/24/M5*1000</f>
        <v>42.361111111111107</v>
      </c>
      <c r="N10" s="403">
        <f t="shared" si="3"/>
        <v>63.879310344827594</v>
      </c>
      <c r="O10" s="403">
        <f t="shared" si="3"/>
        <v>63.879310344827594</v>
      </c>
      <c r="P10" s="403">
        <f t="shared" si="3"/>
        <v>63.879310344827594</v>
      </c>
      <c r="Q10" s="403">
        <f t="shared" si="3"/>
        <v>63.879310344827594</v>
      </c>
      <c r="R10" s="403"/>
      <c r="S10" s="403">
        <f t="shared" si="3"/>
        <v>63.87931034482758</v>
      </c>
      <c r="T10" s="403"/>
      <c r="U10" s="403">
        <f>U9/24/U5*1000</f>
        <v>63.879310344827594</v>
      </c>
      <c r="V10" s="403"/>
      <c r="W10" s="577" t="s">
        <v>5</v>
      </c>
      <c r="X10" s="579" t="s">
        <v>3</v>
      </c>
      <c r="Y10" s="529" t="s">
        <v>22</v>
      </c>
      <c r="Z10" s="486"/>
    </row>
    <row r="11" spans="1:32">
      <c r="B11" s="2"/>
      <c r="C11" s="403"/>
      <c r="D11" s="403"/>
      <c r="E11" s="403"/>
      <c r="F11" s="403"/>
      <c r="G11" s="403"/>
      <c r="H11" s="403"/>
      <c r="I11" s="403"/>
      <c r="J11" s="403"/>
      <c r="K11" s="403"/>
      <c r="L11" s="403"/>
      <c r="M11" s="668"/>
      <c r="N11" s="403"/>
      <c r="O11" s="403"/>
      <c r="P11" s="403"/>
      <c r="Q11" s="403"/>
      <c r="R11" s="403"/>
      <c r="S11" s="403"/>
      <c r="T11" s="403"/>
      <c r="U11" s="403"/>
      <c r="V11" s="403"/>
      <c r="Y11" s="532" t="s">
        <v>23</v>
      </c>
      <c r="Z11" s="486"/>
      <c r="AC11" t="s">
        <v>24</v>
      </c>
    </row>
    <row r="12" spans="1:32">
      <c r="A12" s="395" t="s">
        <v>25</v>
      </c>
      <c r="B12" s="2"/>
      <c r="C12" s="403"/>
      <c r="D12" s="403"/>
      <c r="E12" s="403"/>
      <c r="F12" s="403"/>
      <c r="G12" s="403"/>
      <c r="H12" s="403"/>
      <c r="I12" s="403"/>
      <c r="J12" s="403"/>
      <c r="K12" s="403"/>
      <c r="L12" s="403"/>
      <c r="M12" s="403"/>
      <c r="N12" s="403"/>
      <c r="O12" s="403"/>
      <c r="P12" s="403"/>
      <c r="Q12" s="403"/>
      <c r="R12" s="403"/>
      <c r="S12" s="403"/>
      <c r="T12" s="403"/>
      <c r="U12" s="403"/>
      <c r="V12" s="403"/>
      <c r="Y12" s="532" t="s">
        <v>26</v>
      </c>
      <c r="Z12" s="486"/>
    </row>
    <row r="13" spans="1:32">
      <c r="A13" s="395" t="s">
        <v>27</v>
      </c>
      <c r="B13" s="2" t="s">
        <v>18</v>
      </c>
      <c r="C13" s="403"/>
      <c r="D13" s="182">
        <v>260</v>
      </c>
      <c r="E13" s="182">
        <v>260</v>
      </c>
      <c r="F13" s="182">
        <v>260</v>
      </c>
      <c r="G13" s="182">
        <v>260</v>
      </c>
      <c r="H13" s="182">
        <v>260</v>
      </c>
      <c r="I13" s="182">
        <v>260</v>
      </c>
      <c r="J13" s="182">
        <v>260</v>
      </c>
      <c r="K13" s="182">
        <v>260</v>
      </c>
      <c r="L13" s="182">
        <v>260</v>
      </c>
      <c r="M13" s="182">
        <v>260</v>
      </c>
      <c r="N13" s="182">
        <v>260</v>
      </c>
      <c r="O13" s="182">
        <v>260</v>
      </c>
      <c r="P13" s="182">
        <v>260</v>
      </c>
      <c r="Q13" s="182">
        <v>260</v>
      </c>
      <c r="R13" s="182"/>
      <c r="S13" s="182">
        <v>260</v>
      </c>
      <c r="T13" s="182"/>
      <c r="U13" s="182">
        <v>260</v>
      </c>
      <c r="V13" s="182"/>
      <c r="W13" t="s">
        <v>28</v>
      </c>
      <c r="X13" s="580" t="s">
        <v>12</v>
      </c>
      <c r="Y13" s="533"/>
      <c r="Z13" s="486"/>
    </row>
    <row r="14" spans="1:32">
      <c r="A14" s="395" t="s">
        <v>29</v>
      </c>
      <c r="B14" s="2" t="s">
        <v>18</v>
      </c>
      <c r="C14" s="403"/>
      <c r="D14" s="182">
        <v>15</v>
      </c>
      <c r="E14" s="182">
        <v>15</v>
      </c>
      <c r="F14" s="182">
        <v>15</v>
      </c>
      <c r="G14" s="182">
        <v>15</v>
      </c>
      <c r="H14" s="182">
        <v>15</v>
      </c>
      <c r="I14" s="182">
        <v>15</v>
      </c>
      <c r="J14" s="182">
        <v>15</v>
      </c>
      <c r="K14" s="182">
        <v>15</v>
      </c>
      <c r="L14" s="182">
        <v>15</v>
      </c>
      <c r="M14" s="182">
        <v>15</v>
      </c>
      <c r="N14" s="182">
        <v>15</v>
      </c>
      <c r="O14" s="182">
        <v>15</v>
      </c>
      <c r="P14" s="182">
        <v>15</v>
      </c>
      <c r="Q14" s="182">
        <v>15</v>
      </c>
      <c r="R14" s="182"/>
      <c r="S14" s="182">
        <v>15</v>
      </c>
      <c r="T14" s="182"/>
      <c r="U14" s="182">
        <v>15</v>
      </c>
      <c r="V14" s="182"/>
      <c r="W14" t="s">
        <v>28</v>
      </c>
      <c r="X14" s="580" t="s">
        <v>12</v>
      </c>
      <c r="Y14" s="533"/>
      <c r="Z14" s="486"/>
    </row>
    <row r="15" spans="1:32">
      <c r="B15" s="2"/>
      <c r="C15" s="403"/>
      <c r="D15" s="403"/>
      <c r="E15" s="403"/>
      <c r="F15" s="403"/>
      <c r="G15" s="403"/>
      <c r="H15" s="403"/>
      <c r="I15" s="403"/>
      <c r="J15" s="403"/>
      <c r="K15" s="403"/>
      <c r="L15" s="403"/>
      <c r="M15" s="403"/>
      <c r="N15" s="403"/>
      <c r="O15" s="403"/>
      <c r="P15" s="403"/>
      <c r="Q15" s="403"/>
      <c r="R15" s="403"/>
      <c r="S15" s="403"/>
      <c r="T15" s="403"/>
      <c r="U15" s="403"/>
      <c r="V15" s="403"/>
      <c r="Y15" s="532" t="s">
        <v>23</v>
      </c>
      <c r="Z15" s="486"/>
    </row>
    <row r="16" spans="1:32">
      <c r="A16" s="395" t="s">
        <v>30</v>
      </c>
      <c r="B16" s="2" t="s">
        <v>18</v>
      </c>
      <c r="C16" s="404"/>
      <c r="D16" s="404"/>
      <c r="E16" s="404">
        <f>E8-275</f>
        <v>-0.89945953436802029</v>
      </c>
      <c r="F16" s="404">
        <f t="shared" ref="F16:P16" si="4">F8-275</f>
        <v>-18.917091170323943</v>
      </c>
      <c r="G16" s="404">
        <f t="shared" si="4"/>
        <v>-1.3252688172042895</v>
      </c>
      <c r="H16" s="404">
        <f t="shared" si="4"/>
        <v>-2.0000000000000568</v>
      </c>
      <c r="I16" s="404">
        <f t="shared" si="4"/>
        <v>-72.384408602150501</v>
      </c>
      <c r="J16" s="404">
        <f t="shared" si="4"/>
        <v>-2</v>
      </c>
      <c r="K16" s="404">
        <f t="shared" si="4"/>
        <v>-19.966666666666669</v>
      </c>
      <c r="L16" s="404">
        <f t="shared" si="4"/>
        <v>-60.5946404822528</v>
      </c>
      <c r="M16" s="404">
        <f t="shared" si="4"/>
        <v>-20.833333333333343</v>
      </c>
      <c r="N16" s="404">
        <f>N8-275</f>
        <v>-4.2341720399962242</v>
      </c>
      <c r="O16" s="404">
        <f>O8-275</f>
        <v>-21.905242500700837</v>
      </c>
      <c r="P16" s="404">
        <f t="shared" si="4"/>
        <v>-21.905242500700894</v>
      </c>
      <c r="Q16" s="404">
        <f>Q8-275</f>
        <v>-21.905242500700837</v>
      </c>
      <c r="R16" s="404"/>
      <c r="S16" s="404">
        <f>S8-275</f>
        <v>-28.319876647042349</v>
      </c>
      <c r="T16" s="404"/>
      <c r="U16" s="404">
        <f>U8-275</f>
        <v>-28.319876647042321</v>
      </c>
      <c r="V16" s="404"/>
      <c r="W16" s="577" t="s">
        <v>5</v>
      </c>
      <c r="X16" s="580" t="s">
        <v>12</v>
      </c>
      <c r="Y16" s="505" t="s">
        <v>31</v>
      </c>
      <c r="Z16" s="486"/>
    </row>
    <row r="17" spans="1:34">
      <c r="A17" s="395" t="s">
        <v>32</v>
      </c>
      <c r="B17" s="2"/>
      <c r="E17" s="339"/>
      <c r="F17" s="339"/>
      <c r="G17" s="339"/>
      <c r="H17" s="339"/>
      <c r="I17" s="339"/>
      <c r="J17" s="339"/>
      <c r="K17" s="339"/>
      <c r="L17" s="339"/>
      <c r="M17" s="339"/>
      <c r="N17" s="339"/>
      <c r="O17" s="339"/>
      <c r="P17" s="339"/>
      <c r="Q17" s="339"/>
      <c r="R17" s="339"/>
      <c r="S17" s="339"/>
      <c r="T17" s="339"/>
      <c r="U17" s="339"/>
      <c r="V17" s="339"/>
      <c r="Y17" s="532" t="s">
        <v>26</v>
      </c>
      <c r="Z17" s="486"/>
    </row>
    <row r="18" spans="1:34">
      <c r="A18" s="395" t="s">
        <v>33</v>
      </c>
      <c r="B18" s="2" t="s">
        <v>18</v>
      </c>
      <c r="D18" s="404"/>
      <c r="E18" s="404">
        <f>E13/(E13+E14)*E16</f>
        <v>-0.85039810522067372</v>
      </c>
      <c r="F18" s="404">
        <f t="shared" ref="F18:P18" si="5">F13/(F13+F14)*F16</f>
        <v>-17.885249833760817</v>
      </c>
      <c r="G18" s="404">
        <f t="shared" si="5"/>
        <v>-1.2529814271749646</v>
      </c>
      <c r="H18" s="404">
        <f t="shared" si="5"/>
        <v>-1.8909090909091446</v>
      </c>
      <c r="I18" s="404">
        <f t="shared" si="5"/>
        <v>-68.436168132942285</v>
      </c>
      <c r="J18" s="404">
        <f t="shared" si="5"/>
        <v>-1.8909090909090909</v>
      </c>
      <c r="K18" s="404">
        <f t="shared" si="5"/>
        <v>-18.877575757575759</v>
      </c>
      <c r="L18" s="404">
        <f t="shared" si="5"/>
        <v>-57.28947827412992</v>
      </c>
      <c r="M18" s="404">
        <f t="shared" si="5"/>
        <v>-19.696969696969706</v>
      </c>
      <c r="N18" s="404">
        <f>N13/(N13+N14)*N16</f>
        <v>-4.0032172014509753</v>
      </c>
      <c r="O18" s="404">
        <f t="shared" si="5"/>
        <v>-20.7104110915717</v>
      </c>
      <c r="P18" s="404">
        <f t="shared" si="5"/>
        <v>-20.710411091571753</v>
      </c>
      <c r="Q18" s="404">
        <f>Q13/(Q13+Q14)*Q16</f>
        <v>-20.7104110915717</v>
      </c>
      <c r="R18" s="404"/>
      <c r="S18" s="404">
        <f>S13/(S13+S14)*S16</f>
        <v>-26.775156102658222</v>
      </c>
      <c r="T18" s="404"/>
      <c r="U18" s="404">
        <f>U13/(U13+U14)*U16</f>
        <v>-26.775156102658194</v>
      </c>
      <c r="V18" s="404"/>
      <c r="W18" s="577" t="s">
        <v>5</v>
      </c>
      <c r="X18" s="580" t="s">
        <v>34</v>
      </c>
      <c r="Y18" s="505" t="s">
        <v>35</v>
      </c>
      <c r="Z18" s="486"/>
    </row>
    <row r="19" spans="1:34">
      <c r="A19" s="395" t="s">
        <v>36</v>
      </c>
      <c r="B19" s="2" t="s">
        <v>18</v>
      </c>
      <c r="D19" s="404"/>
      <c r="E19" s="404">
        <f>E14/(E13+E14)*E16</f>
        <v>-4.9061429147346555E-2</v>
      </c>
      <c r="F19" s="404">
        <f t="shared" ref="F19:O19" si="6">F14/(F13+F14)*F16</f>
        <v>-1.031841336563124</v>
      </c>
      <c r="G19" s="404">
        <f t="shared" si="6"/>
        <v>-7.2287390029324883E-2</v>
      </c>
      <c r="H19" s="404">
        <f t="shared" si="6"/>
        <v>-0.10909090909091218</v>
      </c>
      <c r="I19" s="404">
        <f t="shared" si="6"/>
        <v>-3.9482404692082089</v>
      </c>
      <c r="J19" s="404">
        <f t="shared" si="6"/>
        <v>-0.10909090909090909</v>
      </c>
      <c r="K19" s="404">
        <f t="shared" si="6"/>
        <v>-1.0890909090909091</v>
      </c>
      <c r="L19" s="404">
        <f t="shared" si="6"/>
        <v>-3.30516220812288</v>
      </c>
      <c r="M19" s="404">
        <f t="shared" si="6"/>
        <v>-1.1363636363636369</v>
      </c>
      <c r="N19" s="404">
        <f t="shared" si="6"/>
        <v>-0.23095483854524859</v>
      </c>
      <c r="O19" s="404">
        <f t="shared" si="6"/>
        <v>-1.1948314091291365</v>
      </c>
      <c r="P19" s="404">
        <f>P14/(P13+P14)*P16</f>
        <v>-1.1948314091291397</v>
      </c>
      <c r="Q19" s="404">
        <f>Q14/(Q13+Q14)*Q16</f>
        <v>-1.1948314091291365</v>
      </c>
      <c r="R19" s="404"/>
      <c r="S19" s="404">
        <f>S14/(S13+S14)*S16</f>
        <v>-1.5447205443841281</v>
      </c>
      <c r="T19" s="404"/>
      <c r="U19" s="404">
        <f>U14/(U13+U14)*U16</f>
        <v>-1.5447205443841265</v>
      </c>
      <c r="V19" s="404"/>
      <c r="W19" s="577" t="s">
        <v>5</v>
      </c>
      <c r="X19" s="580" t="s">
        <v>34</v>
      </c>
      <c r="Y19" s="505" t="s">
        <v>37</v>
      </c>
      <c r="Z19" s="486"/>
    </row>
    <row r="20" spans="1:34">
      <c r="B20" s="2"/>
      <c r="E20" s="339"/>
      <c r="F20" s="339"/>
      <c r="G20" s="339"/>
      <c r="H20" s="339"/>
      <c r="I20" s="404"/>
      <c r="J20" s="404"/>
      <c r="K20" s="404"/>
      <c r="L20" s="404"/>
      <c r="M20" s="404"/>
      <c r="N20" s="404"/>
      <c r="O20" s="404"/>
      <c r="P20" s="404"/>
      <c r="Q20" s="404"/>
      <c r="R20" s="404"/>
      <c r="S20" s="404"/>
      <c r="T20" s="404"/>
      <c r="U20" s="404"/>
      <c r="V20" s="404"/>
      <c r="Y20" s="532" t="s">
        <v>23</v>
      </c>
      <c r="Z20" s="486"/>
    </row>
    <row r="21" spans="1:34" ht="15.95" customHeight="1">
      <c r="A21" s="397" t="s">
        <v>38</v>
      </c>
      <c r="B21" s="397" t="s">
        <v>14</v>
      </c>
      <c r="C21" s="398">
        <f t="shared" ref="C21:U21" si="7">C6</f>
        <v>44198</v>
      </c>
      <c r="D21" s="398">
        <f t="shared" si="7"/>
        <v>44229</v>
      </c>
      <c r="E21" s="398">
        <f t="shared" si="7"/>
        <v>44257</v>
      </c>
      <c r="F21" s="398">
        <f t="shared" si="7"/>
        <v>44288</v>
      </c>
      <c r="G21" s="398">
        <f t="shared" si="7"/>
        <v>44318</v>
      </c>
      <c r="H21" s="398">
        <f t="shared" si="7"/>
        <v>44349</v>
      </c>
      <c r="I21" s="399">
        <f t="shared" si="7"/>
        <v>44379</v>
      </c>
      <c r="J21" s="399">
        <f t="shared" si="7"/>
        <v>44410</v>
      </c>
      <c r="K21" s="399">
        <f t="shared" si="7"/>
        <v>44441</v>
      </c>
      <c r="L21" s="399">
        <f t="shared" si="7"/>
        <v>44471</v>
      </c>
      <c r="M21" s="399">
        <f t="shared" si="7"/>
        <v>44502</v>
      </c>
      <c r="N21" s="399">
        <f t="shared" si="7"/>
        <v>44532</v>
      </c>
      <c r="O21" s="399">
        <f t="shared" si="7"/>
        <v>44563</v>
      </c>
      <c r="P21" s="399">
        <f t="shared" si="7"/>
        <v>44594</v>
      </c>
      <c r="Q21" s="399">
        <f t="shared" si="7"/>
        <v>44622</v>
      </c>
      <c r="R21" s="399"/>
      <c r="S21" s="399">
        <f t="shared" si="7"/>
        <v>44653</v>
      </c>
      <c r="T21" s="399"/>
      <c r="U21" s="399">
        <f t="shared" si="7"/>
        <v>44683</v>
      </c>
      <c r="V21" s="399"/>
      <c r="X21" s="409" t="s">
        <v>39</v>
      </c>
      <c r="Y21" s="410"/>
      <c r="Z21" s="486"/>
    </row>
    <row r="22" spans="1:34" s="520" customFormat="1">
      <c r="A22" s="514" t="s">
        <v>40</v>
      </c>
      <c r="B22" s="515" t="s">
        <v>41</v>
      </c>
      <c r="C22" s="516">
        <v>0</v>
      </c>
      <c r="D22" s="516">
        <v>0</v>
      </c>
      <c r="E22" s="517">
        <v>5040</v>
      </c>
      <c r="F22" s="517">
        <v>5760</v>
      </c>
      <c r="G22" s="517">
        <v>11160</v>
      </c>
      <c r="H22" s="517">
        <v>11664</v>
      </c>
      <c r="I22" s="517">
        <v>11160</v>
      </c>
      <c r="J22" s="517">
        <v>11160</v>
      </c>
      <c r="K22" s="517">
        <v>10800</v>
      </c>
      <c r="L22" s="516">
        <v>11160</v>
      </c>
      <c r="M22" s="516">
        <v>10800</v>
      </c>
      <c r="N22" s="516">
        <v>11160</v>
      </c>
      <c r="O22" s="516">
        <v>11160</v>
      </c>
      <c r="P22" s="516">
        <v>10080</v>
      </c>
      <c r="Q22" s="516">
        <v>11160</v>
      </c>
      <c r="R22" s="517"/>
      <c r="S22" s="517">
        <v>10800</v>
      </c>
      <c r="T22" s="517"/>
      <c r="U22" s="517">
        <v>15000</v>
      </c>
      <c r="V22" s="517"/>
      <c r="W22" s="530" t="s">
        <v>42</v>
      </c>
      <c r="X22" s="581" t="s">
        <v>43</v>
      </c>
      <c r="Y22" s="518"/>
      <c r="Z22" s="519"/>
    </row>
    <row r="23" spans="1:34">
      <c r="A23" s="477" t="str">
        <f>A22</f>
        <v>SCG Demand (Updated on 31/3/64)</v>
      </c>
      <c r="B23" s="478" t="s">
        <v>1</v>
      </c>
      <c r="C23" s="481">
        <v>0</v>
      </c>
      <c r="D23" s="482">
        <v>0</v>
      </c>
      <c r="E23" s="482">
        <f>E22/1000</f>
        <v>5.04</v>
      </c>
      <c r="F23" s="482">
        <f t="shared" ref="F23:S23" si="8">F22/1000</f>
        <v>5.76</v>
      </c>
      <c r="G23" s="482">
        <f t="shared" si="8"/>
        <v>11.16</v>
      </c>
      <c r="H23" s="482">
        <f t="shared" si="8"/>
        <v>11.664</v>
      </c>
      <c r="I23" s="482">
        <f t="shared" si="8"/>
        <v>11.16</v>
      </c>
      <c r="J23" s="482">
        <f t="shared" si="8"/>
        <v>11.16</v>
      </c>
      <c r="K23" s="482">
        <f t="shared" si="8"/>
        <v>10.8</v>
      </c>
      <c r="L23" s="482">
        <f t="shared" si="8"/>
        <v>11.16</v>
      </c>
      <c r="M23" s="482">
        <f t="shared" si="8"/>
        <v>10.8</v>
      </c>
      <c r="N23" s="482">
        <f t="shared" si="8"/>
        <v>11.16</v>
      </c>
      <c r="O23" s="482">
        <f t="shared" si="8"/>
        <v>11.16</v>
      </c>
      <c r="P23" s="482">
        <f t="shared" si="8"/>
        <v>10.08</v>
      </c>
      <c r="Q23" s="482">
        <f t="shared" si="8"/>
        <v>11.16</v>
      </c>
      <c r="R23" s="482"/>
      <c r="S23" s="482">
        <f t="shared" si="8"/>
        <v>10.8</v>
      </c>
      <c r="T23" s="482"/>
      <c r="U23" s="482">
        <f>U22/1000</f>
        <v>15</v>
      </c>
      <c r="V23" s="482"/>
      <c r="W23" s="577" t="s">
        <v>44</v>
      </c>
      <c r="X23" s="580" t="s">
        <v>34</v>
      </c>
      <c r="Y23" s="505" t="s">
        <v>45</v>
      </c>
      <c r="Z23" s="486"/>
      <c r="AH23" s="486"/>
    </row>
    <row r="24" spans="1:34">
      <c r="A24" s="477" t="str">
        <f>A23</f>
        <v>SCG Demand (Updated on 31/3/64)</v>
      </c>
      <c r="B24" s="478" t="s">
        <v>18</v>
      </c>
      <c r="C24" s="479">
        <f t="shared" ref="C24:S24" si="9">C23/24/C5*1000</f>
        <v>0</v>
      </c>
      <c r="D24" s="480">
        <f t="shared" si="9"/>
        <v>0</v>
      </c>
      <c r="E24" s="480">
        <f>E23/24/E5*1000</f>
        <v>6.774193548387097</v>
      </c>
      <c r="F24" s="480">
        <f>F23/24/F5*1000</f>
        <v>8</v>
      </c>
      <c r="G24" s="480">
        <f t="shared" si="9"/>
        <v>15.000000000000002</v>
      </c>
      <c r="H24" s="497">
        <f>H23/24/H5*1000</f>
        <v>16.2</v>
      </c>
      <c r="I24" s="497">
        <f t="shared" si="9"/>
        <v>15.000000000000002</v>
      </c>
      <c r="J24" s="480">
        <f>J23/24/J5*1000</f>
        <v>15.000000000000002</v>
      </c>
      <c r="K24" s="480">
        <f>K23/24/K5*1000</f>
        <v>15.000000000000002</v>
      </c>
      <c r="L24" s="480">
        <f t="shared" si="9"/>
        <v>15.000000000000002</v>
      </c>
      <c r="M24" s="480">
        <f t="shared" si="9"/>
        <v>15.000000000000002</v>
      </c>
      <c r="N24" s="480">
        <f t="shared" si="9"/>
        <v>15.000000000000002</v>
      </c>
      <c r="O24" s="480">
        <f t="shared" si="9"/>
        <v>15.000000000000002</v>
      </c>
      <c r="P24" s="480">
        <f t="shared" si="9"/>
        <v>15</v>
      </c>
      <c r="Q24" s="480">
        <f t="shared" si="9"/>
        <v>15.000000000000002</v>
      </c>
      <c r="R24" s="480"/>
      <c r="S24" s="480">
        <f t="shared" si="9"/>
        <v>15.000000000000002</v>
      </c>
      <c r="T24" s="480"/>
      <c r="U24" s="480">
        <f>U23/24/U5*1000</f>
        <v>20.161290322580644</v>
      </c>
      <c r="V24" s="480"/>
      <c r="W24" s="577" t="s">
        <v>5</v>
      </c>
      <c r="X24" s="581" t="s">
        <v>43</v>
      </c>
      <c r="Y24" s="505" t="s">
        <v>46</v>
      </c>
      <c r="AH24" s="486"/>
    </row>
    <row r="25" spans="1:34">
      <c r="A25" s="477" t="str">
        <f>A23</f>
        <v>SCG Demand (Updated on 31/3/64)</v>
      </c>
      <c r="B25" s="478" t="s">
        <v>47</v>
      </c>
      <c r="C25" s="479"/>
      <c r="D25" s="480">
        <f>D24*24</f>
        <v>0</v>
      </c>
      <c r="E25" s="474">
        <f>E24*24</f>
        <v>162.58064516129033</v>
      </c>
      <c r="F25" s="474">
        <f t="shared" ref="F25:S25" si="10">F24*24</f>
        <v>192</v>
      </c>
      <c r="G25" s="474">
        <f t="shared" si="10"/>
        <v>360.00000000000006</v>
      </c>
      <c r="H25" s="474">
        <f t="shared" si="10"/>
        <v>388.79999999999995</v>
      </c>
      <c r="I25" s="474">
        <f t="shared" si="10"/>
        <v>360.00000000000006</v>
      </c>
      <c r="J25" s="474">
        <f t="shared" si="10"/>
        <v>360.00000000000006</v>
      </c>
      <c r="K25" s="474">
        <f t="shared" si="10"/>
        <v>360.00000000000006</v>
      </c>
      <c r="L25" s="480">
        <f t="shared" si="10"/>
        <v>360.00000000000006</v>
      </c>
      <c r="M25" s="480">
        <f t="shared" si="10"/>
        <v>360.00000000000006</v>
      </c>
      <c r="N25" s="480">
        <f t="shared" si="10"/>
        <v>360.00000000000006</v>
      </c>
      <c r="O25" s="480">
        <f t="shared" si="10"/>
        <v>360.00000000000006</v>
      </c>
      <c r="P25" s="480">
        <f t="shared" si="10"/>
        <v>360</v>
      </c>
      <c r="Q25" s="480">
        <f t="shared" si="10"/>
        <v>360.00000000000006</v>
      </c>
      <c r="R25" s="474"/>
      <c r="S25" s="474">
        <f t="shared" si="10"/>
        <v>360.00000000000006</v>
      </c>
      <c r="T25" s="474"/>
      <c r="U25" s="474">
        <f>U24*24</f>
        <v>483.87096774193549</v>
      </c>
      <c r="V25" s="474"/>
      <c r="W25" s="577" t="s">
        <v>5</v>
      </c>
      <c r="X25" s="580" t="s">
        <v>34</v>
      </c>
      <c r="Y25" s="505" t="s">
        <v>48</v>
      </c>
      <c r="AH25" s="513"/>
    </row>
    <row r="26" spans="1:34" s="512" customFormat="1">
      <c r="A26" s="422" t="s">
        <v>49</v>
      </c>
      <c r="B26" s="509" t="s">
        <v>41</v>
      </c>
      <c r="C26" s="510"/>
      <c r="D26" s="511">
        <f>D28*24*D5</f>
        <v>0</v>
      </c>
      <c r="E26" s="511">
        <f>E28*24*E5</f>
        <v>5040</v>
      </c>
      <c r="F26" s="511">
        <f t="shared" ref="F26:S26" si="11">F28*24*F5</f>
        <v>5760</v>
      </c>
      <c r="G26" s="511">
        <f t="shared" si="11"/>
        <v>11160.000000000002</v>
      </c>
      <c r="H26" s="511">
        <f t="shared" si="11"/>
        <v>11663.999999999998</v>
      </c>
      <c r="I26" s="511">
        <f>I28*24*I5</f>
        <v>8222.5090909090941</v>
      </c>
      <c r="J26" s="511">
        <f t="shared" si="11"/>
        <v>11078.836363636365</v>
      </c>
      <c r="K26" s="511">
        <f t="shared" si="11"/>
        <v>10015.854545454546</v>
      </c>
      <c r="L26" s="674">
        <f t="shared" si="11"/>
        <v>8700.9593171565793</v>
      </c>
      <c r="M26" s="670">
        <f t="shared" si="11"/>
        <v>9981.818181818182</v>
      </c>
      <c r="N26" s="511">
        <f t="shared" si="11"/>
        <v>10988.169600122337</v>
      </c>
      <c r="O26" s="511">
        <f t="shared" si="11"/>
        <v>10271.045431607925</v>
      </c>
      <c r="P26" s="511">
        <f t="shared" si="11"/>
        <v>9277.0732930652175</v>
      </c>
      <c r="Q26" s="511">
        <f t="shared" si="11"/>
        <v>10271.045431607925</v>
      </c>
      <c r="R26" s="511"/>
      <c r="S26" s="511">
        <f t="shared" si="11"/>
        <v>9687.8012080434291</v>
      </c>
      <c r="T26" s="511"/>
      <c r="U26" s="511">
        <f>U28*24*U5</f>
        <v>13850.727914978208</v>
      </c>
      <c r="V26" s="511"/>
      <c r="W26" s="530" t="s">
        <v>50</v>
      </c>
      <c r="X26" s="580" t="s">
        <v>34</v>
      </c>
      <c r="Y26" s="512" t="s">
        <v>51</v>
      </c>
    </row>
    <row r="27" spans="1:34">
      <c r="A27" s="407" t="s">
        <v>49</v>
      </c>
      <c r="B27" s="478" t="s">
        <v>1</v>
      </c>
      <c r="C27" s="479"/>
      <c r="D27" s="480">
        <f>D26/10^3</f>
        <v>0</v>
      </c>
      <c r="E27" s="480">
        <f t="shared" ref="E27:S27" si="12">E26/10^3</f>
        <v>5.04</v>
      </c>
      <c r="F27" s="480">
        <f t="shared" si="12"/>
        <v>5.76</v>
      </c>
      <c r="G27" s="480">
        <f>G26/10^3</f>
        <v>11.160000000000002</v>
      </c>
      <c r="H27" s="480">
        <f t="shared" si="12"/>
        <v>11.663999999999998</v>
      </c>
      <c r="I27" s="480">
        <f t="shared" si="12"/>
        <v>8.2225090909090941</v>
      </c>
      <c r="J27" s="480">
        <f t="shared" si="12"/>
        <v>11.078836363636364</v>
      </c>
      <c r="K27" s="480">
        <f>K26/10^3</f>
        <v>10.015854545454546</v>
      </c>
      <c r="L27" s="673">
        <f t="shared" si="12"/>
        <v>8.7009593171565793</v>
      </c>
      <c r="M27" s="669">
        <f>M26/10^3</f>
        <v>9.9818181818181824</v>
      </c>
      <c r="N27" s="480">
        <f t="shared" si="12"/>
        <v>10.988169600122337</v>
      </c>
      <c r="O27" s="480">
        <f t="shared" si="12"/>
        <v>10.271045431607925</v>
      </c>
      <c r="P27" s="480">
        <f t="shared" si="12"/>
        <v>9.277073293065218</v>
      </c>
      <c r="Q27" s="480">
        <f t="shared" si="12"/>
        <v>10.271045431607925</v>
      </c>
      <c r="R27" s="480"/>
      <c r="S27" s="480">
        <f t="shared" si="12"/>
        <v>9.6878012080434299</v>
      </c>
      <c r="T27" s="480"/>
      <c r="U27" s="480">
        <f>U26/10^3</f>
        <v>13.850727914978208</v>
      </c>
      <c r="V27" s="480"/>
      <c r="W27" s="577" t="s">
        <v>5</v>
      </c>
      <c r="X27" s="581" t="s">
        <v>43</v>
      </c>
      <c r="Y27" s="505" t="s">
        <v>52</v>
      </c>
      <c r="Z27" s="486"/>
      <c r="AF27" s="530" t="s">
        <v>53</v>
      </c>
    </row>
    <row r="28" spans="1:34">
      <c r="A28" s="395" t="s">
        <v>49</v>
      </c>
      <c r="B28" s="2" t="s">
        <v>18</v>
      </c>
      <c r="C28" s="476"/>
      <c r="D28" s="615">
        <f>D24</f>
        <v>0</v>
      </c>
      <c r="E28" s="615">
        <f>E24</f>
        <v>6.774193548387097</v>
      </c>
      <c r="F28" s="615">
        <f>F24</f>
        <v>8</v>
      </c>
      <c r="G28" s="615">
        <f t="shared" ref="G28" si="13">G24</f>
        <v>15.000000000000002</v>
      </c>
      <c r="H28" s="615">
        <f>H24</f>
        <v>16.2</v>
      </c>
      <c r="I28" s="615">
        <f>I24+I19</f>
        <v>11.051759530791793</v>
      </c>
      <c r="J28" s="615">
        <f>J24+J19</f>
        <v>14.890909090909092</v>
      </c>
      <c r="K28" s="615">
        <f>K24+K19</f>
        <v>13.910909090909092</v>
      </c>
      <c r="L28" s="675">
        <f t="shared" ref="L28:S28" si="14">L24+L19</f>
        <v>11.694837791877122</v>
      </c>
      <c r="M28" s="671">
        <f t="shared" si="14"/>
        <v>13.863636363636365</v>
      </c>
      <c r="N28" s="615">
        <f t="shared" si="14"/>
        <v>14.769045161454754</v>
      </c>
      <c r="O28" s="615">
        <f t="shared" si="14"/>
        <v>13.805168590870865</v>
      </c>
      <c r="P28" s="615">
        <f t="shared" si="14"/>
        <v>13.80516859087086</v>
      </c>
      <c r="Q28" s="615">
        <f t="shared" si="14"/>
        <v>13.805168590870865</v>
      </c>
      <c r="R28" s="615"/>
      <c r="S28" s="615">
        <f t="shared" si="14"/>
        <v>13.455279455615873</v>
      </c>
      <c r="T28" s="615"/>
      <c r="U28" s="615">
        <f>U24+U19</f>
        <v>18.616569778196517</v>
      </c>
      <c r="V28" s="615"/>
      <c r="W28" s="577" t="s">
        <v>5</v>
      </c>
      <c r="X28" s="581" t="s">
        <v>43</v>
      </c>
      <c r="Y28" s="505" t="s">
        <v>54</v>
      </c>
      <c r="Z28" s="486"/>
    </row>
    <row r="29" spans="1:34">
      <c r="A29" s="395" t="s">
        <v>49</v>
      </c>
      <c r="B29" s="2" t="s">
        <v>47</v>
      </c>
      <c r="C29" s="492">
        <f>C28*24</f>
        <v>0</v>
      </c>
      <c r="D29" s="492">
        <f>D28*24</f>
        <v>0</v>
      </c>
      <c r="E29" s="492">
        <f t="shared" ref="E29:S29" si="15">E28*24</f>
        <v>162.58064516129033</v>
      </c>
      <c r="F29" s="492">
        <f t="shared" si="15"/>
        <v>192</v>
      </c>
      <c r="G29" s="492">
        <f t="shared" si="15"/>
        <v>360.00000000000006</v>
      </c>
      <c r="H29" s="492">
        <f t="shared" si="15"/>
        <v>388.79999999999995</v>
      </c>
      <c r="I29" s="492">
        <f t="shared" si="15"/>
        <v>265.24222873900305</v>
      </c>
      <c r="J29" s="492">
        <f t="shared" si="15"/>
        <v>357.38181818181823</v>
      </c>
      <c r="K29" s="492">
        <f t="shared" si="15"/>
        <v>333.86181818181819</v>
      </c>
      <c r="L29" s="676">
        <f t="shared" si="15"/>
        <v>280.67610700505094</v>
      </c>
      <c r="M29" s="672">
        <f t="shared" si="15"/>
        <v>332.72727272727275</v>
      </c>
      <c r="N29" s="492">
        <f t="shared" si="15"/>
        <v>354.45708387491408</v>
      </c>
      <c r="O29" s="492">
        <f t="shared" si="15"/>
        <v>331.32404618090078</v>
      </c>
      <c r="P29" s="492">
        <f t="shared" si="15"/>
        <v>331.32404618090061</v>
      </c>
      <c r="Q29" s="492">
        <f t="shared" si="15"/>
        <v>331.32404618090078</v>
      </c>
      <c r="R29" s="492"/>
      <c r="S29" s="492">
        <f t="shared" si="15"/>
        <v>322.92670693478095</v>
      </c>
      <c r="T29" s="492"/>
      <c r="U29" s="492">
        <f>U28*24</f>
        <v>446.79767467671638</v>
      </c>
      <c r="V29" s="492"/>
      <c r="W29" s="577" t="s">
        <v>5</v>
      </c>
      <c r="X29" s="580" t="s">
        <v>34</v>
      </c>
      <c r="Y29" s="505" t="s">
        <v>55</v>
      </c>
      <c r="Z29" s="486"/>
    </row>
    <row r="30" spans="1:34">
      <c r="B30" s="2"/>
      <c r="C30" s="476"/>
      <c r="D30" s="615"/>
      <c r="E30" s="615"/>
      <c r="F30" s="615"/>
      <c r="G30" s="615"/>
      <c r="H30" s="615"/>
      <c r="I30" s="615"/>
      <c r="J30" s="615"/>
      <c r="K30" s="615"/>
      <c r="L30" s="615"/>
      <c r="M30" s="615"/>
      <c r="N30" s="615"/>
      <c r="O30" s="615"/>
      <c r="P30" s="615"/>
      <c r="Q30" s="615"/>
      <c r="R30" s="615"/>
      <c r="S30" s="615"/>
      <c r="T30" s="615"/>
      <c r="U30" s="615"/>
      <c r="V30" s="615"/>
      <c r="Y30" s="410"/>
      <c r="Z30" s="486"/>
    </row>
    <row r="31" spans="1:34">
      <c r="A31" s="397" t="s">
        <v>56</v>
      </c>
      <c r="B31" s="397" t="s">
        <v>14</v>
      </c>
      <c r="C31" s="398">
        <f>C12</f>
        <v>0</v>
      </c>
      <c r="D31" s="398">
        <f>D6</f>
        <v>44229</v>
      </c>
      <c r="E31" s="398">
        <f t="shared" ref="E31:U31" si="16">E6</f>
        <v>44257</v>
      </c>
      <c r="F31" s="398">
        <f t="shared" si="16"/>
        <v>44288</v>
      </c>
      <c r="G31" s="398">
        <f t="shared" si="16"/>
        <v>44318</v>
      </c>
      <c r="H31" s="398">
        <f t="shared" si="16"/>
        <v>44349</v>
      </c>
      <c r="I31" s="399">
        <f t="shared" si="16"/>
        <v>44379</v>
      </c>
      <c r="J31" s="399">
        <f t="shared" si="16"/>
        <v>44410</v>
      </c>
      <c r="K31" s="399">
        <f t="shared" si="16"/>
        <v>44441</v>
      </c>
      <c r="L31" s="399">
        <f t="shared" si="16"/>
        <v>44471</v>
      </c>
      <c r="M31" s="399">
        <f t="shared" si="16"/>
        <v>44502</v>
      </c>
      <c r="N31" s="399">
        <f t="shared" si="16"/>
        <v>44532</v>
      </c>
      <c r="O31" s="399">
        <f t="shared" si="16"/>
        <v>44563</v>
      </c>
      <c r="P31" s="399">
        <f t="shared" si="16"/>
        <v>44594</v>
      </c>
      <c r="Q31" s="399">
        <f t="shared" si="16"/>
        <v>44622</v>
      </c>
      <c r="R31" s="399"/>
      <c r="S31" s="399">
        <f t="shared" si="16"/>
        <v>44653</v>
      </c>
      <c r="T31" s="399"/>
      <c r="U31" s="399">
        <f t="shared" si="16"/>
        <v>44683</v>
      </c>
      <c r="V31" s="399"/>
      <c r="Y31" s="410"/>
      <c r="Z31" s="486"/>
    </row>
    <row r="32" spans="1:34">
      <c r="A32" s="483" t="s">
        <v>57</v>
      </c>
      <c r="B32" s="475" t="s">
        <v>41</v>
      </c>
      <c r="C32" s="493"/>
      <c r="D32" s="678">
        <f>D37*24*D5</f>
        <v>43424.83738256478</v>
      </c>
      <c r="E32" s="678">
        <f t="shared" ref="E32:S32" si="17">E37*24*E5</f>
        <v>44808</v>
      </c>
      <c r="F32" s="678">
        <f t="shared" si="17"/>
        <v>39694.103448275862</v>
      </c>
      <c r="G32" s="678">
        <f t="shared" si="17"/>
        <v>37315.999999999993</v>
      </c>
      <c r="H32" s="678">
        <f t="shared" si="17"/>
        <v>35135.999999999993</v>
      </c>
      <c r="I32" s="678">
        <f t="shared" si="17"/>
        <v>40137.490909090906</v>
      </c>
      <c r="J32" s="678">
        <f t="shared" si="17"/>
        <v>37281.163636363635</v>
      </c>
      <c r="K32" s="678">
        <f t="shared" si="17"/>
        <v>36784.145454545447</v>
      </c>
      <c r="L32" s="678">
        <f t="shared" si="17"/>
        <v>37991.454475946877</v>
      </c>
      <c r="M32" s="678">
        <f t="shared" si="17"/>
        <v>20518.181818181813</v>
      </c>
      <c r="N32" s="678">
        <f t="shared" si="17"/>
        <v>36538.037296429393</v>
      </c>
      <c r="O32" s="678">
        <f t="shared" si="17"/>
        <v>37255.161464943812</v>
      </c>
      <c r="P32" s="678">
        <f t="shared" si="17"/>
        <v>33649.823258658929</v>
      </c>
      <c r="Q32" s="678">
        <f t="shared" si="17"/>
        <v>37255.161464943812</v>
      </c>
      <c r="R32" s="678"/>
      <c r="S32" s="678">
        <f t="shared" si="17"/>
        <v>36305.302240232428</v>
      </c>
      <c r="T32" s="678"/>
      <c r="U32" s="678">
        <f>U37*24*U5</f>
        <v>33675.478981573528</v>
      </c>
      <c r="V32" s="494"/>
      <c r="W32" s="530" t="s">
        <v>50</v>
      </c>
      <c r="X32" s="580" t="s">
        <v>34</v>
      </c>
      <c r="Y32" s="505" t="s">
        <v>58</v>
      </c>
      <c r="Z32" s="486"/>
    </row>
    <row r="33" spans="1:26">
      <c r="A33" s="483" t="s">
        <v>59</v>
      </c>
      <c r="B33" s="475" t="s">
        <v>41</v>
      </c>
      <c r="C33" s="493"/>
      <c r="D33" s="494">
        <f>D38*24*D5</f>
        <v>138815.95722171455</v>
      </c>
      <c r="E33" s="494">
        <f t="shared" ref="E33:S33" si="18">E38*24*E5</f>
        <v>154082.8021064302</v>
      </c>
      <c r="F33" s="494">
        <f t="shared" si="18"/>
        <v>138925.59090909088</v>
      </c>
      <c r="G33" s="494">
        <f t="shared" si="18"/>
        <v>155138.00000000006</v>
      </c>
      <c r="H33" s="494">
        <f t="shared" si="18"/>
        <v>149759.99999999994</v>
      </c>
      <c r="I33" s="494">
        <f t="shared" si="18"/>
        <v>102386.00000000003</v>
      </c>
      <c r="J33" s="494">
        <f t="shared" si="18"/>
        <v>154752</v>
      </c>
      <c r="K33" s="494">
        <f t="shared" si="18"/>
        <v>136824</v>
      </c>
      <c r="L33" s="494">
        <f t="shared" si="18"/>
        <v>112825.17368810048</v>
      </c>
      <c r="M33" s="494">
        <f t="shared" si="18"/>
        <v>152500</v>
      </c>
      <c r="N33" s="494">
        <f t="shared" si="18"/>
        <v>153923.56910569107</v>
      </c>
      <c r="O33" s="494">
        <f t="shared" si="18"/>
        <v>140776.29268292684</v>
      </c>
      <c r="P33" s="494">
        <f t="shared" si="18"/>
        <v>127152.78048780485</v>
      </c>
      <c r="Q33" s="494">
        <f t="shared" si="18"/>
        <v>140776.29268292684</v>
      </c>
      <c r="R33" s="494"/>
      <c r="S33" s="494">
        <f t="shared" si="18"/>
        <v>131616.58536585365</v>
      </c>
      <c r="T33" s="494"/>
      <c r="U33" s="494">
        <f>U38*24*U5</f>
        <v>136003.8048780488</v>
      </c>
      <c r="V33" s="494"/>
      <c r="W33" s="577" t="s">
        <v>5</v>
      </c>
      <c r="X33" s="580" t="s">
        <v>34</v>
      </c>
      <c r="Y33" s="505" t="s">
        <v>60</v>
      </c>
      <c r="Z33" s="486"/>
    </row>
    <row r="34" spans="1:26">
      <c r="A34" s="483" t="s">
        <v>61</v>
      </c>
      <c r="B34" s="496" t="s">
        <v>41</v>
      </c>
      <c r="C34" s="493"/>
      <c r="D34" s="494"/>
      <c r="E34" s="495">
        <f>E32+E33</f>
        <v>198890.8021064302</v>
      </c>
      <c r="F34" s="495">
        <f t="shared" ref="F34:S34" si="19">F32+F33</f>
        <v>178619.69435736674</v>
      </c>
      <c r="G34" s="495">
        <f t="shared" si="19"/>
        <v>192454.00000000006</v>
      </c>
      <c r="H34" s="495">
        <f t="shared" si="19"/>
        <v>184895.99999999994</v>
      </c>
      <c r="I34" s="495">
        <f t="shared" si="19"/>
        <v>142523.49090909094</v>
      </c>
      <c r="J34" s="495">
        <f t="shared" si="19"/>
        <v>192033.16363636364</v>
      </c>
      <c r="K34" s="495">
        <f t="shared" si="19"/>
        <v>173608.14545454545</v>
      </c>
      <c r="L34" s="495">
        <f t="shared" si="19"/>
        <v>150816.62816404735</v>
      </c>
      <c r="M34" s="495">
        <f t="shared" si="19"/>
        <v>173018.18181818182</v>
      </c>
      <c r="N34" s="495">
        <f t="shared" si="19"/>
        <v>190461.60640212047</v>
      </c>
      <c r="O34" s="495">
        <f t="shared" si="19"/>
        <v>178031.45414787065</v>
      </c>
      <c r="P34" s="495">
        <f t="shared" si="19"/>
        <v>160802.60374646378</v>
      </c>
      <c r="Q34" s="495">
        <f t="shared" si="19"/>
        <v>178031.45414787065</v>
      </c>
      <c r="R34" s="495"/>
      <c r="S34" s="495">
        <f t="shared" si="19"/>
        <v>167921.88760608609</v>
      </c>
      <c r="T34" s="495"/>
      <c r="U34" s="495">
        <f>U32+U33</f>
        <v>169679.28385962232</v>
      </c>
      <c r="V34" s="495"/>
      <c r="W34" s="577" t="s">
        <v>5</v>
      </c>
      <c r="X34" s="580" t="s">
        <v>34</v>
      </c>
      <c r="Y34" s="505" t="s">
        <v>62</v>
      </c>
      <c r="Z34" s="486"/>
    </row>
    <row r="35" spans="1:26">
      <c r="A35" s="407" t="s">
        <v>57</v>
      </c>
      <c r="B35" s="478" t="s">
        <v>1</v>
      </c>
      <c r="C35" s="479"/>
      <c r="D35" s="484">
        <f t="shared" ref="D35:S36" si="20">D32/1000</f>
        <v>43.424837382564782</v>
      </c>
      <c r="E35" s="484">
        <f t="shared" si="20"/>
        <v>44.808</v>
      </c>
      <c r="F35" s="484">
        <f t="shared" si="20"/>
        <v>39.694103448275861</v>
      </c>
      <c r="G35" s="484">
        <f t="shared" si="20"/>
        <v>37.315999999999995</v>
      </c>
      <c r="H35" s="484">
        <f t="shared" si="20"/>
        <v>35.135999999999996</v>
      </c>
      <c r="I35" s="484">
        <f t="shared" si="20"/>
        <v>40.137490909090907</v>
      </c>
      <c r="J35" s="484">
        <f t="shared" si="20"/>
        <v>37.281163636363637</v>
      </c>
      <c r="K35" s="484">
        <f t="shared" si="20"/>
        <v>36.784145454545445</v>
      </c>
      <c r="L35" s="484">
        <f t="shared" si="20"/>
        <v>37.991454475946874</v>
      </c>
      <c r="M35" s="484">
        <f t="shared" si="20"/>
        <v>20.518181818181812</v>
      </c>
      <c r="N35" s="484">
        <f t="shared" si="20"/>
        <v>36.538037296429394</v>
      </c>
      <c r="O35" s="484">
        <f t="shared" si="20"/>
        <v>37.255161464943811</v>
      </c>
      <c r="P35" s="484">
        <f t="shared" si="20"/>
        <v>33.649823258658927</v>
      </c>
      <c r="Q35" s="484">
        <f t="shared" si="20"/>
        <v>37.255161464943811</v>
      </c>
      <c r="R35" s="484"/>
      <c r="S35" s="484">
        <f t="shared" si="20"/>
        <v>36.305302240232429</v>
      </c>
      <c r="T35" s="484"/>
      <c r="U35" s="484">
        <f>U32/1000</f>
        <v>33.675478981573526</v>
      </c>
      <c r="V35" s="612">
        <v>45</v>
      </c>
      <c r="W35" s="577" t="s">
        <v>5</v>
      </c>
      <c r="X35" s="581" t="s">
        <v>43</v>
      </c>
      <c r="Y35" s="505" t="s">
        <v>63</v>
      </c>
    </row>
    <row r="36" spans="1:26">
      <c r="A36" s="407" t="s">
        <v>59</v>
      </c>
      <c r="B36" s="478" t="s">
        <v>1</v>
      </c>
      <c r="D36" s="474">
        <f t="shared" si="20"/>
        <v>138.81595722171454</v>
      </c>
      <c r="E36" s="474">
        <f t="shared" si="20"/>
        <v>154.08280210643019</v>
      </c>
      <c r="F36" s="474">
        <f t="shared" si="20"/>
        <v>138.92559090909089</v>
      </c>
      <c r="G36" s="474">
        <f t="shared" si="20"/>
        <v>155.13800000000006</v>
      </c>
      <c r="H36" s="474">
        <f t="shared" si="20"/>
        <v>149.75999999999993</v>
      </c>
      <c r="I36" s="474">
        <f t="shared" si="20"/>
        <v>102.38600000000002</v>
      </c>
      <c r="J36" s="474">
        <f t="shared" si="20"/>
        <v>154.75200000000001</v>
      </c>
      <c r="K36" s="474">
        <f t="shared" si="20"/>
        <v>136.82400000000001</v>
      </c>
      <c r="L36" s="474">
        <f t="shared" si="20"/>
        <v>112.82517368810048</v>
      </c>
      <c r="M36" s="474">
        <f>M33/1000</f>
        <v>152.5</v>
      </c>
      <c r="N36" s="474">
        <f t="shared" si="20"/>
        <v>153.92356910569109</v>
      </c>
      <c r="O36" s="474">
        <f t="shared" si="20"/>
        <v>140.77629268292685</v>
      </c>
      <c r="P36" s="474">
        <f t="shared" si="20"/>
        <v>127.15278048780485</v>
      </c>
      <c r="Q36" s="474">
        <f t="shared" si="20"/>
        <v>140.77629268292685</v>
      </c>
      <c r="R36" s="474"/>
      <c r="S36" s="474">
        <f t="shared" si="20"/>
        <v>131.61658536585364</v>
      </c>
      <c r="T36" s="474"/>
      <c r="U36" s="474">
        <f>U33/1000</f>
        <v>136.00380487804881</v>
      </c>
      <c r="V36" s="474"/>
      <c r="W36" s="577" t="s">
        <v>5</v>
      </c>
      <c r="X36" s="581" t="s">
        <v>43</v>
      </c>
      <c r="Y36" s="505" t="s">
        <v>64</v>
      </c>
    </row>
    <row r="37" spans="1:26">
      <c r="A37" s="483" t="s">
        <v>57</v>
      </c>
      <c r="B37" s="475" t="s">
        <v>18</v>
      </c>
      <c r="C37" s="408"/>
      <c r="D37" s="473">
        <f t="shared" ref="D37:S37" si="21">D10-D28</f>
        <v>64.620293724054733</v>
      </c>
      <c r="E37" s="473">
        <f t="shared" si="21"/>
        <v>60.225806451612904</v>
      </c>
      <c r="F37" s="473">
        <f t="shared" si="21"/>
        <v>55.130699233716477</v>
      </c>
      <c r="G37" s="473">
        <f t="shared" si="21"/>
        <v>50.15591397849461</v>
      </c>
      <c r="H37" s="473">
        <f>H10-H28</f>
        <v>48.8</v>
      </c>
      <c r="I37" s="473">
        <f>I10-I28</f>
        <v>53.948240469208208</v>
      </c>
      <c r="J37" s="473">
        <f t="shared" si="21"/>
        <v>50.109090909090909</v>
      </c>
      <c r="K37" s="473">
        <f t="shared" si="21"/>
        <v>51.089090909090906</v>
      </c>
      <c r="L37" s="473">
        <f t="shared" si="21"/>
        <v>51.063782897778061</v>
      </c>
      <c r="M37" s="473">
        <f t="shared" si="21"/>
        <v>28.49747474747474</v>
      </c>
      <c r="N37" s="473">
        <f t="shared" si="21"/>
        <v>49.110265183372839</v>
      </c>
      <c r="O37" s="473">
        <f t="shared" si="21"/>
        <v>50.074141753956731</v>
      </c>
      <c r="P37" s="473">
        <f t="shared" si="21"/>
        <v>50.074141753956738</v>
      </c>
      <c r="Q37" s="473">
        <f t="shared" si="21"/>
        <v>50.074141753956731</v>
      </c>
      <c r="R37" s="473"/>
      <c r="S37" s="473">
        <f t="shared" si="21"/>
        <v>50.424030889211707</v>
      </c>
      <c r="T37" s="473"/>
      <c r="U37" s="473">
        <f>U10-U28</f>
        <v>45.262740566631081</v>
      </c>
      <c r="V37" s="473"/>
      <c r="W37" s="577" t="s">
        <v>5</v>
      </c>
      <c r="X37" s="581" t="s">
        <v>43</v>
      </c>
      <c r="Y37" s="505" t="s">
        <v>65</v>
      </c>
    </row>
    <row r="38" spans="1:26">
      <c r="A38" s="483" t="s">
        <v>59</v>
      </c>
      <c r="B38" s="475" t="s">
        <v>18</v>
      </c>
      <c r="C38" s="408"/>
      <c r="D38" s="473">
        <f>D8-D10</f>
        <v>206.57136491326568</v>
      </c>
      <c r="E38" s="473">
        <f t="shared" ref="E38:S38" si="22">E8-E10</f>
        <v>207.10054046563198</v>
      </c>
      <c r="F38" s="473">
        <f t="shared" si="22"/>
        <v>192.95220959595957</v>
      </c>
      <c r="G38" s="473">
        <f t="shared" si="22"/>
        <v>208.51881720430111</v>
      </c>
      <c r="H38" s="473">
        <f>H8-H10</f>
        <v>207.99999999999994</v>
      </c>
      <c r="I38" s="473">
        <f t="shared" si="22"/>
        <v>137.6155913978495</v>
      </c>
      <c r="J38" s="473">
        <f t="shared" si="22"/>
        <v>208</v>
      </c>
      <c r="K38" s="473">
        <f t="shared" si="22"/>
        <v>190.03333333333333</v>
      </c>
      <c r="L38" s="473">
        <f t="shared" si="22"/>
        <v>151.64673882809203</v>
      </c>
      <c r="M38" s="473">
        <f t="shared" si="22"/>
        <v>211.80555555555554</v>
      </c>
      <c r="N38" s="473">
        <f t="shared" si="22"/>
        <v>206.88651761517619</v>
      </c>
      <c r="O38" s="473">
        <f t="shared" si="22"/>
        <v>189.21544715447158</v>
      </c>
      <c r="P38" s="473">
        <f t="shared" si="22"/>
        <v>189.21544715447152</v>
      </c>
      <c r="Q38" s="473">
        <f t="shared" si="22"/>
        <v>189.21544715447158</v>
      </c>
      <c r="R38" s="473"/>
      <c r="S38" s="473">
        <f t="shared" si="22"/>
        <v>182.80081300813006</v>
      </c>
      <c r="T38" s="473"/>
      <c r="U38" s="473">
        <f>U8-U10</f>
        <v>182.80081300813009</v>
      </c>
      <c r="V38" s="473"/>
      <c r="W38" s="577" t="s">
        <v>5</v>
      </c>
      <c r="X38" s="581" t="s">
        <v>43</v>
      </c>
      <c r="Y38" s="505" t="s">
        <v>66</v>
      </c>
    </row>
    <row r="39" spans="1:26">
      <c r="A39" s="477" t="s">
        <v>27</v>
      </c>
      <c r="B39" s="478" t="s">
        <v>18</v>
      </c>
      <c r="C39" s="479"/>
      <c r="D39" s="474">
        <f>D37+D38</f>
        <v>271.19165863732042</v>
      </c>
      <c r="E39" s="474">
        <f t="shared" ref="E39:P39" si="23">E37+E38</f>
        <v>267.3263469172449</v>
      </c>
      <c r="F39" s="474">
        <f t="shared" si="23"/>
        <v>248.08290882967606</v>
      </c>
      <c r="G39" s="474">
        <f t="shared" si="23"/>
        <v>258.67473118279571</v>
      </c>
      <c r="H39" s="474">
        <f>H37+H38</f>
        <v>256.79999999999995</v>
      </c>
      <c r="I39" s="474">
        <f t="shared" si="23"/>
        <v>191.5638318670577</v>
      </c>
      <c r="J39" s="474">
        <f t="shared" si="23"/>
        <v>258.10909090909092</v>
      </c>
      <c r="K39" s="474">
        <f t="shared" si="23"/>
        <v>241.12242424242424</v>
      </c>
      <c r="L39" s="474">
        <f>L37+L38</f>
        <v>202.71052172587008</v>
      </c>
      <c r="M39" s="474">
        <f t="shared" si="23"/>
        <v>240.30303030303028</v>
      </c>
      <c r="N39" s="474">
        <f t="shared" si="23"/>
        <v>255.99678279854902</v>
      </c>
      <c r="O39" s="474">
        <f t="shared" si="23"/>
        <v>239.2895889084283</v>
      </c>
      <c r="P39" s="474">
        <f t="shared" si="23"/>
        <v>239.28958890842824</v>
      </c>
      <c r="Q39" s="474">
        <f>Q37+Q38</f>
        <v>239.2895889084283</v>
      </c>
      <c r="R39" s="474"/>
      <c r="S39" s="474">
        <f>S37+S38</f>
        <v>233.22484389734177</v>
      </c>
      <c r="T39" s="474"/>
      <c r="U39" s="474">
        <f>U37+U38</f>
        <v>228.06355357476116</v>
      </c>
      <c r="V39" s="474"/>
      <c r="W39" s="577" t="s">
        <v>5</v>
      </c>
      <c r="X39" s="581" t="s">
        <v>43</v>
      </c>
      <c r="Y39" s="505" t="s">
        <v>67</v>
      </c>
    </row>
    <row r="40" spans="1:26">
      <c r="A40" s="477"/>
      <c r="B40" s="478"/>
      <c r="C40" s="479"/>
      <c r="D40" s="474"/>
      <c r="E40" s="474"/>
      <c r="F40" s="474"/>
      <c r="G40" s="474"/>
      <c r="H40" s="474"/>
      <c r="I40" s="474"/>
      <c r="J40" s="474"/>
      <c r="K40" s="474"/>
      <c r="L40" s="474"/>
      <c r="M40" s="474"/>
      <c r="N40" s="474"/>
      <c r="O40" s="474"/>
      <c r="P40" s="474"/>
      <c r="Q40" s="474"/>
      <c r="R40" s="474"/>
      <c r="S40" s="474"/>
      <c r="T40" s="474"/>
      <c r="U40" s="474"/>
      <c r="V40" s="474"/>
      <c r="Y40" s="532" t="s">
        <v>23</v>
      </c>
    </row>
    <row r="41" spans="1:26">
      <c r="A41" s="407" t="s">
        <v>68</v>
      </c>
      <c r="B41" s="478" t="s">
        <v>1</v>
      </c>
      <c r="C41" s="479"/>
      <c r="D41" s="480">
        <f>D7-D35-D36-D27</f>
        <v>0</v>
      </c>
      <c r="E41" s="480">
        <f t="shared" ref="E41:S41" si="24">E7-E35-E36-E27</f>
        <v>-7.9936057773011271E-15</v>
      </c>
      <c r="F41" s="480">
        <f t="shared" si="24"/>
        <v>1.9539925233402755E-14</v>
      </c>
      <c r="G41" s="480">
        <f t="shared" si="24"/>
        <v>-6.2172489379008766E-14</v>
      </c>
      <c r="H41" s="480">
        <f t="shared" si="24"/>
        <v>7.460698725481052E-14</v>
      </c>
      <c r="I41" s="480">
        <f t="shared" si="24"/>
        <v>0</v>
      </c>
      <c r="J41" s="480">
        <f t="shared" si="24"/>
        <v>1.9539925233402755E-14</v>
      </c>
      <c r="K41" s="480">
        <f t="shared" si="24"/>
        <v>2.6645352591003757E-14</v>
      </c>
      <c r="L41" s="480">
        <f t="shared" si="24"/>
        <v>-1.9539925233402755E-14</v>
      </c>
      <c r="M41" s="480">
        <f t="shared" si="24"/>
        <v>1.5987211554602254E-14</v>
      </c>
      <c r="N41" s="480">
        <f t="shared" si="24"/>
        <v>-1.7763568394002505E-14</v>
      </c>
      <c r="O41" s="480">
        <f t="shared" si="24"/>
        <v>-3.730349362740526E-14</v>
      </c>
      <c r="P41" s="480">
        <f t="shared" si="24"/>
        <v>0</v>
      </c>
      <c r="Q41" s="480">
        <f t="shared" si="24"/>
        <v>-3.730349362740526E-14</v>
      </c>
      <c r="R41" s="480"/>
      <c r="S41" s="480">
        <f t="shared" si="24"/>
        <v>2.3092638912203256E-14</v>
      </c>
      <c r="T41" s="480"/>
      <c r="U41" s="480">
        <f>U7-U35-U36-U27</f>
        <v>-1.4210854715202004E-14</v>
      </c>
      <c r="V41" s="480"/>
      <c r="W41" s="577" t="s">
        <v>5</v>
      </c>
      <c r="X41" s="581" t="s">
        <v>43</v>
      </c>
      <c r="Y41" s="505" t="s">
        <v>69</v>
      </c>
    </row>
    <row r="42" spans="1:26">
      <c r="A42" s="407" t="s">
        <v>70</v>
      </c>
      <c r="B42" s="478" t="s">
        <v>1</v>
      </c>
      <c r="C42" s="479"/>
      <c r="D42" s="480"/>
      <c r="E42" s="474">
        <f>E9-E27-E35</f>
        <v>0</v>
      </c>
      <c r="F42" s="474">
        <f t="shared" ref="F42:S42" si="25">F9-F27-F35</f>
        <v>0</v>
      </c>
      <c r="G42" s="474">
        <f t="shared" si="25"/>
        <v>0</v>
      </c>
      <c r="H42" s="474">
        <f>H9-H27-H35</f>
        <v>0</v>
      </c>
      <c r="I42" s="474">
        <f t="shared" si="25"/>
        <v>0</v>
      </c>
      <c r="J42" s="474">
        <f t="shared" si="25"/>
        <v>0</v>
      </c>
      <c r="K42" s="474">
        <f t="shared" si="25"/>
        <v>0</v>
      </c>
      <c r="L42" s="474">
        <f t="shared" si="25"/>
        <v>0</v>
      </c>
      <c r="M42" s="474">
        <f t="shared" si="25"/>
        <v>0</v>
      </c>
      <c r="N42" s="474">
        <f t="shared" si="25"/>
        <v>0</v>
      </c>
      <c r="O42" s="474">
        <f t="shared" si="25"/>
        <v>0</v>
      </c>
      <c r="P42" s="474">
        <f t="shared" si="25"/>
        <v>0</v>
      </c>
      <c r="Q42" s="474">
        <f t="shared" si="25"/>
        <v>0</v>
      </c>
      <c r="R42" s="474"/>
      <c r="S42" s="474">
        <f t="shared" si="25"/>
        <v>0</v>
      </c>
      <c r="T42" s="474"/>
      <c r="U42" s="474">
        <f>U9-U27-U35</f>
        <v>0</v>
      </c>
      <c r="V42" s="474"/>
      <c r="W42" s="577" t="s">
        <v>5</v>
      </c>
      <c r="X42" s="581" t="s">
        <v>43</v>
      </c>
      <c r="Y42" s="505" t="s">
        <v>71</v>
      </c>
    </row>
    <row r="43" spans="1:26">
      <c r="A43" s="477"/>
      <c r="B43" s="478"/>
      <c r="C43" s="479"/>
      <c r="D43" s="480"/>
      <c r="E43" s="474"/>
      <c r="F43" s="474"/>
      <c r="G43" s="474"/>
      <c r="H43" s="474"/>
      <c r="I43" s="474"/>
      <c r="J43" s="474"/>
      <c r="K43" s="474"/>
      <c r="L43" s="474"/>
      <c r="M43" s="474"/>
      <c r="N43" s="474"/>
      <c r="O43" s="474"/>
      <c r="P43" s="474"/>
      <c r="Q43" s="474"/>
      <c r="R43" s="474"/>
      <c r="S43" s="474"/>
      <c r="T43" s="474"/>
      <c r="U43" s="474"/>
      <c r="V43" s="474"/>
      <c r="Y43" s="410"/>
    </row>
    <row r="44" spans="1:26">
      <c r="A44" s="477"/>
      <c r="B44" s="478"/>
      <c r="C44" s="479"/>
      <c r="D44" s="480"/>
      <c r="E44" s="474"/>
      <c r="F44" s="474"/>
      <c r="G44" s="474"/>
      <c r="H44" s="474"/>
      <c r="I44" s="474"/>
      <c r="J44" s="474"/>
      <c r="K44" s="474"/>
      <c r="L44" s="474"/>
      <c r="M44" s="474"/>
      <c r="N44" s="474"/>
      <c r="O44" s="474"/>
      <c r="P44" s="474"/>
      <c r="Q44" s="474"/>
      <c r="R44" s="474"/>
      <c r="S44" s="474"/>
      <c r="T44" s="474"/>
      <c r="U44" s="474"/>
      <c r="V44" s="474"/>
      <c r="Y44" s="410"/>
    </row>
    <row r="45" spans="1:26">
      <c r="L45" t="s">
        <v>72</v>
      </c>
      <c r="M45">
        <v>4.33</v>
      </c>
    </row>
    <row r="46" spans="1:26">
      <c r="L46" t="s">
        <v>73</v>
      </c>
      <c r="M46">
        <f>4.33*1000</f>
        <v>4330</v>
      </c>
    </row>
    <row r="47" spans="1:26">
      <c r="Q47" t="s">
        <v>74</v>
      </c>
      <c r="V47" s="613">
        <f>V35-38</f>
        <v>7</v>
      </c>
    </row>
    <row r="48" spans="1:26">
      <c r="Q48" t="s">
        <v>75</v>
      </c>
      <c r="U48">
        <v>20</v>
      </c>
      <c r="V48" s="614">
        <f>U48+($V$47*U48/SUM($U$48:$U$50))</f>
        <v>23.684210526315788</v>
      </c>
      <c r="W48" t="s">
        <v>76</v>
      </c>
    </row>
    <row r="49" spans="15:23">
      <c r="Q49" t="s">
        <v>77</v>
      </c>
      <c r="U49">
        <v>10</v>
      </c>
      <c r="V49" s="614">
        <f t="shared" ref="V49:V50" si="26">U49+($V$47*U49/SUM($U$48:$U$50))</f>
        <v>11.842105263157894</v>
      </c>
      <c r="W49" t="s">
        <v>78</v>
      </c>
    </row>
    <row r="50" spans="15:23">
      <c r="Q50" t="s">
        <v>79</v>
      </c>
      <c r="U50">
        <v>8</v>
      </c>
      <c r="V50" s="614">
        <f t="shared" si="26"/>
        <v>9.473684210526315</v>
      </c>
    </row>
    <row r="53" spans="15:23">
      <c r="Q53" t="s">
        <v>80</v>
      </c>
    </row>
    <row r="54" spans="15:23">
      <c r="Q54" t="s">
        <v>75</v>
      </c>
    </row>
    <row r="55" spans="15:23">
      <c r="Q55" t="s">
        <v>77</v>
      </c>
    </row>
    <row r="56" spans="15:23">
      <c r="Q56" t="s">
        <v>79</v>
      </c>
    </row>
    <row r="59" spans="15:23">
      <c r="O59" t="s">
        <v>81</v>
      </c>
      <c r="P59" t="s">
        <v>82</v>
      </c>
    </row>
  </sheetData>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EF4C-8B31-41D7-96E8-EF6B062D7A5C}">
  <sheetPr>
    <tabColor rgb="FF00B0F0"/>
  </sheetPr>
  <dimension ref="A1:AJ52"/>
  <sheetViews>
    <sheetView zoomScale="130" zoomScaleNormal="130" workbookViewId="0">
      <pane xSplit="2" ySplit="6" topLeftCell="J19" activePane="bottomRight" state="frozen"/>
      <selection pane="bottomRight" activeCell="S32" sqref="S32"/>
      <selection pane="bottomLeft" activeCell="A7" sqref="A7"/>
      <selection pane="topRight" activeCell="C1" sqref="C1"/>
    </sheetView>
  </sheetViews>
  <sheetFormatPr defaultColWidth="8.875" defaultRowHeight="14.25"/>
  <cols>
    <col min="1" max="1" width="36.875" style="395" bestFit="1" customWidth="1"/>
    <col min="2" max="2" width="8.875" customWidth="1"/>
    <col min="3" max="3" width="10.375" hidden="1" customWidth="1"/>
    <col min="4" max="7" width="10.5" hidden="1" customWidth="1"/>
    <col min="8" max="8" width="10.5" customWidth="1"/>
    <col min="9" max="9" width="14.125" customWidth="1"/>
    <col min="10" max="14" width="10.5" bestFit="1" customWidth="1"/>
    <col min="15" max="18" width="10.5" customWidth="1"/>
    <col min="19" max="24" width="10.5" bestFit="1" customWidth="1"/>
    <col min="25" max="25" width="34.5" customWidth="1"/>
    <col min="26" max="26" width="44.125" bestFit="1" customWidth="1"/>
    <col min="27" max="27" width="10.5" bestFit="1" customWidth="1"/>
    <col min="28" max="28" width="15.875" bestFit="1" customWidth="1"/>
  </cols>
  <sheetData>
    <row r="1" spans="1:34">
      <c r="A1" s="395" t="s">
        <v>0</v>
      </c>
      <c r="B1" s="2" t="s">
        <v>1</v>
      </c>
      <c r="C1" s="257">
        <v>200.00475408799599</v>
      </c>
      <c r="D1" s="257">
        <v>180.7371222570533</v>
      </c>
      <c r="E1" s="257">
        <v>202.46136608303385</v>
      </c>
      <c r="F1" s="257">
        <v>187.53</v>
      </c>
      <c r="G1" s="257">
        <v>203.11200000000002</v>
      </c>
      <c r="H1" s="257">
        <v>196.56</v>
      </c>
      <c r="I1" s="257">
        <v>150.69829090909093</v>
      </c>
      <c r="J1" s="257">
        <v>203.11200000000002</v>
      </c>
      <c r="K1" s="257">
        <v>184.72800000000001</v>
      </c>
      <c r="L1" s="257">
        <v>159.51758748120392</v>
      </c>
      <c r="M1" s="257">
        <v>197.83230445752736</v>
      </c>
      <c r="N1" s="257">
        <v>197.83230445752736</v>
      </c>
      <c r="O1" s="257"/>
      <c r="P1" s="257"/>
      <c r="Q1" s="257"/>
      <c r="R1" s="257"/>
      <c r="S1" s="257">
        <v>201.4497760022428</v>
      </c>
      <c r="T1" s="257">
        <v>204.88926380712081</v>
      </c>
      <c r="U1" s="257">
        <v>185.06127053546396</v>
      </c>
      <c r="V1" s="257">
        <v>203.24626380712081</v>
      </c>
      <c r="W1" s="257">
        <v>196.68993271656853</v>
      </c>
      <c r="X1" s="257">
        <v>196.68993271656853</v>
      </c>
      <c r="Y1" s="409" t="s">
        <v>2</v>
      </c>
      <c r="Z1" s="579" t="s">
        <v>3</v>
      </c>
    </row>
    <row r="2" spans="1:34" ht="15">
      <c r="A2" s="395" t="s">
        <v>4</v>
      </c>
      <c r="B2" s="2" t="s">
        <v>1</v>
      </c>
      <c r="C2" s="182">
        <f t="shared" ref="C2:N2" si="0">C7-C1</f>
        <v>-0.99693893053157012</v>
      </c>
      <c r="D2" s="182">
        <f t="shared" si="0"/>
        <v>1.5036723472260292</v>
      </c>
      <c r="E2" s="182">
        <f t="shared" si="0"/>
        <v>1.4694360233963266</v>
      </c>
      <c r="F2" s="182">
        <f t="shared" si="0"/>
        <v>-3.1503056426332421</v>
      </c>
      <c r="G2" s="182">
        <f t="shared" si="0"/>
        <v>0.50199999999998113</v>
      </c>
      <c r="H2" s="182">
        <f t="shared" si="0"/>
        <v>0</v>
      </c>
      <c r="I2" s="182">
        <f t="shared" si="0"/>
        <v>4.7709090909080487E-2</v>
      </c>
      <c r="J2" s="182">
        <f t="shared" si="0"/>
        <v>0</v>
      </c>
      <c r="K2" s="182">
        <f t="shared" si="0"/>
        <v>-1.103999999999985</v>
      </c>
      <c r="L2" s="182">
        <f t="shared" si="0"/>
        <v>0</v>
      </c>
      <c r="M2" s="182">
        <f t="shared" si="0"/>
        <v>0</v>
      </c>
      <c r="N2" s="182">
        <f t="shared" si="0"/>
        <v>0</v>
      </c>
      <c r="O2" s="182"/>
      <c r="P2" s="182"/>
      <c r="Q2" s="182"/>
      <c r="R2" s="182"/>
      <c r="S2" s="182">
        <f t="shared" ref="S2:X2" si="1">S7-S1</f>
        <v>0</v>
      </c>
      <c r="T2" s="182">
        <f t="shared" si="1"/>
        <v>-16.586764227642249</v>
      </c>
      <c r="U2" s="182">
        <f t="shared" si="1"/>
        <v>-14.981593495934959</v>
      </c>
      <c r="V2" s="182">
        <f t="shared" si="1"/>
        <v>-14.943764227642248</v>
      </c>
      <c r="W2" s="182">
        <f t="shared" si="1"/>
        <v>-19.080243902439008</v>
      </c>
      <c r="X2" s="182">
        <f t="shared" si="1"/>
        <v>-13.159920941968011</v>
      </c>
      <c r="Y2" s="577" t="s">
        <v>5</v>
      </c>
      <c r="Z2" s="579" t="s">
        <v>3</v>
      </c>
      <c r="AA2" s="527" t="s">
        <v>6</v>
      </c>
      <c r="AH2" s="531" t="s">
        <v>7</v>
      </c>
    </row>
    <row r="3" spans="1:34">
      <c r="A3" s="395" t="s">
        <v>8</v>
      </c>
      <c r="B3" s="2" t="s">
        <v>1</v>
      </c>
      <c r="C3" s="257">
        <v>46.417000000000002</v>
      </c>
      <c r="D3" s="257">
        <v>44.466758620689653</v>
      </c>
      <c r="E3" s="257">
        <v>48.368068965517239</v>
      </c>
      <c r="F3" s="257">
        <v>45.692999999999998</v>
      </c>
      <c r="G3" s="257">
        <v>48.36</v>
      </c>
      <c r="H3" s="257">
        <v>46.8</v>
      </c>
      <c r="I3" s="257">
        <v>48.36</v>
      </c>
      <c r="J3" s="257">
        <v>48.36</v>
      </c>
      <c r="K3" s="257">
        <v>46.8</v>
      </c>
      <c r="L3" s="257">
        <v>46.692413793103455</v>
      </c>
      <c r="M3" s="257">
        <v>45.186206896551731</v>
      </c>
      <c r="N3" s="257">
        <v>45.186206896551731</v>
      </c>
      <c r="O3" s="257"/>
      <c r="P3" s="257"/>
      <c r="Q3" s="257"/>
      <c r="R3" s="257"/>
      <c r="S3" s="257">
        <v>47.526206896551727</v>
      </c>
      <c r="T3" s="257">
        <v>47.526206896551727</v>
      </c>
      <c r="U3" s="257">
        <v>42.926896551724141</v>
      </c>
      <c r="V3" s="257">
        <v>47.526206896551727</v>
      </c>
      <c r="W3" s="257">
        <v>45.993103448275861</v>
      </c>
      <c r="X3" s="257">
        <v>45.993103448275861</v>
      </c>
      <c r="Y3" s="409" t="s">
        <v>9</v>
      </c>
      <c r="Z3" s="579" t="s">
        <v>3</v>
      </c>
    </row>
    <row r="4" spans="1:34">
      <c r="A4" s="395" t="s">
        <v>4</v>
      </c>
      <c r="B4" s="2" t="s">
        <v>1</v>
      </c>
      <c r="C4" s="182">
        <f t="shared" ref="C4:N4" si="2">C9-C3</f>
        <v>-0.28151834684843635</v>
      </c>
      <c r="D4" s="182">
        <f t="shared" si="2"/>
        <v>-1.0419212381248784</v>
      </c>
      <c r="E4" s="182">
        <f t="shared" si="2"/>
        <v>1.4799310344827603</v>
      </c>
      <c r="F4" s="182">
        <f t="shared" si="2"/>
        <v>-0.23889655172413882</v>
      </c>
      <c r="G4" s="182">
        <f t="shared" si="2"/>
        <v>0.11599999999999966</v>
      </c>
      <c r="H4" s="182">
        <f t="shared" si="2"/>
        <v>0</v>
      </c>
      <c r="I4" s="182">
        <f t="shared" si="2"/>
        <v>0</v>
      </c>
      <c r="J4" s="182">
        <f t="shared" si="2"/>
        <v>0</v>
      </c>
      <c r="K4" s="182">
        <f t="shared" si="2"/>
        <v>0</v>
      </c>
      <c r="L4" s="182">
        <f t="shared" si="2"/>
        <v>0</v>
      </c>
      <c r="M4" s="182">
        <f t="shared" si="2"/>
        <v>0</v>
      </c>
      <c r="N4" s="182">
        <f t="shared" si="2"/>
        <v>0</v>
      </c>
      <c r="O4" s="182"/>
      <c r="P4" s="182"/>
      <c r="Q4" s="182"/>
      <c r="R4" s="182"/>
      <c r="S4" s="182">
        <f t="shared" ref="S4:X4" si="3">S9-S3</f>
        <v>0</v>
      </c>
      <c r="T4" s="182">
        <f t="shared" si="3"/>
        <v>0</v>
      </c>
      <c r="U4" s="182">
        <f t="shared" si="3"/>
        <v>0</v>
      </c>
      <c r="V4" s="182">
        <f t="shared" si="3"/>
        <v>0</v>
      </c>
      <c r="W4" s="182">
        <f t="shared" si="3"/>
        <v>0</v>
      </c>
      <c r="X4" s="182">
        <f t="shared" si="3"/>
        <v>1.5331034482758668</v>
      </c>
      <c r="Y4" s="577" t="s">
        <v>5</v>
      </c>
      <c r="Z4" s="579" t="s">
        <v>3</v>
      </c>
      <c r="AA4" s="512" t="s">
        <v>10</v>
      </c>
    </row>
    <row r="5" spans="1:34">
      <c r="A5" s="578" t="s">
        <v>11</v>
      </c>
      <c r="C5" s="396">
        <v>31</v>
      </c>
      <c r="D5" s="450">
        <v>28</v>
      </c>
      <c r="E5" s="450">
        <v>31</v>
      </c>
      <c r="F5" s="450">
        <v>30</v>
      </c>
      <c r="G5" s="450">
        <v>31</v>
      </c>
      <c r="H5" s="450">
        <v>30</v>
      </c>
      <c r="I5" s="450">
        <v>31</v>
      </c>
      <c r="J5" s="450">
        <v>31</v>
      </c>
      <c r="K5" s="450">
        <v>30</v>
      </c>
      <c r="L5" s="450">
        <v>31</v>
      </c>
      <c r="M5" s="450">
        <v>30</v>
      </c>
      <c r="N5" s="450">
        <v>30</v>
      </c>
      <c r="O5" s="450"/>
      <c r="P5" s="450"/>
      <c r="Q5" s="450"/>
      <c r="R5" s="450"/>
      <c r="S5" s="450">
        <v>31</v>
      </c>
      <c r="T5" s="450">
        <v>31</v>
      </c>
      <c r="U5" s="450">
        <v>28</v>
      </c>
      <c r="V5" s="450">
        <v>31</v>
      </c>
      <c r="W5" s="450">
        <v>30</v>
      </c>
      <c r="X5" s="450">
        <v>31</v>
      </c>
      <c r="Y5" s="577" t="s">
        <v>5</v>
      </c>
      <c r="Z5" s="580" t="s">
        <v>12</v>
      </c>
      <c r="AA5" s="528" t="s">
        <v>11</v>
      </c>
      <c r="AB5" s="396"/>
    </row>
    <row r="6" spans="1:34">
      <c r="A6" s="397" t="s">
        <v>13</v>
      </c>
      <c r="B6" s="397" t="s">
        <v>14</v>
      </c>
      <c r="C6" s="398">
        <v>44198</v>
      </c>
      <c r="D6" s="398">
        <v>44229</v>
      </c>
      <c r="E6" s="398">
        <v>44257</v>
      </c>
      <c r="F6" s="398">
        <v>44288</v>
      </c>
      <c r="G6" s="398">
        <v>44318</v>
      </c>
      <c r="H6" s="398">
        <v>44349</v>
      </c>
      <c r="I6" s="399">
        <v>44379</v>
      </c>
      <c r="J6" s="399">
        <v>44410</v>
      </c>
      <c r="K6" s="399">
        <v>44441</v>
      </c>
      <c r="L6" s="399">
        <v>44471</v>
      </c>
      <c r="M6" s="399">
        <v>44502</v>
      </c>
      <c r="N6" s="399">
        <v>44502</v>
      </c>
      <c r="O6" s="399"/>
      <c r="P6" s="399"/>
      <c r="Q6" s="399"/>
      <c r="R6" s="399"/>
      <c r="S6" s="399">
        <v>44532</v>
      </c>
      <c r="T6" s="399">
        <v>44563</v>
      </c>
      <c r="U6" s="399">
        <v>44594</v>
      </c>
      <c r="V6" s="399">
        <v>44622</v>
      </c>
      <c r="W6" s="399">
        <v>44653</v>
      </c>
      <c r="X6" s="399">
        <v>44683</v>
      </c>
      <c r="AA6" s="406"/>
      <c r="AB6" s="406"/>
    </row>
    <row r="7" spans="1:34">
      <c r="A7" s="400" t="s">
        <v>15</v>
      </c>
      <c r="B7" s="2" t="s">
        <v>1</v>
      </c>
      <c r="C7" s="405">
        <v>199.00781515746442</v>
      </c>
      <c r="D7" s="401">
        <v>182.24079460427933</v>
      </c>
      <c r="E7" s="401">
        <v>203.93080210643018</v>
      </c>
      <c r="F7" s="401">
        <v>184.37969435736676</v>
      </c>
      <c r="G7" s="401">
        <v>203.614</v>
      </c>
      <c r="H7" s="401">
        <v>196.56</v>
      </c>
      <c r="I7" s="401">
        <v>150.74600000000001</v>
      </c>
      <c r="J7" s="401">
        <v>203.11200000000002</v>
      </c>
      <c r="K7" s="401">
        <v>183.62400000000002</v>
      </c>
      <c r="L7" s="401">
        <v>159.51758748120392</v>
      </c>
      <c r="M7" s="401">
        <v>197.83230445752736</v>
      </c>
      <c r="N7" s="401">
        <v>197.83230445752736</v>
      </c>
      <c r="O7" s="401"/>
      <c r="P7" s="401"/>
      <c r="Q7" s="401"/>
      <c r="R7" s="401"/>
      <c r="S7" s="401">
        <v>201.4497760022428</v>
      </c>
      <c r="T7" s="401">
        <v>188.30249957947856</v>
      </c>
      <c r="U7" s="401">
        <v>170.079677039529</v>
      </c>
      <c r="V7" s="401">
        <v>188.30249957947856</v>
      </c>
      <c r="W7" s="401">
        <v>177.60968881412953</v>
      </c>
      <c r="X7" s="401">
        <v>183.53001177460052</v>
      </c>
      <c r="Y7" t="s">
        <v>16</v>
      </c>
      <c r="Z7" s="579" t="s">
        <v>3</v>
      </c>
      <c r="AA7" s="526" t="s">
        <v>17</v>
      </c>
      <c r="AB7" s="485"/>
    </row>
    <row r="8" spans="1:34">
      <c r="A8" s="395" t="str">
        <f>A7</f>
        <v>Total C2 (Ability 6rev0_7May'21) (ฉบับแก้ไข)</v>
      </c>
      <c r="B8" s="2" t="s">
        <v>18</v>
      </c>
      <c r="C8" s="402">
        <f t="shared" ref="C8:N8" si="4">C7/24/C5*1000</f>
        <v>267.48362252347368</v>
      </c>
      <c r="D8" s="402">
        <f t="shared" si="4"/>
        <v>271.19165863732042</v>
      </c>
      <c r="E8" s="402">
        <f t="shared" si="4"/>
        <v>274.10054046563198</v>
      </c>
      <c r="F8" s="402">
        <f t="shared" si="4"/>
        <v>256.08290882967606</v>
      </c>
      <c r="G8" s="402">
        <f t="shared" si="4"/>
        <v>273.67473118279571</v>
      </c>
      <c r="H8" s="402">
        <f t="shared" si="4"/>
        <v>272.99999999999994</v>
      </c>
      <c r="I8" s="402">
        <f t="shared" si="4"/>
        <v>202.6155913978495</v>
      </c>
      <c r="J8" s="402">
        <f t="shared" si="4"/>
        <v>273</v>
      </c>
      <c r="K8" s="402">
        <f t="shared" si="4"/>
        <v>255.03333333333333</v>
      </c>
      <c r="L8" s="402">
        <f t="shared" si="4"/>
        <v>214.4053595177472</v>
      </c>
      <c r="M8" s="402">
        <f t="shared" si="4"/>
        <v>274.76708952434353</v>
      </c>
      <c r="N8" s="402">
        <f t="shared" si="4"/>
        <v>274.76708952434353</v>
      </c>
      <c r="O8" s="402"/>
      <c r="P8" s="402"/>
      <c r="Q8" s="402"/>
      <c r="R8" s="402"/>
      <c r="S8" s="402">
        <f t="shared" ref="S8:X8" si="5">S7/24/S5*1000</f>
        <v>270.76582796000378</v>
      </c>
      <c r="T8" s="402">
        <f t="shared" si="5"/>
        <v>253.09475749929916</v>
      </c>
      <c r="U8" s="402">
        <f t="shared" si="5"/>
        <v>253.09475749929911</v>
      </c>
      <c r="V8" s="402">
        <f t="shared" si="5"/>
        <v>253.09475749929916</v>
      </c>
      <c r="W8" s="402">
        <f t="shared" si="5"/>
        <v>246.68012335295765</v>
      </c>
      <c r="X8" s="402">
        <f t="shared" si="5"/>
        <v>246.68012335295768</v>
      </c>
      <c r="Y8" s="577" t="s">
        <v>5</v>
      </c>
      <c r="Z8" s="579" t="s">
        <v>3</v>
      </c>
      <c r="AA8" s="505" t="s">
        <v>19</v>
      </c>
      <c r="AB8" s="486"/>
    </row>
    <row r="9" spans="1:34">
      <c r="A9" s="422" t="s">
        <v>8</v>
      </c>
      <c r="B9" s="2" t="s">
        <v>1</v>
      </c>
      <c r="C9" s="405">
        <v>46.135481653151565</v>
      </c>
      <c r="D9" s="405">
        <v>43.424837382564775</v>
      </c>
      <c r="E9" s="405">
        <v>49.847999999999999</v>
      </c>
      <c r="F9" s="405">
        <v>45.454103448275859</v>
      </c>
      <c r="G9" s="405">
        <v>48.475999999999999</v>
      </c>
      <c r="H9" s="405">
        <v>46.8</v>
      </c>
      <c r="I9" s="405">
        <v>48.36</v>
      </c>
      <c r="J9" s="405">
        <v>48.36</v>
      </c>
      <c r="K9" s="405">
        <v>46.8</v>
      </c>
      <c r="L9" s="405">
        <v>46.692413793103455</v>
      </c>
      <c r="M9" s="405">
        <v>45.186206896551731</v>
      </c>
      <c r="N9" s="405">
        <v>45.186206896551731</v>
      </c>
      <c r="O9" s="405"/>
      <c r="P9" s="405"/>
      <c r="Q9" s="405"/>
      <c r="R9" s="405"/>
      <c r="S9" s="405">
        <v>47.526206896551727</v>
      </c>
      <c r="T9" s="405">
        <v>47.526206896551727</v>
      </c>
      <c r="U9" s="405">
        <v>42.926896551724141</v>
      </c>
      <c r="V9" s="405">
        <v>47.526206896551727</v>
      </c>
      <c r="W9" s="405">
        <v>45.993103448275861</v>
      </c>
      <c r="X9" s="405">
        <v>47.526206896551727</v>
      </c>
      <c r="Y9" t="s">
        <v>20</v>
      </c>
      <c r="Z9" s="579" t="s">
        <v>3</v>
      </c>
      <c r="AA9" s="526" t="s">
        <v>21</v>
      </c>
      <c r="AB9" s="485"/>
    </row>
    <row r="10" spans="1:34">
      <c r="A10" s="395" t="s">
        <v>8</v>
      </c>
      <c r="B10" s="2" t="s">
        <v>18</v>
      </c>
      <c r="C10" s="403">
        <f t="shared" ref="C10:N10" si="6">C9/24/C5*1000</f>
        <v>62.010055985418774</v>
      </c>
      <c r="D10" s="403">
        <f t="shared" si="6"/>
        <v>64.620293724054733</v>
      </c>
      <c r="E10" s="403">
        <f t="shared" si="6"/>
        <v>67</v>
      </c>
      <c r="F10" s="403">
        <f t="shared" si="6"/>
        <v>63.130699233716477</v>
      </c>
      <c r="G10" s="403">
        <f t="shared" si="6"/>
        <v>65.15591397849461</v>
      </c>
      <c r="H10" s="403">
        <f t="shared" si="6"/>
        <v>65</v>
      </c>
      <c r="I10" s="403">
        <f t="shared" si="6"/>
        <v>65</v>
      </c>
      <c r="J10" s="403">
        <f t="shared" si="6"/>
        <v>65</v>
      </c>
      <c r="K10" s="403">
        <f t="shared" si="6"/>
        <v>65</v>
      </c>
      <c r="L10" s="403">
        <f t="shared" si="6"/>
        <v>62.758620689655181</v>
      </c>
      <c r="M10" s="403">
        <f t="shared" si="6"/>
        <v>62.758620689655181</v>
      </c>
      <c r="N10" s="403">
        <f t="shared" si="6"/>
        <v>62.758620689655181</v>
      </c>
      <c r="O10" s="403"/>
      <c r="P10" s="403"/>
      <c r="Q10" s="403"/>
      <c r="R10" s="403"/>
      <c r="S10" s="403">
        <f t="shared" ref="S10:X10" si="7">S9/24/S5*1000</f>
        <v>63.879310344827594</v>
      </c>
      <c r="T10" s="403">
        <f t="shared" si="7"/>
        <v>63.879310344827594</v>
      </c>
      <c r="U10" s="403">
        <f t="shared" si="7"/>
        <v>63.879310344827594</v>
      </c>
      <c r="V10" s="403">
        <f t="shared" si="7"/>
        <v>63.879310344827594</v>
      </c>
      <c r="W10" s="403">
        <f t="shared" si="7"/>
        <v>63.87931034482758</v>
      </c>
      <c r="X10" s="403">
        <f t="shared" si="7"/>
        <v>63.879310344827594</v>
      </c>
      <c r="Y10" s="577" t="s">
        <v>5</v>
      </c>
      <c r="Z10" s="579" t="s">
        <v>3</v>
      </c>
      <c r="AA10" s="529" t="s">
        <v>22</v>
      </c>
      <c r="AB10" s="486"/>
    </row>
    <row r="11" spans="1:34">
      <c r="B11" s="2"/>
      <c r="C11" s="403"/>
      <c r="D11" s="403"/>
      <c r="E11" s="403"/>
      <c r="F11" s="403"/>
      <c r="G11" s="403"/>
      <c r="H11" s="403"/>
      <c r="I11" s="403"/>
      <c r="J11" s="403"/>
      <c r="K11" s="403"/>
      <c r="L11" s="403"/>
      <c r="M11" s="403"/>
      <c r="N11" s="403"/>
      <c r="O11" s="403"/>
      <c r="P11" s="403"/>
      <c r="Q11" s="403"/>
      <c r="R11" s="403"/>
      <c r="S11" s="403"/>
      <c r="T11" s="403"/>
      <c r="U11" s="403"/>
      <c r="V11" s="403"/>
      <c r="W11" s="403"/>
      <c r="X11" s="403"/>
      <c r="AA11" s="532" t="s">
        <v>23</v>
      </c>
      <c r="AB11" s="486"/>
      <c r="AE11" t="s">
        <v>24</v>
      </c>
    </row>
    <row r="12" spans="1:34">
      <c r="A12" s="395" t="s">
        <v>25</v>
      </c>
      <c r="B12" s="2"/>
      <c r="C12" s="403"/>
      <c r="D12" s="403"/>
      <c r="E12" s="403"/>
      <c r="F12" s="403"/>
      <c r="G12" s="403"/>
      <c r="H12" s="403"/>
      <c r="I12" s="403"/>
      <c r="J12" s="403"/>
      <c r="K12" s="403"/>
      <c r="L12" s="403"/>
      <c r="M12" s="403"/>
      <c r="N12" s="403"/>
      <c r="O12" s="403"/>
      <c r="P12" s="403"/>
      <c r="Q12" s="403"/>
      <c r="R12" s="403"/>
      <c r="S12" s="403"/>
      <c r="T12" s="403"/>
      <c r="U12" s="403"/>
      <c r="V12" s="403"/>
      <c r="W12" s="403"/>
      <c r="X12" s="403"/>
      <c r="AA12" s="532" t="s">
        <v>26</v>
      </c>
      <c r="AB12" s="486"/>
    </row>
    <row r="13" spans="1:34">
      <c r="A13" s="395" t="s">
        <v>27</v>
      </c>
      <c r="B13" s="2" t="s">
        <v>18</v>
      </c>
      <c r="C13" s="403"/>
      <c r="D13" s="182">
        <v>260</v>
      </c>
      <c r="E13" s="182">
        <v>260</v>
      </c>
      <c r="F13" s="182">
        <v>260</v>
      </c>
      <c r="G13" s="182">
        <v>260</v>
      </c>
      <c r="H13" s="182">
        <v>260</v>
      </c>
      <c r="I13" s="182">
        <v>260</v>
      </c>
      <c r="J13" s="182">
        <v>260</v>
      </c>
      <c r="K13" s="182">
        <v>260</v>
      </c>
      <c r="L13" s="182">
        <v>260</v>
      </c>
      <c r="M13" s="182">
        <v>260</v>
      </c>
      <c r="N13" s="182">
        <v>260</v>
      </c>
      <c r="O13" s="182"/>
      <c r="P13" s="182">
        <f>M13-N13</f>
        <v>0</v>
      </c>
      <c r="Q13" s="182">
        <f t="shared" ref="Q13:Q42" si="8">M13-N13</f>
        <v>0</v>
      </c>
      <c r="R13" s="182">
        <f t="shared" ref="R13:R42" si="9">M13-N13</f>
        <v>0</v>
      </c>
      <c r="S13" s="182">
        <v>260</v>
      </c>
      <c r="T13" s="182">
        <v>260</v>
      </c>
      <c r="U13" s="182">
        <v>260</v>
      </c>
      <c r="V13" s="182">
        <v>260</v>
      </c>
      <c r="W13" s="182">
        <v>260</v>
      </c>
      <c r="X13" s="182">
        <v>260</v>
      </c>
      <c r="Y13" t="s">
        <v>28</v>
      </c>
      <c r="Z13" s="580" t="s">
        <v>12</v>
      </c>
      <c r="AA13" s="533"/>
      <c r="AB13" s="486"/>
    </row>
    <row r="14" spans="1:34">
      <c r="A14" s="395" t="s">
        <v>29</v>
      </c>
      <c r="B14" s="2" t="s">
        <v>18</v>
      </c>
      <c r="C14" s="403"/>
      <c r="D14" s="182">
        <v>15</v>
      </c>
      <c r="E14" s="182">
        <v>15</v>
      </c>
      <c r="F14" s="182">
        <v>15</v>
      </c>
      <c r="G14" s="182">
        <v>15</v>
      </c>
      <c r="H14" s="182">
        <v>15</v>
      </c>
      <c r="I14" s="182">
        <v>15</v>
      </c>
      <c r="J14" s="182">
        <v>15</v>
      </c>
      <c r="K14" s="182">
        <v>15</v>
      </c>
      <c r="L14" s="182">
        <v>15</v>
      </c>
      <c r="M14" s="182">
        <v>15</v>
      </c>
      <c r="N14" s="182">
        <v>15</v>
      </c>
      <c r="O14" s="182"/>
      <c r="P14" s="182">
        <f t="shared" ref="P14:P42" si="10">M14-N14</f>
        <v>0</v>
      </c>
      <c r="Q14" s="182">
        <f t="shared" si="8"/>
        <v>0</v>
      </c>
      <c r="R14" s="182">
        <f t="shared" si="9"/>
        <v>0</v>
      </c>
      <c r="S14" s="182">
        <v>30</v>
      </c>
      <c r="T14" s="182">
        <v>15</v>
      </c>
      <c r="U14" s="182">
        <v>15</v>
      </c>
      <c r="V14" s="182">
        <v>15</v>
      </c>
      <c r="W14" s="182">
        <v>15</v>
      </c>
      <c r="X14" s="182">
        <v>15</v>
      </c>
      <c r="Y14" t="s">
        <v>28</v>
      </c>
      <c r="Z14" s="580" t="s">
        <v>12</v>
      </c>
      <c r="AA14" s="533"/>
      <c r="AB14" s="486"/>
    </row>
    <row r="15" spans="1:34">
      <c r="B15" s="2"/>
      <c r="C15" s="403"/>
      <c r="D15" s="403"/>
      <c r="E15" s="403"/>
      <c r="F15" s="403"/>
      <c r="G15" s="403"/>
      <c r="H15" s="403"/>
      <c r="I15" s="403"/>
      <c r="J15" s="403"/>
      <c r="K15" s="403"/>
      <c r="L15" s="403"/>
      <c r="M15" s="403"/>
      <c r="N15" s="403"/>
      <c r="O15" s="403"/>
      <c r="P15" s="182">
        <f t="shared" si="10"/>
        <v>0</v>
      </c>
      <c r="Q15" s="182">
        <f t="shared" si="8"/>
        <v>0</v>
      </c>
      <c r="R15" s="182">
        <f t="shared" si="9"/>
        <v>0</v>
      </c>
      <c r="S15" s="403"/>
      <c r="T15" s="403"/>
      <c r="U15" s="403"/>
      <c r="V15" s="403"/>
      <c r="W15" s="403"/>
      <c r="X15" s="403"/>
      <c r="AA15" s="532" t="s">
        <v>23</v>
      </c>
      <c r="AB15" s="486"/>
    </row>
    <row r="16" spans="1:34">
      <c r="A16" s="395" t="s">
        <v>30</v>
      </c>
      <c r="B16" s="2" t="s">
        <v>18</v>
      </c>
      <c r="C16" s="404"/>
      <c r="D16" s="404"/>
      <c r="E16" s="404">
        <f t="shared" ref="E16:N16" si="11">E8-275</f>
        <v>-0.89945953436802029</v>
      </c>
      <c r="F16" s="404">
        <f t="shared" si="11"/>
        <v>-18.917091170323943</v>
      </c>
      <c r="G16" s="404">
        <f t="shared" si="11"/>
        <v>-1.3252688172042895</v>
      </c>
      <c r="H16" s="404">
        <f t="shared" si="11"/>
        <v>-2.0000000000000568</v>
      </c>
      <c r="I16" s="404">
        <f t="shared" si="11"/>
        <v>-72.384408602150501</v>
      </c>
      <c r="J16" s="404">
        <f t="shared" si="11"/>
        <v>-2</v>
      </c>
      <c r="K16" s="404">
        <f t="shared" si="11"/>
        <v>-19.966666666666669</v>
      </c>
      <c r="L16" s="404">
        <f t="shared" si="11"/>
        <v>-60.5946404822528</v>
      </c>
      <c r="M16" s="404">
        <f t="shared" si="11"/>
        <v>-0.2329104756564675</v>
      </c>
      <c r="N16" s="404">
        <f t="shared" si="11"/>
        <v>-0.2329104756564675</v>
      </c>
      <c r="O16" s="404"/>
      <c r="P16" s="182">
        <f t="shared" si="10"/>
        <v>0</v>
      </c>
      <c r="Q16" s="182">
        <f t="shared" si="8"/>
        <v>0</v>
      </c>
      <c r="R16" s="182">
        <f t="shared" si="9"/>
        <v>0</v>
      </c>
      <c r="S16" s="404">
        <f t="shared" ref="S16:X16" si="12">S8-275</f>
        <v>-4.2341720399962242</v>
      </c>
      <c r="T16" s="404">
        <f t="shared" si="12"/>
        <v>-21.905242500700837</v>
      </c>
      <c r="U16" s="404">
        <f t="shared" si="12"/>
        <v>-21.905242500700894</v>
      </c>
      <c r="V16" s="404">
        <f t="shared" si="12"/>
        <v>-21.905242500700837</v>
      </c>
      <c r="W16" s="404">
        <f t="shared" si="12"/>
        <v>-28.319876647042349</v>
      </c>
      <c r="X16" s="404">
        <f t="shared" si="12"/>
        <v>-28.319876647042321</v>
      </c>
      <c r="Y16" s="577" t="s">
        <v>5</v>
      </c>
      <c r="Z16" s="579" t="s">
        <v>3</v>
      </c>
      <c r="AA16" s="505" t="s">
        <v>31</v>
      </c>
      <c r="AB16" s="486"/>
    </row>
    <row r="17" spans="1:36">
      <c r="A17" s="395" t="s">
        <v>32</v>
      </c>
      <c r="B17" s="2"/>
      <c r="E17" s="339"/>
      <c r="F17" s="339"/>
      <c r="G17" s="339"/>
      <c r="H17" s="339"/>
      <c r="I17" s="339"/>
      <c r="J17" s="339"/>
      <c r="K17" s="339"/>
      <c r="L17" s="339"/>
      <c r="M17" s="339"/>
      <c r="N17" s="339"/>
      <c r="O17" s="339"/>
      <c r="P17" s="182">
        <f t="shared" si="10"/>
        <v>0</v>
      </c>
      <c r="Q17" s="182">
        <f t="shared" si="8"/>
        <v>0</v>
      </c>
      <c r="R17" s="182">
        <f t="shared" si="9"/>
        <v>0</v>
      </c>
      <c r="S17" s="339"/>
      <c r="T17" s="339"/>
      <c r="U17" s="339"/>
      <c r="V17" s="339"/>
      <c r="W17" s="339"/>
      <c r="X17" s="339"/>
      <c r="AA17" s="532" t="s">
        <v>26</v>
      </c>
      <c r="AB17" s="486"/>
    </row>
    <row r="18" spans="1:36">
      <c r="A18" s="395" t="s">
        <v>33</v>
      </c>
      <c r="B18" s="2" t="s">
        <v>18</v>
      </c>
      <c r="D18" s="404"/>
      <c r="E18" s="404">
        <f t="shared" ref="E18:U18" si="13">E13/(E13+E14)*E16</f>
        <v>-0.85039810522067372</v>
      </c>
      <c r="F18" s="404">
        <f t="shared" si="13"/>
        <v>-17.885249833760817</v>
      </c>
      <c r="G18" s="404">
        <f t="shared" si="13"/>
        <v>-1.2529814271749646</v>
      </c>
      <c r="H18" s="404">
        <f t="shared" si="13"/>
        <v>-1.8909090909091446</v>
      </c>
      <c r="I18" s="404">
        <f t="shared" si="13"/>
        <v>-68.436168132942285</v>
      </c>
      <c r="J18" s="404">
        <f t="shared" si="13"/>
        <v>-1.8909090909090909</v>
      </c>
      <c r="K18" s="404">
        <f t="shared" si="13"/>
        <v>-18.877575757575759</v>
      </c>
      <c r="L18" s="404">
        <f t="shared" si="13"/>
        <v>-57.28947827412992</v>
      </c>
      <c r="M18" s="404">
        <f t="shared" si="13"/>
        <v>-0.22020626789338746</v>
      </c>
      <c r="N18" s="404">
        <f t="shared" ref="N18" si="14">N13/(N13+N14)*N16</f>
        <v>-0.22020626789338746</v>
      </c>
      <c r="O18" s="404"/>
      <c r="P18" s="182">
        <f t="shared" si="10"/>
        <v>0</v>
      </c>
      <c r="Q18" s="182">
        <f t="shared" si="8"/>
        <v>0</v>
      </c>
      <c r="R18" s="182">
        <f t="shared" si="9"/>
        <v>0</v>
      </c>
      <c r="S18" s="404">
        <f t="shared" si="13"/>
        <v>-3.7961542427552355</v>
      </c>
      <c r="T18" s="404">
        <f t="shared" si="13"/>
        <v>-20.7104110915717</v>
      </c>
      <c r="U18" s="404">
        <f t="shared" si="13"/>
        <v>-20.710411091571753</v>
      </c>
      <c r="V18" s="404">
        <f>V13/(V13+V14)*V16</f>
        <v>-20.7104110915717</v>
      </c>
      <c r="W18" s="404">
        <f>W13/(W13+W14)*W16</f>
        <v>-26.775156102658222</v>
      </c>
      <c r="X18" s="404">
        <f>X13/(X13+X14)*X16</f>
        <v>-26.775156102658194</v>
      </c>
      <c r="Z18" s="579" t="s">
        <v>3</v>
      </c>
      <c r="AA18" s="505" t="s">
        <v>35</v>
      </c>
      <c r="AB18" s="486"/>
    </row>
    <row r="19" spans="1:36">
      <c r="A19" s="395" t="s">
        <v>36</v>
      </c>
      <c r="B19" s="2" t="s">
        <v>18</v>
      </c>
      <c r="D19" s="404"/>
      <c r="E19" s="404">
        <f>E14/(E13+E14)*E16</f>
        <v>-4.9061429147346555E-2</v>
      </c>
      <c r="F19" s="404">
        <f t="shared" ref="F19:U19" si="15">F14/(F13+F14)*F16</f>
        <v>-1.031841336563124</v>
      </c>
      <c r="G19" s="404">
        <f t="shared" si="15"/>
        <v>-7.2287390029324883E-2</v>
      </c>
      <c r="H19" s="404">
        <f t="shared" si="15"/>
        <v>-0.10909090909091218</v>
      </c>
      <c r="I19" s="404">
        <f t="shared" si="15"/>
        <v>-3.9482404692082089</v>
      </c>
      <c r="J19" s="404">
        <f t="shared" si="15"/>
        <v>-0.10909090909090909</v>
      </c>
      <c r="K19" s="404">
        <f t="shared" si="15"/>
        <v>-1.0890909090909091</v>
      </c>
      <c r="L19" s="404">
        <f>L14/(L13+L14)*L16</f>
        <v>-3.30516220812288</v>
      </c>
      <c r="M19" s="404">
        <f t="shared" si="15"/>
        <v>-1.2704207763080044E-2</v>
      </c>
      <c r="N19" s="404">
        <f t="shared" ref="N19" si="16">N14/(N13+N14)*N16</f>
        <v>-1.2704207763080044E-2</v>
      </c>
      <c r="O19" s="404"/>
      <c r="P19" s="182">
        <f t="shared" si="10"/>
        <v>0</v>
      </c>
      <c r="Q19" s="182">
        <f t="shared" si="8"/>
        <v>0</v>
      </c>
      <c r="R19" s="182">
        <f t="shared" si="9"/>
        <v>0</v>
      </c>
      <c r="S19" s="404">
        <f t="shared" si="15"/>
        <v>-0.43801779724098872</v>
      </c>
      <c r="T19" s="404">
        <f t="shared" si="15"/>
        <v>-1.1948314091291365</v>
      </c>
      <c r="U19" s="404">
        <f t="shared" si="15"/>
        <v>-1.1948314091291397</v>
      </c>
      <c r="V19" s="404">
        <f>V14/(V13+V14)*V16</f>
        <v>-1.1948314091291365</v>
      </c>
      <c r="W19" s="404">
        <f>W14/(W13+W14)*W16</f>
        <v>-1.5447205443841281</v>
      </c>
      <c r="X19" s="404">
        <f>X14/(X13+X14)*X16</f>
        <v>-1.5447205443841265</v>
      </c>
      <c r="Y19" s="577" t="s">
        <v>5</v>
      </c>
      <c r="Z19" s="579" t="s">
        <v>3</v>
      </c>
      <c r="AA19" s="505" t="s">
        <v>37</v>
      </c>
      <c r="AB19" s="486"/>
    </row>
    <row r="20" spans="1:36">
      <c r="B20" s="2"/>
      <c r="E20" s="339"/>
      <c r="F20" s="339"/>
      <c r="G20" s="339"/>
      <c r="H20" s="339"/>
      <c r="I20" s="404"/>
      <c r="J20" s="404"/>
      <c r="K20" s="404"/>
      <c r="L20" s="404"/>
      <c r="M20" s="404"/>
      <c r="N20" s="404"/>
      <c r="O20" s="404"/>
      <c r="P20" s="182">
        <f t="shared" si="10"/>
        <v>0</v>
      </c>
      <c r="Q20" s="182">
        <f t="shared" si="8"/>
        <v>0</v>
      </c>
      <c r="R20" s="182">
        <f t="shared" si="9"/>
        <v>0</v>
      </c>
      <c r="S20" s="404"/>
      <c r="T20" s="404"/>
      <c r="U20" s="404"/>
      <c r="V20" s="404"/>
      <c r="W20" s="404"/>
      <c r="X20" s="404"/>
      <c r="AA20" s="532" t="s">
        <v>23</v>
      </c>
      <c r="AB20" s="486"/>
    </row>
    <row r="21" spans="1:36" ht="15.95" customHeight="1">
      <c r="A21" s="397" t="s">
        <v>38</v>
      </c>
      <c r="B21" s="397" t="s">
        <v>14</v>
      </c>
      <c r="C21" s="398">
        <f t="shared" ref="C21:X21" si="17">C6</f>
        <v>44198</v>
      </c>
      <c r="D21" s="398">
        <f t="shared" si="17"/>
        <v>44229</v>
      </c>
      <c r="E21" s="398">
        <f t="shared" si="17"/>
        <v>44257</v>
      </c>
      <c r="F21" s="398">
        <f t="shared" si="17"/>
        <v>44288</v>
      </c>
      <c r="G21" s="398">
        <f t="shared" si="17"/>
        <v>44318</v>
      </c>
      <c r="H21" s="398">
        <f t="shared" si="17"/>
        <v>44349</v>
      </c>
      <c r="I21" s="399">
        <f t="shared" si="17"/>
        <v>44379</v>
      </c>
      <c r="J21" s="399">
        <f t="shared" si="17"/>
        <v>44410</v>
      </c>
      <c r="K21" s="399">
        <f t="shared" si="17"/>
        <v>44441</v>
      </c>
      <c r="L21" s="399">
        <f t="shared" si="17"/>
        <v>44471</v>
      </c>
      <c r="M21" s="399">
        <f t="shared" si="17"/>
        <v>44502</v>
      </c>
      <c r="N21" s="399">
        <f t="shared" ref="N21" si="18">N6</f>
        <v>44502</v>
      </c>
      <c r="O21" s="399"/>
      <c r="P21" s="182">
        <f t="shared" si="10"/>
        <v>0</v>
      </c>
      <c r="Q21" s="182">
        <f t="shared" si="8"/>
        <v>0</v>
      </c>
      <c r="R21" s="182">
        <f t="shared" si="9"/>
        <v>0</v>
      </c>
      <c r="S21" s="399">
        <f t="shared" si="17"/>
        <v>44532</v>
      </c>
      <c r="T21" s="399">
        <f t="shared" si="17"/>
        <v>44563</v>
      </c>
      <c r="U21" s="399">
        <f t="shared" si="17"/>
        <v>44594</v>
      </c>
      <c r="V21" s="399">
        <f t="shared" si="17"/>
        <v>44622</v>
      </c>
      <c r="W21" s="399">
        <f t="shared" si="17"/>
        <v>44653</v>
      </c>
      <c r="X21" s="399">
        <f t="shared" si="17"/>
        <v>44683</v>
      </c>
      <c r="Z21" s="409" t="s">
        <v>39</v>
      </c>
      <c r="AA21" s="410"/>
      <c r="AB21" s="486"/>
    </row>
    <row r="22" spans="1:36" s="520" customFormat="1">
      <c r="A22" s="514" t="s">
        <v>40</v>
      </c>
      <c r="B22" s="515" t="s">
        <v>41</v>
      </c>
      <c r="C22" s="516">
        <v>0</v>
      </c>
      <c r="D22" s="516">
        <v>0</v>
      </c>
      <c r="E22" s="517">
        <v>5040</v>
      </c>
      <c r="F22" s="517">
        <v>5760</v>
      </c>
      <c r="G22" s="517">
        <v>11160</v>
      </c>
      <c r="H22" s="517">
        <v>11664</v>
      </c>
      <c r="I22" s="517">
        <v>11160</v>
      </c>
      <c r="J22" s="517">
        <v>11160</v>
      </c>
      <c r="K22" s="517">
        <v>10800</v>
      </c>
      <c r="L22" s="517">
        <v>11160</v>
      </c>
      <c r="M22" s="517">
        <v>10800</v>
      </c>
      <c r="N22" s="517">
        <v>10800</v>
      </c>
      <c r="O22" s="517"/>
      <c r="P22" s="182">
        <f t="shared" si="10"/>
        <v>0</v>
      </c>
      <c r="Q22" s="182">
        <f t="shared" si="8"/>
        <v>0</v>
      </c>
      <c r="R22" s="182">
        <f t="shared" si="9"/>
        <v>0</v>
      </c>
      <c r="S22" s="517">
        <v>11160</v>
      </c>
      <c r="T22" s="517">
        <v>20000</v>
      </c>
      <c r="U22" s="517">
        <v>10080</v>
      </c>
      <c r="V22" s="517">
        <v>11160</v>
      </c>
      <c r="W22" s="517">
        <v>10800</v>
      </c>
      <c r="X22" s="517">
        <v>11160</v>
      </c>
      <c r="Y22" s="530" t="s">
        <v>83</v>
      </c>
      <c r="Z22" s="581" t="s">
        <v>43</v>
      </c>
      <c r="AA22" s="518"/>
      <c r="AB22" s="519"/>
    </row>
    <row r="23" spans="1:36">
      <c r="A23" s="477" t="str">
        <f>A22</f>
        <v>SCG Demand (Updated on 31/3/64)</v>
      </c>
      <c r="B23" s="478" t="s">
        <v>1</v>
      </c>
      <c r="C23" s="481">
        <v>0</v>
      </c>
      <c r="D23" s="482">
        <v>0</v>
      </c>
      <c r="E23" s="482">
        <f>E22/1000</f>
        <v>5.04</v>
      </c>
      <c r="F23" s="482">
        <f t="shared" ref="F23:W23" si="19">F22/1000</f>
        <v>5.76</v>
      </c>
      <c r="G23" s="482">
        <f>G22/1000</f>
        <v>11.16</v>
      </c>
      <c r="H23" s="482">
        <f t="shared" si="19"/>
        <v>11.664</v>
      </c>
      <c r="I23" s="482">
        <f t="shared" si="19"/>
        <v>11.16</v>
      </c>
      <c r="J23" s="482">
        <f t="shared" si="19"/>
        <v>11.16</v>
      </c>
      <c r="K23" s="482">
        <f t="shared" si="19"/>
        <v>10.8</v>
      </c>
      <c r="L23" s="482">
        <f t="shared" si="19"/>
        <v>11.16</v>
      </c>
      <c r="M23" s="482">
        <f t="shared" si="19"/>
        <v>10.8</v>
      </c>
      <c r="N23" s="482">
        <f t="shared" ref="N23" si="20">N22/1000</f>
        <v>10.8</v>
      </c>
      <c r="O23" s="482"/>
      <c r="P23" s="683">
        <f t="shared" si="10"/>
        <v>0</v>
      </c>
      <c r="Q23" s="182">
        <f t="shared" si="8"/>
        <v>0</v>
      </c>
      <c r="R23" s="182">
        <f t="shared" si="9"/>
        <v>0</v>
      </c>
      <c r="S23" s="482">
        <f t="shared" si="19"/>
        <v>11.16</v>
      </c>
      <c r="T23" s="482">
        <f t="shared" si="19"/>
        <v>20</v>
      </c>
      <c r="U23" s="482">
        <f t="shared" si="19"/>
        <v>10.08</v>
      </c>
      <c r="V23" s="482">
        <f t="shared" si="19"/>
        <v>11.16</v>
      </c>
      <c r="W23" s="482">
        <f t="shared" si="19"/>
        <v>10.8</v>
      </c>
      <c r="X23" s="482">
        <f>X22/1000</f>
        <v>11.16</v>
      </c>
      <c r="Y23" s="577" t="s">
        <v>5</v>
      </c>
      <c r="Z23" s="580" t="s">
        <v>34</v>
      </c>
      <c r="AA23" s="505" t="s">
        <v>45</v>
      </c>
      <c r="AB23" s="486"/>
      <c r="AJ23" s="486"/>
    </row>
    <row r="24" spans="1:36">
      <c r="A24" s="477" t="str">
        <f>A23</f>
        <v>SCG Demand (Updated on 31/3/64)</v>
      </c>
      <c r="B24" s="478" t="s">
        <v>18</v>
      </c>
      <c r="C24" s="479">
        <f t="shared" ref="C24:W24" si="21">C23/24/C5*1000</f>
        <v>0</v>
      </c>
      <c r="D24" s="480">
        <f t="shared" si="21"/>
        <v>0</v>
      </c>
      <c r="E24" s="480">
        <f>E23/24/E5*1000</f>
        <v>6.774193548387097</v>
      </c>
      <c r="F24" s="480">
        <f t="shared" si="21"/>
        <v>8</v>
      </c>
      <c r="G24" s="480">
        <f>G23/24/G5*1000</f>
        <v>15.000000000000002</v>
      </c>
      <c r="H24" s="497">
        <f>H23/24/H5*1000</f>
        <v>16.2</v>
      </c>
      <c r="I24" s="497">
        <f t="shared" si="21"/>
        <v>15.000000000000002</v>
      </c>
      <c r="J24" s="480">
        <f t="shared" si="21"/>
        <v>15.000000000000002</v>
      </c>
      <c r="K24" s="480">
        <f t="shared" si="21"/>
        <v>15.000000000000002</v>
      </c>
      <c r="L24" s="480">
        <f t="shared" si="21"/>
        <v>15.000000000000002</v>
      </c>
      <c r="M24" s="480">
        <f t="shared" si="21"/>
        <v>15.000000000000002</v>
      </c>
      <c r="N24" s="480">
        <f t="shared" ref="N24" si="22">N23/24/N5*1000</f>
        <v>15.000000000000002</v>
      </c>
      <c r="O24" s="480"/>
      <c r="P24" s="683">
        <f t="shared" si="10"/>
        <v>0</v>
      </c>
      <c r="Q24" s="182">
        <f t="shared" si="8"/>
        <v>0</v>
      </c>
      <c r="R24" s="182">
        <f t="shared" si="9"/>
        <v>0</v>
      </c>
      <c r="S24" s="480">
        <f t="shared" si="21"/>
        <v>15.000000000000002</v>
      </c>
      <c r="T24" s="480">
        <f t="shared" si="21"/>
        <v>26.881720430107528</v>
      </c>
      <c r="U24" s="480">
        <f t="shared" si="21"/>
        <v>15</v>
      </c>
      <c r="V24" s="480">
        <f t="shared" si="21"/>
        <v>15.000000000000002</v>
      </c>
      <c r="W24" s="480">
        <f t="shared" si="21"/>
        <v>15.000000000000002</v>
      </c>
      <c r="X24" s="480">
        <f>X23/24/X5*1000</f>
        <v>15.000000000000002</v>
      </c>
      <c r="Y24" s="577" t="s">
        <v>5</v>
      </c>
      <c r="Z24" s="581" t="s">
        <v>43</v>
      </c>
      <c r="AA24" s="505" t="s">
        <v>46</v>
      </c>
      <c r="AJ24" s="486"/>
    </row>
    <row r="25" spans="1:36">
      <c r="A25" s="477" t="str">
        <f>A23</f>
        <v>SCG Demand (Updated on 31/3/64)</v>
      </c>
      <c r="B25" s="478" t="s">
        <v>47</v>
      </c>
      <c r="C25" s="479"/>
      <c r="D25" s="480">
        <f>D24*24</f>
        <v>0</v>
      </c>
      <c r="E25" s="474">
        <f>E24*24</f>
        <v>162.58064516129033</v>
      </c>
      <c r="F25" s="474">
        <f t="shared" ref="F25:W25" si="23">F24*24</f>
        <v>192</v>
      </c>
      <c r="G25" s="474">
        <f t="shared" si="23"/>
        <v>360.00000000000006</v>
      </c>
      <c r="H25" s="474">
        <f t="shared" si="23"/>
        <v>388.79999999999995</v>
      </c>
      <c r="I25" s="474">
        <f t="shared" si="23"/>
        <v>360.00000000000006</v>
      </c>
      <c r="J25" s="474">
        <f t="shared" si="23"/>
        <v>360.00000000000006</v>
      </c>
      <c r="K25" s="474">
        <f t="shared" si="23"/>
        <v>360.00000000000006</v>
      </c>
      <c r="L25" s="474">
        <f t="shared" si="23"/>
        <v>360.00000000000006</v>
      </c>
      <c r="M25" s="474">
        <f t="shared" si="23"/>
        <v>360.00000000000006</v>
      </c>
      <c r="N25" s="474">
        <f t="shared" ref="N25" si="24">N24*24</f>
        <v>360.00000000000006</v>
      </c>
      <c r="O25" s="474"/>
      <c r="P25" s="683">
        <f t="shared" si="10"/>
        <v>0</v>
      </c>
      <c r="Q25" s="182">
        <f t="shared" si="8"/>
        <v>0</v>
      </c>
      <c r="R25" s="182">
        <f t="shared" si="9"/>
        <v>0</v>
      </c>
      <c r="S25" s="474">
        <f t="shared" si="23"/>
        <v>360.00000000000006</v>
      </c>
      <c r="T25" s="474">
        <f t="shared" si="23"/>
        <v>645.16129032258073</v>
      </c>
      <c r="U25" s="474">
        <f t="shared" si="23"/>
        <v>360</v>
      </c>
      <c r="V25" s="474">
        <f t="shared" si="23"/>
        <v>360.00000000000006</v>
      </c>
      <c r="W25" s="474">
        <f t="shared" si="23"/>
        <v>360.00000000000006</v>
      </c>
      <c r="X25" s="474">
        <f>X24*24</f>
        <v>360.00000000000006</v>
      </c>
      <c r="Y25" s="577" t="s">
        <v>5</v>
      </c>
      <c r="Z25" s="580" t="s">
        <v>34</v>
      </c>
      <c r="AA25" s="505" t="s">
        <v>48</v>
      </c>
      <c r="AJ25" s="513"/>
    </row>
    <row r="26" spans="1:36" s="512" customFormat="1">
      <c r="A26" s="422" t="s">
        <v>49</v>
      </c>
      <c r="B26" s="509" t="s">
        <v>41</v>
      </c>
      <c r="C26" s="510"/>
      <c r="D26" s="511">
        <f>D28*24*D5</f>
        <v>0</v>
      </c>
      <c r="E26" s="511">
        <f>E28*24*E5</f>
        <v>5040</v>
      </c>
      <c r="F26" s="511">
        <f t="shared" ref="F26:W26" si="25">F28*24*F5</f>
        <v>5760</v>
      </c>
      <c r="G26" s="511">
        <f>G28*24*G5</f>
        <v>11160.000000000002</v>
      </c>
      <c r="H26" s="511">
        <f>H28*24*H5</f>
        <v>11663.999999999998</v>
      </c>
      <c r="I26" s="511">
        <f>I28*24*I5</f>
        <v>8222.5090909090941</v>
      </c>
      <c r="J26" s="511">
        <f t="shared" si="25"/>
        <v>11078.836363636365</v>
      </c>
      <c r="K26" s="511">
        <f t="shared" si="25"/>
        <v>10015.854545454546</v>
      </c>
      <c r="L26" s="511">
        <f t="shared" si="25"/>
        <v>8700.9593171565793</v>
      </c>
      <c r="M26" s="511">
        <f t="shared" si="25"/>
        <v>10790.852970410582</v>
      </c>
      <c r="N26" s="511">
        <f>N28*24*N5</f>
        <v>10790.852970410582</v>
      </c>
      <c r="O26" s="684" t="s">
        <v>84</v>
      </c>
      <c r="P26" s="683">
        <f t="shared" si="10"/>
        <v>0</v>
      </c>
      <c r="Q26" s="682">
        <f t="shared" si="8"/>
        <v>0</v>
      </c>
      <c r="R26" s="681">
        <f t="shared" si="9"/>
        <v>0</v>
      </c>
      <c r="S26" s="511">
        <f t="shared" si="25"/>
        <v>10834.114758852707</v>
      </c>
      <c r="T26" s="511">
        <f t="shared" si="25"/>
        <v>19111.045431607927</v>
      </c>
      <c r="U26" s="511">
        <f t="shared" si="25"/>
        <v>9277.0732930652175</v>
      </c>
      <c r="V26" s="511">
        <f t="shared" si="25"/>
        <v>10271.045431607925</v>
      </c>
      <c r="W26" s="511">
        <f t="shared" si="25"/>
        <v>9687.8012080434291</v>
      </c>
      <c r="X26" s="511">
        <f>X28*24*X5</f>
        <v>10010.727914978212</v>
      </c>
      <c r="Y26" s="530" t="s">
        <v>85</v>
      </c>
      <c r="Z26" s="580" t="s">
        <v>34</v>
      </c>
      <c r="AA26" s="512" t="s">
        <v>51</v>
      </c>
    </row>
    <row r="27" spans="1:36">
      <c r="A27" s="407" t="s">
        <v>49</v>
      </c>
      <c r="B27" s="478" t="s">
        <v>1</v>
      </c>
      <c r="C27" s="510"/>
      <c r="D27" s="677">
        <f>D26/10^3</f>
        <v>0</v>
      </c>
      <c r="E27" s="677">
        <f t="shared" ref="E27:W27" si="26">E26/10^3</f>
        <v>5.04</v>
      </c>
      <c r="F27" s="677">
        <f t="shared" si="26"/>
        <v>5.76</v>
      </c>
      <c r="G27" s="677">
        <f t="shared" si="26"/>
        <v>11.160000000000002</v>
      </c>
      <c r="H27" s="677">
        <f t="shared" si="26"/>
        <v>11.663999999999998</v>
      </c>
      <c r="I27" s="677">
        <f t="shared" si="26"/>
        <v>8.2225090909090941</v>
      </c>
      <c r="J27" s="677">
        <f t="shared" si="26"/>
        <v>11.078836363636364</v>
      </c>
      <c r="K27" s="677">
        <f t="shared" si="26"/>
        <v>10.015854545454546</v>
      </c>
      <c r="L27" s="677">
        <f t="shared" si="26"/>
        <v>8.7009593171565793</v>
      </c>
      <c r="M27" s="677">
        <f t="shared" si="26"/>
        <v>10.790852970410581</v>
      </c>
      <c r="N27" s="677">
        <f t="shared" ref="N27" si="27">N26/10^3</f>
        <v>10.790852970410581</v>
      </c>
      <c r="O27" s="677"/>
      <c r="P27" s="683">
        <f t="shared" si="10"/>
        <v>0</v>
      </c>
      <c r="Q27" s="182">
        <f t="shared" si="8"/>
        <v>0</v>
      </c>
      <c r="R27" s="182">
        <f t="shared" si="9"/>
        <v>0</v>
      </c>
      <c r="S27" s="677">
        <f t="shared" si="26"/>
        <v>10.834114758852708</v>
      </c>
      <c r="T27" s="677">
        <f t="shared" si="26"/>
        <v>19.111045431607927</v>
      </c>
      <c r="U27" s="677">
        <f t="shared" si="26"/>
        <v>9.277073293065218</v>
      </c>
      <c r="V27" s="677">
        <f t="shared" si="26"/>
        <v>10.271045431607925</v>
      </c>
      <c r="W27" s="677">
        <f t="shared" si="26"/>
        <v>9.6878012080434299</v>
      </c>
      <c r="X27" s="677">
        <f>X26/10^3</f>
        <v>10.010727914978212</v>
      </c>
      <c r="Y27" s="577" t="s">
        <v>5</v>
      </c>
      <c r="Z27" s="581" t="s">
        <v>43</v>
      </c>
      <c r="AA27" s="505" t="s">
        <v>52</v>
      </c>
      <c r="AB27" s="486"/>
      <c r="AH27" s="530" t="s">
        <v>53</v>
      </c>
    </row>
    <row r="28" spans="1:36">
      <c r="A28" s="395" t="s">
        <v>49</v>
      </c>
      <c r="B28" s="2" t="s">
        <v>18</v>
      </c>
      <c r="C28" s="476"/>
      <c r="D28" s="615">
        <f>D24</f>
        <v>0</v>
      </c>
      <c r="E28" s="615">
        <f>E24</f>
        <v>6.774193548387097</v>
      </c>
      <c r="F28" s="615">
        <f>F24</f>
        <v>8</v>
      </c>
      <c r="G28" s="615">
        <f t="shared" ref="G28" si="28">G24</f>
        <v>15.000000000000002</v>
      </c>
      <c r="H28" s="615">
        <f>H24</f>
        <v>16.2</v>
      </c>
      <c r="I28" s="615">
        <f>I24+I19</f>
        <v>11.051759530791793</v>
      </c>
      <c r="J28" s="615">
        <f t="shared" ref="J28:W28" si="29">J24+J19</f>
        <v>14.890909090909092</v>
      </c>
      <c r="K28" s="615">
        <f t="shared" si="29"/>
        <v>13.910909090909092</v>
      </c>
      <c r="L28" s="615">
        <f>L24+L19</f>
        <v>11.694837791877122</v>
      </c>
      <c r="M28" s="615">
        <f t="shared" si="29"/>
        <v>14.987295792236921</v>
      </c>
      <c r="N28" s="615">
        <f t="shared" ref="N28" si="30">N24+N19</f>
        <v>14.987295792236921</v>
      </c>
      <c r="O28" s="615"/>
      <c r="P28" s="683">
        <f t="shared" si="10"/>
        <v>0</v>
      </c>
      <c r="Q28" s="182">
        <f t="shared" si="8"/>
        <v>0</v>
      </c>
      <c r="R28" s="182">
        <f t="shared" si="9"/>
        <v>0</v>
      </c>
      <c r="S28" s="615">
        <f t="shared" si="29"/>
        <v>14.561982202759014</v>
      </c>
      <c r="T28" s="615">
        <f t="shared" si="29"/>
        <v>25.686889020978391</v>
      </c>
      <c r="U28" s="615">
        <f t="shared" si="29"/>
        <v>13.80516859087086</v>
      </c>
      <c r="V28" s="615">
        <f t="shared" si="29"/>
        <v>13.805168590870865</v>
      </c>
      <c r="W28" s="615">
        <f t="shared" si="29"/>
        <v>13.455279455615873</v>
      </c>
      <c r="X28" s="615">
        <f>X24+X19</f>
        <v>13.455279455615875</v>
      </c>
      <c r="Y28" s="577" t="s">
        <v>5</v>
      </c>
      <c r="Z28" s="581" t="s">
        <v>43</v>
      </c>
      <c r="AA28" s="505" t="s">
        <v>54</v>
      </c>
      <c r="AB28" s="486"/>
    </row>
    <row r="29" spans="1:36">
      <c r="A29" s="395" t="s">
        <v>49</v>
      </c>
      <c r="B29" s="2" t="s">
        <v>47</v>
      </c>
      <c r="C29" s="492">
        <f>C28*24</f>
        <v>0</v>
      </c>
      <c r="D29" s="492">
        <f>D28*24</f>
        <v>0</v>
      </c>
      <c r="E29" s="492">
        <f t="shared" ref="E29:W29" si="31">E28*24</f>
        <v>162.58064516129033</v>
      </c>
      <c r="F29" s="492">
        <f t="shared" si="31"/>
        <v>192</v>
      </c>
      <c r="G29" s="492">
        <f t="shared" si="31"/>
        <v>360.00000000000006</v>
      </c>
      <c r="H29" s="492">
        <f t="shared" si="31"/>
        <v>388.79999999999995</v>
      </c>
      <c r="I29" s="492">
        <f t="shared" si="31"/>
        <v>265.24222873900305</v>
      </c>
      <c r="J29" s="492">
        <f t="shared" si="31"/>
        <v>357.38181818181823</v>
      </c>
      <c r="K29" s="492">
        <f t="shared" si="31"/>
        <v>333.86181818181819</v>
      </c>
      <c r="L29" s="492">
        <f t="shared" si="31"/>
        <v>280.67610700505094</v>
      </c>
      <c r="M29" s="492">
        <f t="shared" si="31"/>
        <v>359.6950990136861</v>
      </c>
      <c r="N29" s="492">
        <f t="shared" ref="N29" si="32">N28*24</f>
        <v>359.6950990136861</v>
      </c>
      <c r="O29" s="492"/>
      <c r="P29" s="683">
        <f t="shared" si="10"/>
        <v>0</v>
      </c>
      <c r="Q29" s="682">
        <f t="shared" si="8"/>
        <v>0</v>
      </c>
      <c r="R29" s="681">
        <f t="shared" si="9"/>
        <v>0</v>
      </c>
      <c r="S29" s="492">
        <f t="shared" si="31"/>
        <v>349.48757286621634</v>
      </c>
      <c r="T29" s="492">
        <f t="shared" si="31"/>
        <v>616.48533650348145</v>
      </c>
      <c r="U29" s="492">
        <f t="shared" si="31"/>
        <v>331.32404618090061</v>
      </c>
      <c r="V29" s="492">
        <f t="shared" si="31"/>
        <v>331.32404618090078</v>
      </c>
      <c r="W29" s="492">
        <f t="shared" si="31"/>
        <v>322.92670693478095</v>
      </c>
      <c r="X29" s="492">
        <f>X28*24</f>
        <v>322.92670693478101</v>
      </c>
      <c r="Y29" s="577" t="s">
        <v>5</v>
      </c>
      <c r="Z29" s="580" t="s">
        <v>34</v>
      </c>
      <c r="AA29" s="505" t="s">
        <v>55</v>
      </c>
      <c r="AB29" s="486"/>
    </row>
    <row r="30" spans="1:36">
      <c r="B30" s="2"/>
      <c r="C30" s="476"/>
      <c r="D30" s="615"/>
      <c r="E30" s="615"/>
      <c r="F30" s="615"/>
      <c r="G30" s="615"/>
      <c r="H30" s="615"/>
      <c r="I30" s="615"/>
      <c r="J30" s="615"/>
      <c r="K30" s="615"/>
      <c r="L30" s="615"/>
      <c r="M30" s="615"/>
      <c r="N30" s="615"/>
      <c r="O30" s="615"/>
      <c r="P30" s="182">
        <f t="shared" si="10"/>
        <v>0</v>
      </c>
      <c r="Q30" s="182">
        <f t="shared" si="8"/>
        <v>0</v>
      </c>
      <c r="R30" s="182">
        <f t="shared" si="9"/>
        <v>0</v>
      </c>
      <c r="S30" s="615"/>
      <c r="T30" s="615"/>
      <c r="U30" s="615"/>
      <c r="V30" s="615"/>
      <c r="W30" s="615"/>
      <c r="X30" s="615"/>
      <c r="Y30" s="577"/>
      <c r="AA30" s="410"/>
      <c r="AB30" s="486"/>
    </row>
    <row r="31" spans="1:36">
      <c r="A31" s="397" t="s">
        <v>56</v>
      </c>
      <c r="B31" s="397" t="s">
        <v>14</v>
      </c>
      <c r="C31" s="398">
        <f>C12</f>
        <v>0</v>
      </c>
      <c r="D31" s="398">
        <f>D6</f>
        <v>44229</v>
      </c>
      <c r="E31" s="398">
        <f t="shared" ref="E31:X31" si="33">E6</f>
        <v>44257</v>
      </c>
      <c r="F31" s="398">
        <f t="shared" si="33"/>
        <v>44288</v>
      </c>
      <c r="G31" s="398">
        <f t="shared" si="33"/>
        <v>44318</v>
      </c>
      <c r="H31" s="398">
        <f t="shared" si="33"/>
        <v>44349</v>
      </c>
      <c r="I31" s="399">
        <f t="shared" si="33"/>
        <v>44379</v>
      </c>
      <c r="J31" s="399">
        <f t="shared" si="33"/>
        <v>44410</v>
      </c>
      <c r="K31" s="399">
        <f t="shared" si="33"/>
        <v>44441</v>
      </c>
      <c r="L31" s="399">
        <f t="shared" si="33"/>
        <v>44471</v>
      </c>
      <c r="M31" s="399">
        <f t="shared" si="33"/>
        <v>44502</v>
      </c>
      <c r="N31" s="399">
        <f t="shared" ref="N31" si="34">N6</f>
        <v>44502</v>
      </c>
      <c r="O31" s="399"/>
      <c r="P31" s="182">
        <f t="shared" si="10"/>
        <v>0</v>
      </c>
      <c r="Q31" s="182">
        <f t="shared" si="8"/>
        <v>0</v>
      </c>
      <c r="R31" s="182">
        <f t="shared" si="9"/>
        <v>0</v>
      </c>
      <c r="S31" s="399">
        <f t="shared" si="33"/>
        <v>44532</v>
      </c>
      <c r="T31" s="399">
        <f t="shared" si="33"/>
        <v>44563</v>
      </c>
      <c r="U31" s="399">
        <f t="shared" si="33"/>
        <v>44594</v>
      </c>
      <c r="V31" s="399">
        <f t="shared" si="33"/>
        <v>44622</v>
      </c>
      <c r="W31" s="399">
        <f t="shared" si="33"/>
        <v>44653</v>
      </c>
      <c r="X31" s="399">
        <f t="shared" si="33"/>
        <v>44683</v>
      </c>
      <c r="AA31" s="410"/>
      <c r="AB31" s="486"/>
    </row>
    <row r="32" spans="1:36">
      <c r="A32" s="483" t="s">
        <v>57</v>
      </c>
      <c r="B32" s="475" t="s">
        <v>41</v>
      </c>
      <c r="C32" s="512"/>
      <c r="D32" s="678">
        <f>D37*24*D5</f>
        <v>43424.83738256478</v>
      </c>
      <c r="E32" s="678">
        <f>E37*24*E5</f>
        <v>44808</v>
      </c>
      <c r="F32" s="678">
        <f>F37*24*F5</f>
        <v>39694.103448275862</v>
      </c>
      <c r="G32" s="678">
        <f t="shared" ref="G32:W32" si="35">G37*24*G5</f>
        <v>37315.999999999993</v>
      </c>
      <c r="H32" s="678">
        <f t="shared" si="35"/>
        <v>35135.999999999993</v>
      </c>
      <c r="I32" s="678">
        <f t="shared" si="35"/>
        <v>40137.490909090906</v>
      </c>
      <c r="J32" s="678">
        <f>J37*24*J5</f>
        <v>37281.163636363635</v>
      </c>
      <c r="K32" s="678">
        <f t="shared" si="35"/>
        <v>36784.145454545447</v>
      </c>
      <c r="L32" s="678">
        <f t="shared" si="35"/>
        <v>37991.454475946877</v>
      </c>
      <c r="M32" s="678">
        <f t="shared" si="35"/>
        <v>34395.35392614115</v>
      </c>
      <c r="N32" s="678">
        <f t="shared" ref="N32" si="36">N37*24*N5</f>
        <v>34395.35392614115</v>
      </c>
      <c r="O32" s="678"/>
      <c r="P32" s="683">
        <f t="shared" si="10"/>
        <v>0</v>
      </c>
      <c r="Q32" s="682">
        <f t="shared" si="8"/>
        <v>0</v>
      </c>
      <c r="R32" s="681">
        <f t="shared" si="9"/>
        <v>0</v>
      </c>
      <c r="S32" s="678">
        <f t="shared" si="35"/>
        <v>36692.092137699023</v>
      </c>
      <c r="T32" s="678">
        <f t="shared" si="35"/>
        <v>28415.161464943805</v>
      </c>
      <c r="U32" s="678">
        <f t="shared" si="35"/>
        <v>33649.823258658929</v>
      </c>
      <c r="V32" s="678">
        <f t="shared" si="35"/>
        <v>37255.161464943812</v>
      </c>
      <c r="W32" s="678">
        <f t="shared" si="35"/>
        <v>36305.302240232428</v>
      </c>
      <c r="X32" s="678">
        <f>X37*24*X5</f>
        <v>37515.47898157352</v>
      </c>
      <c r="Y32" s="577" t="s">
        <v>86</v>
      </c>
      <c r="Z32" s="580" t="s">
        <v>34</v>
      </c>
      <c r="AA32" s="505" t="s">
        <v>58</v>
      </c>
      <c r="AB32" s="486"/>
    </row>
    <row r="33" spans="1:28">
      <c r="A33" s="483" t="s">
        <v>59</v>
      </c>
      <c r="B33" s="475" t="s">
        <v>41</v>
      </c>
      <c r="C33" s="493"/>
      <c r="D33" s="494">
        <f>D38*24*D5</f>
        <v>138815.95722171455</v>
      </c>
      <c r="E33" s="494">
        <f t="shared" ref="E33:W33" si="37">E38*24*E5</f>
        <v>154082.8021064302</v>
      </c>
      <c r="F33" s="494">
        <f t="shared" si="37"/>
        <v>138925.59090909088</v>
      </c>
      <c r="G33" s="494">
        <f t="shared" si="37"/>
        <v>155138.00000000006</v>
      </c>
      <c r="H33" s="494">
        <f t="shared" si="37"/>
        <v>149759.99999999994</v>
      </c>
      <c r="I33" s="494">
        <f t="shared" si="37"/>
        <v>102386.00000000003</v>
      </c>
      <c r="J33" s="494">
        <f t="shared" si="37"/>
        <v>154752</v>
      </c>
      <c r="K33" s="494">
        <f t="shared" si="37"/>
        <v>136824</v>
      </c>
      <c r="L33" s="494">
        <f t="shared" si="37"/>
        <v>112825.17368810048</v>
      </c>
      <c r="M33" s="494">
        <f t="shared" si="37"/>
        <v>152646.09756097564</v>
      </c>
      <c r="N33" s="494">
        <f t="shared" ref="N33" si="38">N38*24*N5</f>
        <v>152646.09756097564</v>
      </c>
      <c r="O33" s="494"/>
      <c r="P33" s="182">
        <f t="shared" si="10"/>
        <v>0</v>
      </c>
      <c r="Q33" s="182">
        <f t="shared" si="8"/>
        <v>0</v>
      </c>
      <c r="R33" s="182">
        <f t="shared" si="9"/>
        <v>0</v>
      </c>
      <c r="S33" s="494">
        <f t="shared" si="37"/>
        <v>153923.56910569107</v>
      </c>
      <c r="T33" s="494">
        <f t="shared" si="37"/>
        <v>140776.29268292684</v>
      </c>
      <c r="U33" s="494">
        <f t="shared" si="37"/>
        <v>127152.78048780485</v>
      </c>
      <c r="V33" s="494">
        <f t="shared" si="37"/>
        <v>140776.29268292684</v>
      </c>
      <c r="W33" s="494">
        <f t="shared" si="37"/>
        <v>131616.58536585365</v>
      </c>
      <c r="X33" s="494">
        <f>X38*24*X5</f>
        <v>136003.8048780488</v>
      </c>
      <c r="Y33" s="577" t="s">
        <v>86</v>
      </c>
      <c r="Z33" s="580" t="s">
        <v>34</v>
      </c>
      <c r="AA33" s="505" t="s">
        <v>60</v>
      </c>
      <c r="AB33" s="486"/>
    </row>
    <row r="34" spans="1:28">
      <c r="A34" s="483" t="s">
        <v>61</v>
      </c>
      <c r="B34" s="496" t="s">
        <v>41</v>
      </c>
      <c r="C34" s="493"/>
      <c r="D34" s="494"/>
      <c r="E34" s="495">
        <f>E32+E33</f>
        <v>198890.8021064302</v>
      </c>
      <c r="F34" s="495">
        <f t="shared" ref="F34:W34" si="39">F32+F33</f>
        <v>178619.69435736674</v>
      </c>
      <c r="G34" s="495">
        <f t="shared" si="39"/>
        <v>192454.00000000006</v>
      </c>
      <c r="H34" s="495">
        <f t="shared" si="39"/>
        <v>184895.99999999994</v>
      </c>
      <c r="I34" s="495">
        <f t="shared" si="39"/>
        <v>142523.49090909094</v>
      </c>
      <c r="J34" s="495">
        <f t="shared" si="39"/>
        <v>192033.16363636364</v>
      </c>
      <c r="K34" s="495">
        <f t="shared" si="39"/>
        <v>173608.14545454545</v>
      </c>
      <c r="L34" s="495">
        <f t="shared" si="39"/>
        <v>150816.62816404735</v>
      </c>
      <c r="M34" s="495">
        <f t="shared" si="39"/>
        <v>187041.45148711681</v>
      </c>
      <c r="N34" s="495">
        <f t="shared" ref="N34" si="40">N32+N33</f>
        <v>187041.45148711681</v>
      </c>
      <c r="O34" s="495"/>
      <c r="P34" s="683">
        <f t="shared" si="10"/>
        <v>0</v>
      </c>
      <c r="Q34" s="682">
        <f t="shared" si="8"/>
        <v>0</v>
      </c>
      <c r="R34" s="681">
        <f t="shared" si="9"/>
        <v>0</v>
      </c>
      <c r="S34" s="495">
        <f t="shared" si="39"/>
        <v>190615.66124339009</v>
      </c>
      <c r="T34" s="495">
        <f t="shared" si="39"/>
        <v>169191.45414787065</v>
      </c>
      <c r="U34" s="495">
        <f t="shared" si="39"/>
        <v>160802.60374646378</v>
      </c>
      <c r="V34" s="495">
        <f t="shared" si="39"/>
        <v>178031.45414787065</v>
      </c>
      <c r="W34" s="495">
        <f t="shared" si="39"/>
        <v>167921.88760608609</v>
      </c>
      <c r="X34" s="495">
        <f>X32+X33</f>
        <v>173519.28385962232</v>
      </c>
      <c r="Y34" s="577" t="s">
        <v>5</v>
      </c>
      <c r="Z34" s="580" t="s">
        <v>34</v>
      </c>
      <c r="AA34" s="505" t="s">
        <v>62</v>
      </c>
      <c r="AB34" s="486"/>
    </row>
    <row r="35" spans="1:28">
      <c r="A35" s="407" t="s">
        <v>57</v>
      </c>
      <c r="B35" s="478" t="s">
        <v>1</v>
      </c>
      <c r="C35" s="479"/>
      <c r="D35" s="679">
        <f t="shared" ref="D35:W36" si="41">D32/1000</f>
        <v>43.424837382564782</v>
      </c>
      <c r="E35" s="679">
        <f t="shared" si="41"/>
        <v>44.808</v>
      </c>
      <c r="F35" s="679">
        <f t="shared" si="41"/>
        <v>39.694103448275861</v>
      </c>
      <c r="G35" s="679">
        <f t="shared" si="41"/>
        <v>37.315999999999995</v>
      </c>
      <c r="H35" s="679">
        <f t="shared" si="41"/>
        <v>35.135999999999996</v>
      </c>
      <c r="I35" s="679">
        <f t="shared" si="41"/>
        <v>40.137490909090907</v>
      </c>
      <c r="J35" s="679">
        <f t="shared" si="41"/>
        <v>37.281163636363637</v>
      </c>
      <c r="K35" s="679">
        <f t="shared" si="41"/>
        <v>36.784145454545445</v>
      </c>
      <c r="L35" s="679">
        <f t="shared" si="41"/>
        <v>37.991454475946874</v>
      </c>
      <c r="M35" s="679">
        <f t="shared" si="41"/>
        <v>34.395353926141148</v>
      </c>
      <c r="N35" s="679">
        <f t="shared" ref="N35" si="42">N32/1000</f>
        <v>34.395353926141148</v>
      </c>
      <c r="O35" s="679"/>
      <c r="P35" s="683">
        <f t="shared" si="10"/>
        <v>0</v>
      </c>
      <c r="Q35" s="182">
        <f t="shared" si="8"/>
        <v>0</v>
      </c>
      <c r="R35" s="182">
        <f t="shared" si="9"/>
        <v>0</v>
      </c>
      <c r="S35" s="679">
        <f t="shared" si="41"/>
        <v>36.692092137699021</v>
      </c>
      <c r="T35" s="679">
        <f t="shared" si="41"/>
        <v>28.415161464943804</v>
      </c>
      <c r="U35" s="679">
        <f t="shared" si="41"/>
        <v>33.649823258658927</v>
      </c>
      <c r="V35" s="679">
        <f t="shared" si="41"/>
        <v>37.255161464943811</v>
      </c>
      <c r="W35" s="679">
        <f t="shared" si="41"/>
        <v>36.305302240232429</v>
      </c>
      <c r="X35" s="679">
        <f>X32/1000</f>
        <v>37.515478981573523</v>
      </c>
      <c r="Y35" s="577" t="s">
        <v>5</v>
      </c>
      <c r="Z35" s="581" t="s">
        <v>43</v>
      </c>
      <c r="AA35" s="505" t="s">
        <v>63</v>
      </c>
    </row>
    <row r="36" spans="1:28">
      <c r="A36" s="407" t="s">
        <v>59</v>
      </c>
      <c r="B36" s="478" t="s">
        <v>1</v>
      </c>
      <c r="D36" s="474">
        <f t="shared" si="41"/>
        <v>138.81595722171454</v>
      </c>
      <c r="E36" s="474">
        <f t="shared" si="41"/>
        <v>154.08280210643019</v>
      </c>
      <c r="F36" s="474">
        <f t="shared" si="41"/>
        <v>138.92559090909089</v>
      </c>
      <c r="G36" s="474">
        <f t="shared" si="41"/>
        <v>155.13800000000006</v>
      </c>
      <c r="H36" s="474">
        <f t="shared" si="41"/>
        <v>149.75999999999993</v>
      </c>
      <c r="I36" s="474">
        <f t="shared" si="41"/>
        <v>102.38600000000002</v>
      </c>
      <c r="J36" s="474">
        <f t="shared" si="41"/>
        <v>154.75200000000001</v>
      </c>
      <c r="K36" s="474">
        <f t="shared" si="41"/>
        <v>136.82400000000001</v>
      </c>
      <c r="L36" s="474">
        <f t="shared" si="41"/>
        <v>112.82517368810048</v>
      </c>
      <c r="M36" s="474">
        <f t="shared" si="41"/>
        <v>152.64609756097565</v>
      </c>
      <c r="N36" s="474">
        <f t="shared" ref="N36" si="43">N33/1000</f>
        <v>152.64609756097565</v>
      </c>
      <c r="O36" s="474"/>
      <c r="P36" s="182">
        <f t="shared" si="10"/>
        <v>0</v>
      </c>
      <c r="Q36" s="182">
        <f t="shared" si="8"/>
        <v>0</v>
      </c>
      <c r="R36" s="182">
        <f t="shared" si="9"/>
        <v>0</v>
      </c>
      <c r="S36" s="474">
        <f t="shared" si="41"/>
        <v>153.92356910569109</v>
      </c>
      <c r="T36" s="474">
        <f t="shared" si="41"/>
        <v>140.77629268292685</v>
      </c>
      <c r="U36" s="474">
        <f t="shared" si="41"/>
        <v>127.15278048780485</v>
      </c>
      <c r="V36" s="474">
        <f t="shared" si="41"/>
        <v>140.77629268292685</v>
      </c>
      <c r="W36" s="474">
        <f t="shared" si="41"/>
        <v>131.61658536585364</v>
      </c>
      <c r="X36" s="474">
        <f>X33/1000</f>
        <v>136.00380487804881</v>
      </c>
      <c r="Y36" s="577" t="s">
        <v>5</v>
      </c>
      <c r="Z36" s="581" t="s">
        <v>43</v>
      </c>
      <c r="AA36" s="505" t="s">
        <v>64</v>
      </c>
    </row>
    <row r="37" spans="1:28">
      <c r="A37" s="483" t="s">
        <v>57</v>
      </c>
      <c r="B37" s="475" t="s">
        <v>18</v>
      </c>
      <c r="C37" s="408"/>
      <c r="D37" s="473">
        <f t="shared" ref="D37:N37" si="44">D10-D28</f>
        <v>64.620293724054733</v>
      </c>
      <c r="E37" s="473">
        <f t="shared" si="44"/>
        <v>60.225806451612904</v>
      </c>
      <c r="F37" s="473">
        <f t="shared" si="44"/>
        <v>55.130699233716477</v>
      </c>
      <c r="G37" s="473">
        <f t="shared" si="44"/>
        <v>50.15591397849461</v>
      </c>
      <c r="H37" s="473">
        <f t="shared" si="44"/>
        <v>48.8</v>
      </c>
      <c r="I37" s="473">
        <f t="shared" si="44"/>
        <v>53.948240469208208</v>
      </c>
      <c r="J37" s="473">
        <f t="shared" si="44"/>
        <v>50.109090909090909</v>
      </c>
      <c r="K37" s="473">
        <f t="shared" si="44"/>
        <v>51.089090909090906</v>
      </c>
      <c r="L37" s="473">
        <f t="shared" si="44"/>
        <v>51.063782897778061</v>
      </c>
      <c r="M37" s="473">
        <f t="shared" si="44"/>
        <v>47.77132489741826</v>
      </c>
      <c r="N37" s="473">
        <f t="shared" si="44"/>
        <v>47.77132489741826</v>
      </c>
      <c r="O37" s="473"/>
      <c r="P37" s="683">
        <f t="shared" si="10"/>
        <v>0</v>
      </c>
      <c r="Q37" s="182">
        <f t="shared" si="8"/>
        <v>0</v>
      </c>
      <c r="R37" s="182">
        <f t="shared" si="9"/>
        <v>0</v>
      </c>
      <c r="S37" s="473">
        <f t="shared" ref="S37:X37" si="45">S10-S28</f>
        <v>49.317328142068583</v>
      </c>
      <c r="T37" s="473">
        <f t="shared" si="45"/>
        <v>38.192421323849203</v>
      </c>
      <c r="U37" s="473">
        <f t="shared" si="45"/>
        <v>50.074141753956738</v>
      </c>
      <c r="V37" s="473">
        <f t="shared" si="45"/>
        <v>50.074141753956731</v>
      </c>
      <c r="W37" s="473">
        <f t="shared" si="45"/>
        <v>50.424030889211707</v>
      </c>
      <c r="X37" s="473">
        <f t="shared" si="45"/>
        <v>50.424030889211721</v>
      </c>
      <c r="Y37" s="577" t="s">
        <v>5</v>
      </c>
      <c r="Z37" s="581" t="s">
        <v>43</v>
      </c>
      <c r="AA37" s="505" t="s">
        <v>65</v>
      </c>
    </row>
    <row r="38" spans="1:28">
      <c r="A38" s="483" t="s">
        <v>59</v>
      </c>
      <c r="B38" s="475" t="s">
        <v>18</v>
      </c>
      <c r="C38" s="408"/>
      <c r="D38" s="473">
        <f t="shared" ref="D38:N38" si="46">D8-D10</f>
        <v>206.57136491326568</v>
      </c>
      <c r="E38" s="473">
        <f t="shared" si="46"/>
        <v>207.10054046563198</v>
      </c>
      <c r="F38" s="473">
        <f t="shared" si="46"/>
        <v>192.95220959595957</v>
      </c>
      <c r="G38" s="473">
        <f t="shared" si="46"/>
        <v>208.51881720430111</v>
      </c>
      <c r="H38" s="473">
        <f t="shared" si="46"/>
        <v>207.99999999999994</v>
      </c>
      <c r="I38" s="473">
        <f t="shared" si="46"/>
        <v>137.6155913978495</v>
      </c>
      <c r="J38" s="473">
        <f t="shared" si="46"/>
        <v>208</v>
      </c>
      <c r="K38" s="473">
        <f t="shared" si="46"/>
        <v>190.03333333333333</v>
      </c>
      <c r="L38" s="473">
        <f t="shared" si="46"/>
        <v>151.64673882809203</v>
      </c>
      <c r="M38" s="473">
        <f t="shared" si="46"/>
        <v>212.00846883468836</v>
      </c>
      <c r="N38" s="473">
        <f t="shared" si="46"/>
        <v>212.00846883468836</v>
      </c>
      <c r="O38" s="473"/>
      <c r="P38" s="182">
        <f t="shared" si="10"/>
        <v>0</v>
      </c>
      <c r="Q38" s="182">
        <f t="shared" si="8"/>
        <v>0</v>
      </c>
      <c r="R38" s="182">
        <f t="shared" si="9"/>
        <v>0</v>
      </c>
      <c r="S38" s="473">
        <f t="shared" ref="S38:X38" si="47">S8-S10</f>
        <v>206.88651761517619</v>
      </c>
      <c r="T38" s="473">
        <f t="shared" si="47"/>
        <v>189.21544715447158</v>
      </c>
      <c r="U38" s="473">
        <f t="shared" si="47"/>
        <v>189.21544715447152</v>
      </c>
      <c r="V38" s="473">
        <f t="shared" si="47"/>
        <v>189.21544715447158</v>
      </c>
      <c r="W38" s="473">
        <f t="shared" si="47"/>
        <v>182.80081300813006</v>
      </c>
      <c r="X38" s="473">
        <f t="shared" si="47"/>
        <v>182.80081300813009</v>
      </c>
      <c r="Y38" s="577" t="s">
        <v>5</v>
      </c>
      <c r="Z38" s="581" t="s">
        <v>43</v>
      </c>
      <c r="AA38" s="505" t="s">
        <v>66</v>
      </c>
    </row>
    <row r="39" spans="1:28">
      <c r="A39" s="477" t="s">
        <v>27</v>
      </c>
      <c r="B39" s="478" t="s">
        <v>18</v>
      </c>
      <c r="C39" s="479"/>
      <c r="D39" s="474">
        <f>D37+D38</f>
        <v>271.19165863732042</v>
      </c>
      <c r="E39" s="474">
        <f t="shared" ref="E39:U39" si="48">E37+E38</f>
        <v>267.3263469172449</v>
      </c>
      <c r="F39" s="474">
        <f t="shared" si="48"/>
        <v>248.08290882967606</v>
      </c>
      <c r="G39" s="474">
        <f t="shared" si="48"/>
        <v>258.67473118279571</v>
      </c>
      <c r="H39" s="474">
        <f t="shared" si="48"/>
        <v>256.79999999999995</v>
      </c>
      <c r="I39" s="474">
        <f t="shared" si="48"/>
        <v>191.5638318670577</v>
      </c>
      <c r="J39" s="474">
        <f t="shared" si="48"/>
        <v>258.10909090909092</v>
      </c>
      <c r="K39" s="474">
        <f t="shared" si="48"/>
        <v>241.12242424242424</v>
      </c>
      <c r="L39" s="474">
        <f t="shared" si="48"/>
        <v>202.71052172587008</v>
      </c>
      <c r="M39" s="474">
        <f t="shared" si="48"/>
        <v>259.77979373210661</v>
      </c>
      <c r="N39" s="474">
        <f t="shared" ref="N39" si="49">N37+N38</f>
        <v>259.77979373210661</v>
      </c>
      <c r="O39" s="474"/>
      <c r="P39" s="683">
        <f t="shared" si="10"/>
        <v>0</v>
      </c>
      <c r="Q39" s="182">
        <f t="shared" si="8"/>
        <v>0</v>
      </c>
      <c r="R39" s="182">
        <f t="shared" si="9"/>
        <v>0</v>
      </c>
      <c r="S39" s="474">
        <f t="shared" si="48"/>
        <v>256.20384575724478</v>
      </c>
      <c r="T39" s="474">
        <f t="shared" si="48"/>
        <v>227.40786847832078</v>
      </c>
      <c r="U39" s="474">
        <f t="shared" si="48"/>
        <v>239.28958890842824</v>
      </c>
      <c r="V39" s="474">
        <f>V37+V38</f>
        <v>239.2895889084283</v>
      </c>
      <c r="W39" s="474">
        <f>W37+W38</f>
        <v>233.22484389734177</v>
      </c>
      <c r="X39" s="474">
        <f>X37+X38</f>
        <v>233.22484389734183</v>
      </c>
      <c r="Y39" s="577" t="s">
        <v>5</v>
      </c>
      <c r="Z39" s="581" t="s">
        <v>43</v>
      </c>
      <c r="AA39" s="505" t="s">
        <v>67</v>
      </c>
    </row>
    <row r="40" spans="1:28">
      <c r="A40" s="477"/>
      <c r="B40" s="478"/>
      <c r="C40" s="479"/>
      <c r="D40" s="474"/>
      <c r="E40" s="474"/>
      <c r="F40" s="474"/>
      <c r="G40" s="474"/>
      <c r="H40" s="474"/>
      <c r="I40" s="474"/>
      <c r="J40" s="474"/>
      <c r="K40" s="474"/>
      <c r="L40" s="474"/>
      <c r="M40" s="474"/>
      <c r="N40" s="474"/>
      <c r="O40" s="474"/>
      <c r="P40" s="182">
        <f t="shared" si="10"/>
        <v>0</v>
      </c>
      <c r="Q40" s="182">
        <f t="shared" si="8"/>
        <v>0</v>
      </c>
      <c r="R40" s="182">
        <f t="shared" si="9"/>
        <v>0</v>
      </c>
      <c r="S40" s="474"/>
      <c r="T40" s="474"/>
      <c r="U40" s="474"/>
      <c r="V40" s="474"/>
      <c r="W40" s="474"/>
      <c r="X40" s="474"/>
      <c r="AA40" s="532" t="s">
        <v>23</v>
      </c>
    </row>
    <row r="41" spans="1:28">
      <c r="A41" s="407" t="s">
        <v>68</v>
      </c>
      <c r="B41" s="478" t="s">
        <v>1</v>
      </c>
      <c r="C41" s="479"/>
      <c r="D41" s="480">
        <f t="shared" ref="D41:N41" si="50">D7-D35-D36-D27</f>
        <v>0</v>
      </c>
      <c r="E41" s="480">
        <f t="shared" si="50"/>
        <v>-7.9936057773011271E-15</v>
      </c>
      <c r="F41" s="480">
        <f t="shared" si="50"/>
        <v>1.9539925233402755E-14</v>
      </c>
      <c r="G41" s="480">
        <f t="shared" si="50"/>
        <v>-6.2172489379008766E-14</v>
      </c>
      <c r="H41" s="480">
        <f t="shared" si="50"/>
        <v>7.460698725481052E-14</v>
      </c>
      <c r="I41" s="480">
        <f t="shared" si="50"/>
        <v>0</v>
      </c>
      <c r="J41" s="480">
        <f t="shared" si="50"/>
        <v>1.9539925233402755E-14</v>
      </c>
      <c r="K41" s="480">
        <f t="shared" si="50"/>
        <v>2.6645352591003757E-14</v>
      </c>
      <c r="L41" s="480">
        <f t="shared" si="50"/>
        <v>-1.9539925233402755E-14</v>
      </c>
      <c r="M41" s="480">
        <f t="shared" si="50"/>
        <v>-2.6645352591003757E-14</v>
      </c>
      <c r="N41" s="480">
        <f t="shared" si="50"/>
        <v>-2.6645352591003757E-14</v>
      </c>
      <c r="O41" s="480"/>
      <c r="P41" s="182">
        <f t="shared" si="10"/>
        <v>0</v>
      </c>
      <c r="Q41" s="182">
        <f t="shared" si="8"/>
        <v>0</v>
      </c>
      <c r="R41" s="182">
        <f t="shared" si="9"/>
        <v>0</v>
      </c>
      <c r="S41" s="480">
        <f t="shared" ref="S41:X41" si="51">S7-S35-S36-S27</f>
        <v>-3.0198066269804258E-14</v>
      </c>
      <c r="T41" s="480">
        <f t="shared" si="51"/>
        <v>0</v>
      </c>
      <c r="U41" s="480">
        <f t="shared" si="51"/>
        <v>0</v>
      </c>
      <c r="V41" s="480">
        <f t="shared" si="51"/>
        <v>-3.730349362740526E-14</v>
      </c>
      <c r="W41" s="480">
        <f t="shared" si="51"/>
        <v>2.3092638912203256E-14</v>
      </c>
      <c r="X41" s="480">
        <f t="shared" si="51"/>
        <v>-2.1316282072803006E-14</v>
      </c>
      <c r="Y41" s="577" t="s">
        <v>5</v>
      </c>
      <c r="Z41" s="581" t="s">
        <v>43</v>
      </c>
      <c r="AA41" s="505" t="s">
        <v>69</v>
      </c>
    </row>
    <row r="42" spans="1:28">
      <c r="A42" s="407" t="s">
        <v>70</v>
      </c>
      <c r="B42" s="478" t="s">
        <v>1</v>
      </c>
      <c r="C42" s="479"/>
      <c r="D42" s="480"/>
      <c r="E42" s="474">
        <f t="shared" ref="E42:N42" si="52">E9-E27-E35</f>
        <v>0</v>
      </c>
      <c r="F42" s="474">
        <f t="shared" si="52"/>
        <v>0</v>
      </c>
      <c r="G42" s="474">
        <f t="shared" si="52"/>
        <v>0</v>
      </c>
      <c r="H42" s="474">
        <f t="shared" si="52"/>
        <v>0</v>
      </c>
      <c r="I42" s="474">
        <f t="shared" si="52"/>
        <v>0</v>
      </c>
      <c r="J42" s="474">
        <f t="shared" si="52"/>
        <v>0</v>
      </c>
      <c r="K42" s="474">
        <f t="shared" si="52"/>
        <v>0</v>
      </c>
      <c r="L42" s="474">
        <f t="shared" si="52"/>
        <v>0</v>
      </c>
      <c r="M42" s="474">
        <f t="shared" si="52"/>
        <v>0</v>
      </c>
      <c r="N42" s="474">
        <f t="shared" si="52"/>
        <v>0</v>
      </c>
      <c r="O42" s="474"/>
      <c r="P42" s="182">
        <f t="shared" si="10"/>
        <v>0</v>
      </c>
      <c r="Q42" s="182">
        <f t="shared" si="8"/>
        <v>0</v>
      </c>
      <c r="R42" s="182">
        <f t="shared" si="9"/>
        <v>0</v>
      </c>
      <c r="S42" s="474">
        <f t="shared" ref="S42:X42" si="53">S9-S27-S35</f>
        <v>0</v>
      </c>
      <c r="T42" s="474">
        <f t="shared" si="53"/>
        <v>0</v>
      </c>
      <c r="U42" s="474">
        <f t="shared" si="53"/>
        <v>0</v>
      </c>
      <c r="V42" s="474">
        <f t="shared" si="53"/>
        <v>0</v>
      </c>
      <c r="W42" s="474">
        <f t="shared" si="53"/>
        <v>0</v>
      </c>
      <c r="X42" s="474">
        <f t="shared" si="53"/>
        <v>0</v>
      </c>
      <c r="Y42" s="577" t="s">
        <v>5</v>
      </c>
      <c r="Z42" s="581" t="s">
        <v>43</v>
      </c>
      <c r="AA42" s="505" t="s">
        <v>71</v>
      </c>
    </row>
    <row r="43" spans="1:28">
      <c r="A43" s="477"/>
      <c r="B43" s="478"/>
      <c r="C43" s="479"/>
      <c r="D43" s="480"/>
      <c r="E43" s="474"/>
      <c r="F43" s="474"/>
      <c r="G43" s="474"/>
      <c r="H43" s="474"/>
      <c r="I43" s="474"/>
      <c r="J43" s="474"/>
      <c r="K43" s="474"/>
      <c r="L43" s="474"/>
      <c r="M43" s="474"/>
      <c r="N43" s="474"/>
      <c r="O43" s="474"/>
      <c r="P43" s="474"/>
      <c r="Q43" s="474"/>
      <c r="R43" s="182"/>
      <c r="S43" s="474"/>
      <c r="T43" s="474"/>
      <c r="U43" s="474"/>
      <c r="V43" s="474"/>
      <c r="W43" s="474"/>
      <c r="X43" s="474"/>
      <c r="AA43" s="410"/>
    </row>
    <row r="44" spans="1:28">
      <c r="A44" s="477"/>
      <c r="B44" s="478"/>
      <c r="C44" s="479"/>
      <c r="D44" s="480"/>
      <c r="E44" s="474"/>
      <c r="F44" s="474"/>
      <c r="G44" s="474"/>
      <c r="H44" s="474"/>
      <c r="I44" s="474"/>
      <c r="J44" s="474"/>
      <c r="K44" s="474"/>
      <c r="L44" s="474"/>
      <c r="M44" s="474"/>
      <c r="N44" s="474"/>
      <c r="O44" s="474"/>
      <c r="P44" s="474"/>
      <c r="Q44" s="474"/>
      <c r="R44" s="474"/>
      <c r="S44" s="474"/>
      <c r="T44" s="474"/>
      <c r="U44" s="474"/>
      <c r="V44" s="474"/>
      <c r="W44" s="474"/>
      <c r="X44" s="474"/>
      <c r="AA44" s="410"/>
    </row>
    <row r="48" spans="1:28">
      <c r="Y48" t="s">
        <v>76</v>
      </c>
    </row>
    <row r="49" spans="24:25">
      <c r="Y49" t="s">
        <v>78</v>
      </c>
    </row>
    <row r="50" spans="24:25">
      <c r="X50" t="s">
        <v>81</v>
      </c>
      <c r="Y50" t="s">
        <v>87</v>
      </c>
    </row>
    <row r="51" spans="24:25">
      <c r="Y51" s="512" t="s">
        <v>88</v>
      </c>
    </row>
    <row r="52" spans="24:25" ht="83.25" customHeight="1">
      <c r="X52" t="s">
        <v>89</v>
      </c>
      <c r="Y52" s="680" t="s">
        <v>90</v>
      </c>
    </row>
  </sheetData>
  <pageMargins left="0.7" right="0.7" top="0.75" bottom="0.75" header="0.3" footer="0.3"/>
  <pageSetup paperSize="9" orientation="portrait"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AE52"/>
  <sheetViews>
    <sheetView zoomScale="130" zoomScaleNormal="130" workbookViewId="0">
      <pane xSplit="2" ySplit="6" topLeftCell="H11" activePane="bottomRight" state="frozen"/>
      <selection pane="bottomRight" activeCell="H23" sqref="H23"/>
      <selection pane="bottomLeft" activeCell="A7" sqref="A7"/>
      <selection pane="topRight" activeCell="C1" sqref="C1"/>
    </sheetView>
  </sheetViews>
  <sheetFormatPr defaultColWidth="8.875" defaultRowHeight="14.25"/>
  <cols>
    <col min="1" max="1" width="36.875" style="395" bestFit="1" customWidth="1"/>
    <col min="2" max="2" width="8.875" customWidth="1"/>
    <col min="3" max="3" width="10.375" hidden="1" customWidth="1"/>
    <col min="4" max="7" width="10.5" hidden="1" customWidth="1"/>
    <col min="8" max="8" width="10.5" customWidth="1"/>
    <col min="9" max="9" width="14.125" customWidth="1"/>
    <col min="10" max="19" width="10.5" bestFit="1" customWidth="1"/>
    <col min="20" max="20" width="49.375" customWidth="1"/>
    <col min="21" max="21" width="44.125" bestFit="1" customWidth="1"/>
    <col min="22" max="22" width="10.5" bestFit="1" customWidth="1"/>
    <col min="23" max="23" width="15.875" bestFit="1" customWidth="1"/>
  </cols>
  <sheetData>
    <row r="1" spans="1:29">
      <c r="A1" s="395" t="s">
        <v>0</v>
      </c>
      <c r="B1" s="2" t="s">
        <v>1</v>
      </c>
      <c r="C1" s="257">
        <v>200.00475408799599</v>
      </c>
      <c r="D1" s="257">
        <v>180.7371222570533</v>
      </c>
      <c r="E1" s="257">
        <v>202.46136608303385</v>
      </c>
      <c r="F1" s="257">
        <v>187.53</v>
      </c>
      <c r="G1" s="257">
        <v>203.11200000000002</v>
      </c>
      <c r="H1" s="257">
        <v>196.56</v>
      </c>
      <c r="I1" s="257">
        <v>150.69829090909093</v>
      </c>
      <c r="J1" s="257">
        <v>203.11200000000002</v>
      </c>
      <c r="K1" s="257">
        <v>184.72800000000001</v>
      </c>
      <c r="L1" s="257">
        <v>159.51758748120392</v>
      </c>
      <c r="M1" s="257">
        <v>197.83230445752736</v>
      </c>
      <c r="N1" s="257">
        <v>201.4497760022428</v>
      </c>
      <c r="O1" s="257">
        <v>204.88926380712081</v>
      </c>
      <c r="P1" s="257">
        <v>185.06127053546396</v>
      </c>
      <c r="Q1" s="257">
        <v>203.24626380712081</v>
      </c>
      <c r="R1" s="257">
        <v>196.68993271656853</v>
      </c>
      <c r="S1" s="257">
        <v>196.68993271656853</v>
      </c>
      <c r="T1" s="409" t="s">
        <v>2</v>
      </c>
      <c r="U1" s="579" t="s">
        <v>3</v>
      </c>
    </row>
    <row r="2" spans="1:29" ht="15">
      <c r="A2" s="395" t="s">
        <v>4</v>
      </c>
      <c r="B2" s="2" t="s">
        <v>1</v>
      </c>
      <c r="C2" s="182">
        <f t="shared" ref="C2:S2" si="0">C7-C1</f>
        <v>-0.99693893053157012</v>
      </c>
      <c r="D2" s="182">
        <f t="shared" si="0"/>
        <v>1.5036723472260292</v>
      </c>
      <c r="E2" s="182">
        <f t="shared" si="0"/>
        <v>1.4694360233963266</v>
      </c>
      <c r="F2" s="182">
        <f t="shared" si="0"/>
        <v>-3.1503056426332421</v>
      </c>
      <c r="G2" s="182">
        <f t="shared" si="0"/>
        <v>0.50199999999998113</v>
      </c>
      <c r="H2" s="182">
        <f t="shared" si="0"/>
        <v>0</v>
      </c>
      <c r="I2" s="182">
        <f t="shared" si="0"/>
        <v>4.7709090909080487E-2</v>
      </c>
      <c r="J2" s="182">
        <f t="shared" si="0"/>
        <v>0</v>
      </c>
      <c r="K2" s="182">
        <f t="shared" si="0"/>
        <v>-1.103999999999985</v>
      </c>
      <c r="L2" s="182">
        <f t="shared" si="0"/>
        <v>0</v>
      </c>
      <c r="M2" s="182">
        <f t="shared" si="0"/>
        <v>0</v>
      </c>
      <c r="N2" s="182">
        <f t="shared" si="0"/>
        <v>0</v>
      </c>
      <c r="O2" s="182">
        <f t="shared" si="0"/>
        <v>-16.586764227642249</v>
      </c>
      <c r="P2" s="182">
        <f t="shared" si="0"/>
        <v>-14.981593495934959</v>
      </c>
      <c r="Q2" s="182">
        <f t="shared" si="0"/>
        <v>-14.943764227642248</v>
      </c>
      <c r="R2" s="182">
        <f t="shared" si="0"/>
        <v>-19.080243902439008</v>
      </c>
      <c r="S2" s="182">
        <f t="shared" si="0"/>
        <v>-13.159920941968011</v>
      </c>
      <c r="T2" s="577" t="s">
        <v>5</v>
      </c>
      <c r="U2" s="579" t="s">
        <v>3</v>
      </c>
      <c r="V2" s="527" t="s">
        <v>6</v>
      </c>
      <c r="AC2" s="531" t="s">
        <v>7</v>
      </c>
    </row>
    <row r="3" spans="1:29">
      <c r="A3" s="395" t="s">
        <v>8</v>
      </c>
      <c r="B3" s="2" t="s">
        <v>1</v>
      </c>
      <c r="C3" s="257">
        <v>46.417000000000002</v>
      </c>
      <c r="D3" s="257">
        <v>44.466758620689653</v>
      </c>
      <c r="E3" s="257">
        <v>48.368068965517239</v>
      </c>
      <c r="F3" s="257">
        <v>45.692999999999998</v>
      </c>
      <c r="G3" s="257">
        <v>48.36</v>
      </c>
      <c r="H3" s="257">
        <v>46.8</v>
      </c>
      <c r="I3" s="257">
        <v>48.36</v>
      </c>
      <c r="J3" s="257">
        <v>48.36</v>
      </c>
      <c r="K3" s="257">
        <v>46.8</v>
      </c>
      <c r="L3" s="257">
        <v>46.692413793103455</v>
      </c>
      <c r="M3" s="257">
        <v>45.186206896551731</v>
      </c>
      <c r="N3" s="257">
        <v>47.526206896551727</v>
      </c>
      <c r="O3" s="257">
        <v>47.526206896551727</v>
      </c>
      <c r="P3" s="257">
        <v>42.926896551724141</v>
      </c>
      <c r="Q3" s="257">
        <v>47.526206896551727</v>
      </c>
      <c r="R3" s="257">
        <v>45.993103448275861</v>
      </c>
      <c r="S3" s="257">
        <v>45.993103448275861</v>
      </c>
      <c r="T3" s="409" t="s">
        <v>9</v>
      </c>
      <c r="U3" s="579" t="s">
        <v>3</v>
      </c>
    </row>
    <row r="4" spans="1:29">
      <c r="A4" s="395" t="s">
        <v>4</v>
      </c>
      <c r="B4" s="2" t="s">
        <v>1</v>
      </c>
      <c r="C4" s="182">
        <f t="shared" ref="C4:S4" si="1">C9-C3</f>
        <v>-0.28151834684843635</v>
      </c>
      <c r="D4" s="182">
        <f t="shared" si="1"/>
        <v>-1.0419212381248784</v>
      </c>
      <c r="E4" s="182">
        <f t="shared" si="1"/>
        <v>1.4799310344827603</v>
      </c>
      <c r="F4" s="182">
        <f t="shared" si="1"/>
        <v>-0.23889655172413882</v>
      </c>
      <c r="G4" s="182">
        <f t="shared" si="1"/>
        <v>0.11599999999999966</v>
      </c>
      <c r="H4" s="182">
        <f t="shared" si="1"/>
        <v>0</v>
      </c>
      <c r="I4" s="182">
        <f t="shared" si="1"/>
        <v>0</v>
      </c>
      <c r="J4" s="182">
        <f t="shared" si="1"/>
        <v>0</v>
      </c>
      <c r="K4" s="182">
        <f t="shared" si="1"/>
        <v>0</v>
      </c>
      <c r="L4" s="182">
        <f t="shared" si="1"/>
        <v>0</v>
      </c>
      <c r="M4" s="182">
        <f t="shared" si="1"/>
        <v>0</v>
      </c>
      <c r="N4" s="182">
        <f t="shared" si="1"/>
        <v>0</v>
      </c>
      <c r="O4" s="182">
        <f t="shared" si="1"/>
        <v>0</v>
      </c>
      <c r="P4" s="182">
        <f t="shared" si="1"/>
        <v>0</v>
      </c>
      <c r="Q4" s="182">
        <f t="shared" si="1"/>
        <v>0</v>
      </c>
      <c r="R4" s="182">
        <f t="shared" si="1"/>
        <v>0</v>
      </c>
      <c r="S4" s="182">
        <f t="shared" si="1"/>
        <v>1.5331034482758668</v>
      </c>
      <c r="T4" s="577" t="s">
        <v>5</v>
      </c>
      <c r="U4" s="579" t="s">
        <v>3</v>
      </c>
      <c r="V4" s="512" t="s">
        <v>10</v>
      </c>
    </row>
    <row r="5" spans="1:29">
      <c r="A5" s="578" t="s">
        <v>11</v>
      </c>
      <c r="C5" s="396">
        <v>31</v>
      </c>
      <c r="D5" s="450">
        <v>28</v>
      </c>
      <c r="E5" s="450">
        <v>31</v>
      </c>
      <c r="F5" s="450">
        <v>30</v>
      </c>
      <c r="G5" s="450">
        <v>31</v>
      </c>
      <c r="H5" s="450">
        <v>30</v>
      </c>
      <c r="I5" s="450">
        <v>31</v>
      </c>
      <c r="J5" s="450">
        <v>31</v>
      </c>
      <c r="K5" s="450">
        <v>30</v>
      </c>
      <c r="L5" s="450">
        <v>31</v>
      </c>
      <c r="M5" s="450">
        <v>30</v>
      </c>
      <c r="N5" s="450">
        <v>31</v>
      </c>
      <c r="O5" s="450">
        <v>31</v>
      </c>
      <c r="P5" s="450">
        <v>28</v>
      </c>
      <c r="Q5" s="450">
        <v>31</v>
      </c>
      <c r="R5" s="450">
        <v>30</v>
      </c>
      <c r="S5" s="450">
        <v>31</v>
      </c>
      <c r="T5" s="577" t="s">
        <v>5</v>
      </c>
      <c r="U5" s="580" t="s">
        <v>12</v>
      </c>
      <c r="V5" s="528" t="s">
        <v>11</v>
      </c>
      <c r="W5" s="396"/>
    </row>
    <row r="6" spans="1:29">
      <c r="A6" s="397" t="s">
        <v>13</v>
      </c>
      <c r="B6" s="397" t="s">
        <v>14</v>
      </c>
      <c r="C6" s="398">
        <v>44198</v>
      </c>
      <c r="D6" s="398">
        <v>44229</v>
      </c>
      <c r="E6" s="398">
        <v>44257</v>
      </c>
      <c r="F6" s="398">
        <v>44288</v>
      </c>
      <c r="G6" s="398">
        <v>44318</v>
      </c>
      <c r="H6" s="398">
        <v>44349</v>
      </c>
      <c r="I6" s="399">
        <v>44379</v>
      </c>
      <c r="J6" s="399">
        <v>44410</v>
      </c>
      <c r="K6" s="399">
        <v>44441</v>
      </c>
      <c r="L6" s="399">
        <v>44471</v>
      </c>
      <c r="M6" s="399">
        <v>44502</v>
      </c>
      <c r="N6" s="399">
        <v>44532</v>
      </c>
      <c r="O6" s="399">
        <v>44563</v>
      </c>
      <c r="P6" s="399">
        <v>44594</v>
      </c>
      <c r="Q6" s="399">
        <v>44622</v>
      </c>
      <c r="R6" s="399">
        <v>44653</v>
      </c>
      <c r="S6" s="399">
        <v>44683</v>
      </c>
      <c r="V6" s="406"/>
      <c r="W6" s="406"/>
    </row>
    <row r="7" spans="1:29">
      <c r="A7" s="400" t="s">
        <v>15</v>
      </c>
      <c r="B7" s="2" t="s">
        <v>1</v>
      </c>
      <c r="C7" s="405">
        <v>199.00781515746442</v>
      </c>
      <c r="D7" s="401">
        <v>182.24079460427933</v>
      </c>
      <c r="E7" s="401">
        <v>203.93080210643018</v>
      </c>
      <c r="F7" s="401">
        <v>184.37969435736676</v>
      </c>
      <c r="G7" s="401">
        <v>203.614</v>
      </c>
      <c r="H7" s="401">
        <v>196.56</v>
      </c>
      <c r="I7" s="401">
        <v>150.74600000000001</v>
      </c>
      <c r="J7" s="401">
        <v>203.11200000000002</v>
      </c>
      <c r="K7" s="401">
        <v>183.62400000000002</v>
      </c>
      <c r="L7" s="401">
        <v>159.51758748120392</v>
      </c>
      <c r="M7" s="401">
        <v>197.83230445752736</v>
      </c>
      <c r="N7" s="401">
        <v>201.4497760022428</v>
      </c>
      <c r="O7" s="401">
        <v>188.30249957947856</v>
      </c>
      <c r="P7" s="401">
        <v>170.079677039529</v>
      </c>
      <c r="Q7" s="401">
        <v>188.30249957947856</v>
      </c>
      <c r="R7" s="401">
        <v>177.60968881412953</v>
      </c>
      <c r="S7" s="401">
        <v>183.53001177460052</v>
      </c>
      <c r="T7" t="s">
        <v>16</v>
      </c>
      <c r="U7" s="579" t="s">
        <v>3</v>
      </c>
      <c r="V7" s="526" t="s">
        <v>17</v>
      </c>
      <c r="W7" s="485"/>
    </row>
    <row r="8" spans="1:29">
      <c r="A8" s="395" t="str">
        <f>A7</f>
        <v>Total C2 (Ability 6rev0_7May'21) (ฉบับแก้ไข)</v>
      </c>
      <c r="B8" s="2" t="s">
        <v>18</v>
      </c>
      <c r="C8" s="402">
        <f t="shared" ref="C8:S8" si="2">C7/24/C5*1000</f>
        <v>267.48362252347368</v>
      </c>
      <c r="D8" s="402">
        <f t="shared" si="2"/>
        <v>271.19165863732042</v>
      </c>
      <c r="E8" s="402">
        <f t="shared" si="2"/>
        <v>274.10054046563198</v>
      </c>
      <c r="F8" s="402">
        <f t="shared" si="2"/>
        <v>256.08290882967606</v>
      </c>
      <c r="G8" s="402">
        <f t="shared" si="2"/>
        <v>273.67473118279571</v>
      </c>
      <c r="H8" s="402">
        <f t="shared" si="2"/>
        <v>272.99999999999994</v>
      </c>
      <c r="I8" s="402">
        <f t="shared" si="2"/>
        <v>202.6155913978495</v>
      </c>
      <c r="J8" s="402">
        <f t="shared" si="2"/>
        <v>273</v>
      </c>
      <c r="K8" s="402">
        <f t="shared" si="2"/>
        <v>255.03333333333333</v>
      </c>
      <c r="L8" s="402">
        <f t="shared" si="2"/>
        <v>214.4053595177472</v>
      </c>
      <c r="M8" s="402">
        <f t="shared" si="2"/>
        <v>274.76708952434353</v>
      </c>
      <c r="N8" s="402">
        <f t="shared" si="2"/>
        <v>270.76582796000378</v>
      </c>
      <c r="O8" s="402">
        <f t="shared" si="2"/>
        <v>253.09475749929916</v>
      </c>
      <c r="P8" s="402">
        <f t="shared" si="2"/>
        <v>253.09475749929911</v>
      </c>
      <c r="Q8" s="402">
        <f t="shared" si="2"/>
        <v>253.09475749929916</v>
      </c>
      <c r="R8" s="402">
        <f t="shared" si="2"/>
        <v>246.68012335295765</v>
      </c>
      <c r="S8" s="402">
        <f t="shared" si="2"/>
        <v>246.68012335295768</v>
      </c>
      <c r="T8" s="577" t="s">
        <v>5</v>
      </c>
      <c r="U8" s="579" t="s">
        <v>3</v>
      </c>
      <c r="V8" s="505" t="s">
        <v>19</v>
      </c>
      <c r="W8" s="486"/>
    </row>
    <row r="9" spans="1:29">
      <c r="A9" s="422" t="s">
        <v>8</v>
      </c>
      <c r="B9" s="2" t="s">
        <v>1</v>
      </c>
      <c r="C9" s="405">
        <v>46.135481653151565</v>
      </c>
      <c r="D9" s="405">
        <v>43.424837382564775</v>
      </c>
      <c r="E9" s="405">
        <v>49.847999999999999</v>
      </c>
      <c r="F9" s="405">
        <v>45.454103448275859</v>
      </c>
      <c r="G9" s="405">
        <v>48.475999999999999</v>
      </c>
      <c r="H9" s="405">
        <v>46.8</v>
      </c>
      <c r="I9" s="405">
        <v>48.36</v>
      </c>
      <c r="J9" s="405">
        <v>48.36</v>
      </c>
      <c r="K9" s="405">
        <v>46.8</v>
      </c>
      <c r="L9" s="405">
        <v>46.692413793103455</v>
      </c>
      <c r="M9" s="405">
        <v>45.186206896551731</v>
      </c>
      <c r="N9" s="405">
        <v>47.526206896551727</v>
      </c>
      <c r="O9" s="405">
        <v>47.526206896551727</v>
      </c>
      <c r="P9" s="405">
        <v>42.926896551724141</v>
      </c>
      <c r="Q9" s="405">
        <v>47.526206896551727</v>
      </c>
      <c r="R9" s="405">
        <v>45.993103448275861</v>
      </c>
      <c r="S9" s="405">
        <v>47.526206896551727</v>
      </c>
      <c r="T9" t="s">
        <v>20</v>
      </c>
      <c r="U9" s="579" t="s">
        <v>3</v>
      </c>
      <c r="V9" s="526" t="s">
        <v>21</v>
      </c>
      <c r="W9" s="485"/>
    </row>
    <row r="10" spans="1:29">
      <c r="A10" s="395" t="s">
        <v>8</v>
      </c>
      <c r="B10" s="2" t="s">
        <v>18</v>
      </c>
      <c r="C10" s="403">
        <f t="shared" ref="C10:S10" si="3">C9/24/C5*1000</f>
        <v>62.010055985418774</v>
      </c>
      <c r="D10" s="403">
        <f t="shared" si="3"/>
        <v>64.620293724054733</v>
      </c>
      <c r="E10" s="403">
        <f t="shared" si="3"/>
        <v>67</v>
      </c>
      <c r="F10" s="403">
        <f t="shared" si="3"/>
        <v>63.130699233716477</v>
      </c>
      <c r="G10" s="403">
        <f t="shared" si="3"/>
        <v>65.15591397849461</v>
      </c>
      <c r="H10" s="403">
        <f>H9/24/H5*1000</f>
        <v>65</v>
      </c>
      <c r="I10" s="403">
        <f t="shared" si="3"/>
        <v>65</v>
      </c>
      <c r="J10" s="403">
        <f t="shared" si="3"/>
        <v>65</v>
      </c>
      <c r="K10" s="403">
        <f t="shared" si="3"/>
        <v>65</v>
      </c>
      <c r="L10" s="403">
        <f t="shared" si="3"/>
        <v>62.758620689655181</v>
      </c>
      <c r="M10" s="403">
        <f t="shared" si="3"/>
        <v>62.758620689655181</v>
      </c>
      <c r="N10" s="403">
        <f t="shared" si="3"/>
        <v>63.879310344827594</v>
      </c>
      <c r="O10" s="403">
        <f t="shared" si="3"/>
        <v>63.879310344827594</v>
      </c>
      <c r="P10" s="403">
        <f t="shared" si="3"/>
        <v>63.879310344827594</v>
      </c>
      <c r="Q10" s="403">
        <f t="shared" si="3"/>
        <v>63.879310344827594</v>
      </c>
      <c r="R10" s="403">
        <f t="shared" si="3"/>
        <v>63.87931034482758</v>
      </c>
      <c r="S10" s="403">
        <f t="shared" si="3"/>
        <v>63.879310344827594</v>
      </c>
      <c r="T10" s="577" t="s">
        <v>5</v>
      </c>
      <c r="U10" s="579" t="s">
        <v>3</v>
      </c>
      <c r="V10" s="529" t="s">
        <v>22</v>
      </c>
      <c r="W10" s="486"/>
    </row>
    <row r="11" spans="1:29">
      <c r="B11" s="2"/>
      <c r="C11" s="403"/>
      <c r="D11" s="403"/>
      <c r="E11" s="403"/>
      <c r="F11" s="403"/>
      <c r="G11" s="403"/>
      <c r="H11" s="403"/>
      <c r="I11" s="403"/>
      <c r="J11" s="403"/>
      <c r="K11" s="403"/>
      <c r="L11" s="403"/>
      <c r="M11" s="403"/>
      <c r="N11" s="403"/>
      <c r="O11" s="403"/>
      <c r="P11" s="403"/>
      <c r="Q11" s="403"/>
      <c r="R11" s="403"/>
      <c r="S11" s="403"/>
      <c r="V11" s="532" t="s">
        <v>23</v>
      </c>
      <c r="W11" s="486"/>
      <c r="Z11" t="s">
        <v>24</v>
      </c>
    </row>
    <row r="12" spans="1:29">
      <c r="A12" s="395" t="s">
        <v>25</v>
      </c>
      <c r="B12" s="2"/>
      <c r="C12" s="403"/>
      <c r="D12" s="403"/>
      <c r="E12" s="403"/>
      <c r="F12" s="403"/>
      <c r="G12" s="403"/>
      <c r="H12" s="403"/>
      <c r="I12" s="403"/>
      <c r="J12" s="403"/>
      <c r="K12" s="403"/>
      <c r="L12" s="403"/>
      <c r="M12" s="403"/>
      <c r="N12" s="403"/>
      <c r="O12" s="403"/>
      <c r="P12" s="403"/>
      <c r="Q12" s="403"/>
      <c r="R12" s="403"/>
      <c r="S12" s="403"/>
      <c r="V12" s="532" t="s">
        <v>26</v>
      </c>
      <c r="W12" s="486"/>
    </row>
    <row r="13" spans="1:29">
      <c r="A13" s="395" t="s">
        <v>27</v>
      </c>
      <c r="B13" s="2" t="s">
        <v>18</v>
      </c>
      <c r="C13" s="403"/>
      <c r="D13" s="182">
        <v>260</v>
      </c>
      <c r="E13" s="182">
        <v>260</v>
      </c>
      <c r="F13" s="182">
        <v>260</v>
      </c>
      <c r="G13" s="182">
        <v>260</v>
      </c>
      <c r="H13" s="182">
        <v>260</v>
      </c>
      <c r="I13" s="182">
        <v>260</v>
      </c>
      <c r="J13" s="182">
        <v>260</v>
      </c>
      <c r="K13" s="182">
        <v>260</v>
      </c>
      <c r="L13" s="182">
        <v>260</v>
      </c>
      <c r="M13" s="182">
        <v>260</v>
      </c>
      <c r="N13" s="182">
        <v>260</v>
      </c>
      <c r="O13" s="182">
        <v>260</v>
      </c>
      <c r="P13" s="182">
        <v>260</v>
      </c>
      <c r="Q13" s="182">
        <v>260</v>
      </c>
      <c r="R13" s="182">
        <v>260</v>
      </c>
      <c r="S13" s="182">
        <v>260</v>
      </c>
      <c r="T13" t="s">
        <v>28</v>
      </c>
      <c r="U13" s="580" t="s">
        <v>12</v>
      </c>
      <c r="V13" s="533"/>
      <c r="W13" s="486"/>
    </row>
    <row r="14" spans="1:29">
      <c r="A14" s="395" t="s">
        <v>29</v>
      </c>
      <c r="B14" s="2" t="s">
        <v>18</v>
      </c>
      <c r="C14" s="403"/>
      <c r="D14" s="182">
        <v>15</v>
      </c>
      <c r="E14" s="182">
        <v>15</v>
      </c>
      <c r="F14" s="182">
        <v>15</v>
      </c>
      <c r="G14" s="182">
        <v>15</v>
      </c>
      <c r="H14" s="182">
        <v>15</v>
      </c>
      <c r="I14" s="182">
        <v>15</v>
      </c>
      <c r="J14" s="182">
        <v>15</v>
      </c>
      <c r="K14" s="182">
        <v>15</v>
      </c>
      <c r="L14" s="182">
        <v>15</v>
      </c>
      <c r="M14" s="182">
        <v>15</v>
      </c>
      <c r="N14" s="182">
        <v>15</v>
      </c>
      <c r="O14" s="182">
        <v>15</v>
      </c>
      <c r="P14" s="182">
        <v>15</v>
      </c>
      <c r="Q14" s="182">
        <v>15</v>
      </c>
      <c r="R14" s="182">
        <v>15</v>
      </c>
      <c r="S14" s="182">
        <v>15</v>
      </c>
      <c r="T14" t="s">
        <v>28</v>
      </c>
      <c r="U14" s="580" t="s">
        <v>12</v>
      </c>
      <c r="V14" s="533"/>
      <c r="W14" s="486"/>
    </row>
    <row r="15" spans="1:29">
      <c r="B15" s="2"/>
      <c r="C15" s="403"/>
      <c r="D15" s="403"/>
      <c r="E15" s="403"/>
      <c r="F15" s="403"/>
      <c r="G15" s="403"/>
      <c r="H15" s="403"/>
      <c r="I15" s="403"/>
      <c r="J15" s="403"/>
      <c r="K15" s="403"/>
      <c r="L15" s="403"/>
      <c r="M15" s="403"/>
      <c r="N15" s="403"/>
      <c r="O15" s="403"/>
      <c r="P15" s="403"/>
      <c r="Q15" s="403"/>
      <c r="R15" s="403"/>
      <c r="S15" s="403"/>
      <c r="V15" s="532" t="s">
        <v>23</v>
      </c>
      <c r="W15" s="486"/>
    </row>
    <row r="16" spans="1:29">
      <c r="A16" s="395" t="s">
        <v>30</v>
      </c>
      <c r="B16" s="2" t="s">
        <v>18</v>
      </c>
      <c r="C16" s="404"/>
      <c r="D16" s="404"/>
      <c r="E16" s="404">
        <f t="shared" ref="E16:R16" si="4">E8-275</f>
        <v>-0.89945953436802029</v>
      </c>
      <c r="F16" s="404">
        <f t="shared" si="4"/>
        <v>-18.917091170323943</v>
      </c>
      <c r="G16" s="404">
        <f t="shared" si="4"/>
        <v>-1.3252688172042895</v>
      </c>
      <c r="H16" s="404">
        <f t="shared" si="4"/>
        <v>-2.0000000000000568</v>
      </c>
      <c r="I16" s="404">
        <f t="shared" si="4"/>
        <v>-72.384408602150501</v>
      </c>
      <c r="J16" s="404">
        <f>J8-275</f>
        <v>-2</v>
      </c>
      <c r="K16" s="404">
        <f>K8-275</f>
        <v>-19.966666666666669</v>
      </c>
      <c r="L16" s="404">
        <f>L8-275</f>
        <v>-60.5946404822528</v>
      </c>
      <c r="M16" s="404">
        <f>M8-275</f>
        <v>-0.2329104756564675</v>
      </c>
      <c r="N16" s="404">
        <f>N8-275</f>
        <v>-4.2341720399962242</v>
      </c>
      <c r="O16" s="404">
        <f t="shared" si="4"/>
        <v>-21.905242500700837</v>
      </c>
      <c r="P16" s="404">
        <f t="shared" si="4"/>
        <v>-21.905242500700894</v>
      </c>
      <c r="Q16" s="404">
        <f t="shared" si="4"/>
        <v>-21.905242500700837</v>
      </c>
      <c r="R16" s="404">
        <f t="shared" si="4"/>
        <v>-28.319876647042349</v>
      </c>
      <c r="S16" s="404">
        <f>S8-275</f>
        <v>-28.319876647042321</v>
      </c>
      <c r="T16" s="577" t="s">
        <v>5</v>
      </c>
      <c r="U16" s="579" t="s">
        <v>3</v>
      </c>
      <c r="V16" s="505" t="s">
        <v>31</v>
      </c>
      <c r="W16" s="486"/>
    </row>
    <row r="17" spans="1:31">
      <c r="A17" s="395" t="s">
        <v>32</v>
      </c>
      <c r="B17" s="2"/>
      <c r="E17" s="339"/>
      <c r="F17" s="339"/>
      <c r="G17" s="339"/>
      <c r="H17" s="339"/>
      <c r="I17" s="339"/>
      <c r="J17" s="339"/>
      <c r="K17" s="339"/>
      <c r="L17" s="339"/>
      <c r="M17" s="339"/>
      <c r="N17" s="339"/>
      <c r="O17" s="339"/>
      <c r="P17" s="339"/>
      <c r="Q17" s="339"/>
      <c r="R17" s="339"/>
      <c r="S17" s="339"/>
      <c r="V17" s="532" t="s">
        <v>26</v>
      </c>
      <c r="W17" s="486"/>
    </row>
    <row r="18" spans="1:31">
      <c r="A18" s="395" t="s">
        <v>33</v>
      </c>
      <c r="B18" s="2" t="s">
        <v>18</v>
      </c>
      <c r="D18" s="404"/>
      <c r="E18" s="404">
        <f t="shared" ref="E18:P18" si="5">E13/(E13+E14)*E16</f>
        <v>-0.85039810522067372</v>
      </c>
      <c r="F18" s="404">
        <f t="shared" si="5"/>
        <v>-17.885249833760817</v>
      </c>
      <c r="G18" s="404">
        <f t="shared" si="5"/>
        <v>-1.2529814271749646</v>
      </c>
      <c r="H18" s="404">
        <f t="shared" si="5"/>
        <v>-1.8909090909091446</v>
      </c>
      <c r="I18" s="404">
        <f t="shared" si="5"/>
        <v>-68.436168132942285</v>
      </c>
      <c r="J18" s="404">
        <f t="shared" si="5"/>
        <v>-1.8909090909090909</v>
      </c>
      <c r="K18" s="404">
        <f t="shared" si="5"/>
        <v>-18.877575757575759</v>
      </c>
      <c r="L18" s="404">
        <f t="shared" si="5"/>
        <v>-57.28947827412992</v>
      </c>
      <c r="M18" s="404">
        <f t="shared" si="5"/>
        <v>-0.22020626789338746</v>
      </c>
      <c r="N18" s="404">
        <f t="shared" si="5"/>
        <v>-4.0032172014509753</v>
      </c>
      <c r="O18" s="404">
        <f t="shared" si="5"/>
        <v>-20.7104110915717</v>
      </c>
      <c r="P18" s="404">
        <f t="shared" si="5"/>
        <v>-20.710411091571753</v>
      </c>
      <c r="Q18" s="404">
        <f>Q13/(Q13+Q14)*Q16</f>
        <v>-20.7104110915717</v>
      </c>
      <c r="R18" s="404">
        <f>R13/(R13+R14)*R16</f>
        <v>-26.775156102658222</v>
      </c>
      <c r="S18" s="404">
        <f>S13/(S13+S14)*S16</f>
        <v>-26.775156102658194</v>
      </c>
      <c r="U18" s="579" t="s">
        <v>3</v>
      </c>
      <c r="V18" s="505" t="s">
        <v>35</v>
      </c>
      <c r="W18" s="486"/>
    </row>
    <row r="19" spans="1:31">
      <c r="A19" s="395" t="s">
        <v>36</v>
      </c>
      <c r="B19" s="2" t="s">
        <v>18</v>
      </c>
      <c r="D19" s="404"/>
      <c r="E19" s="404">
        <f>E14/(E13+E14)*E16</f>
        <v>-4.9061429147346555E-2</v>
      </c>
      <c r="F19" s="404">
        <f t="shared" ref="F19:P19" si="6">F14/(F13+F14)*F16</f>
        <v>-1.031841336563124</v>
      </c>
      <c r="G19" s="404">
        <f t="shared" si="6"/>
        <v>-7.2287390029324883E-2</v>
      </c>
      <c r="H19" s="404">
        <f t="shared" si="6"/>
        <v>-0.10909090909091218</v>
      </c>
      <c r="I19" s="404">
        <f t="shared" si="6"/>
        <v>-3.9482404692082089</v>
      </c>
      <c r="J19" s="404">
        <f t="shared" si="6"/>
        <v>-0.10909090909090909</v>
      </c>
      <c r="K19" s="404">
        <f t="shared" si="6"/>
        <v>-1.0890909090909091</v>
      </c>
      <c r="L19" s="404">
        <f>L14/(L13+L14)*L16</f>
        <v>-3.30516220812288</v>
      </c>
      <c r="M19" s="404">
        <f t="shared" si="6"/>
        <v>-1.2704207763080044E-2</v>
      </c>
      <c r="N19" s="404">
        <f t="shared" si="6"/>
        <v>-0.23095483854524859</v>
      </c>
      <c r="O19" s="404">
        <f t="shared" si="6"/>
        <v>-1.1948314091291365</v>
      </c>
      <c r="P19" s="404">
        <f t="shared" si="6"/>
        <v>-1.1948314091291397</v>
      </c>
      <c r="Q19" s="404">
        <f>Q14/(Q13+Q14)*Q16</f>
        <v>-1.1948314091291365</v>
      </c>
      <c r="R19" s="404">
        <f>R14/(R13+R14)*R16</f>
        <v>-1.5447205443841281</v>
      </c>
      <c r="S19" s="404">
        <f>S14/(S13+S14)*S16</f>
        <v>-1.5447205443841265</v>
      </c>
      <c r="T19" s="577" t="s">
        <v>5</v>
      </c>
      <c r="U19" s="579" t="s">
        <v>3</v>
      </c>
      <c r="V19" s="505" t="s">
        <v>37</v>
      </c>
      <c r="W19" s="486"/>
    </row>
    <row r="20" spans="1:31">
      <c r="B20" s="2"/>
      <c r="E20" s="339"/>
      <c r="F20" s="339"/>
      <c r="G20" s="339"/>
      <c r="H20" s="339"/>
      <c r="I20" s="404"/>
      <c r="J20" s="404"/>
      <c r="K20" s="404"/>
      <c r="L20" s="404"/>
      <c r="M20" s="404"/>
      <c r="N20" s="404"/>
      <c r="O20" s="404"/>
      <c r="P20" s="404"/>
      <c r="Q20" s="404"/>
      <c r="R20" s="404"/>
      <c r="S20" s="404"/>
      <c r="V20" s="532" t="s">
        <v>23</v>
      </c>
      <c r="W20" s="486"/>
    </row>
    <row r="21" spans="1:31" ht="15.95" customHeight="1">
      <c r="A21" s="397" t="s">
        <v>38</v>
      </c>
      <c r="B21" s="397" t="s">
        <v>14</v>
      </c>
      <c r="C21" s="398">
        <f t="shared" ref="C21:Q21" si="7">C6</f>
        <v>44198</v>
      </c>
      <c r="D21" s="398">
        <f t="shared" si="7"/>
        <v>44229</v>
      </c>
      <c r="E21" s="398">
        <f t="shared" si="7"/>
        <v>44257</v>
      </c>
      <c r="F21" s="398">
        <f t="shared" si="7"/>
        <v>44288</v>
      </c>
      <c r="G21" s="398">
        <f t="shared" si="7"/>
        <v>44318</v>
      </c>
      <c r="H21" s="398">
        <f t="shared" si="7"/>
        <v>44349</v>
      </c>
      <c r="I21" s="399">
        <f t="shared" si="7"/>
        <v>44379</v>
      </c>
      <c r="J21" s="399">
        <f t="shared" si="7"/>
        <v>44410</v>
      </c>
      <c r="K21" s="399">
        <f t="shared" si="7"/>
        <v>44441</v>
      </c>
      <c r="L21" s="399">
        <f t="shared" si="7"/>
        <v>44471</v>
      </c>
      <c r="M21" s="399">
        <f t="shared" si="7"/>
        <v>44502</v>
      </c>
      <c r="N21" s="399">
        <f t="shared" si="7"/>
        <v>44532</v>
      </c>
      <c r="O21" s="399">
        <f t="shared" si="7"/>
        <v>44563</v>
      </c>
      <c r="P21" s="399">
        <f t="shared" si="7"/>
        <v>44594</v>
      </c>
      <c r="Q21" s="399">
        <f t="shared" si="7"/>
        <v>44622</v>
      </c>
      <c r="R21" s="399">
        <f t="shared" ref="R21:S21" si="8">R6</f>
        <v>44653</v>
      </c>
      <c r="S21" s="399">
        <f t="shared" si="8"/>
        <v>44683</v>
      </c>
      <c r="U21" s="409" t="s">
        <v>39</v>
      </c>
      <c r="V21" s="410"/>
      <c r="W21" s="486"/>
    </row>
    <row r="22" spans="1:31" s="520" customFormat="1">
      <c r="A22" s="514" t="s">
        <v>40</v>
      </c>
      <c r="B22" s="515" t="s">
        <v>41</v>
      </c>
      <c r="C22" s="516">
        <v>0</v>
      </c>
      <c r="D22" s="516">
        <v>0</v>
      </c>
      <c r="E22" s="517">
        <v>5040</v>
      </c>
      <c r="F22" s="517">
        <v>5760</v>
      </c>
      <c r="G22" s="517">
        <v>11160</v>
      </c>
      <c r="H22" s="517">
        <v>11664</v>
      </c>
      <c r="I22" s="517">
        <v>11160</v>
      </c>
      <c r="J22" s="517">
        <v>11160</v>
      </c>
      <c r="K22" s="517">
        <v>10800</v>
      </c>
      <c r="L22" s="517">
        <v>11160</v>
      </c>
      <c r="M22" s="517">
        <v>10800</v>
      </c>
      <c r="N22" s="517">
        <v>11160</v>
      </c>
      <c r="O22" s="517">
        <v>20000</v>
      </c>
      <c r="P22" s="517">
        <v>10080</v>
      </c>
      <c r="Q22" s="517">
        <v>11160</v>
      </c>
      <c r="R22" s="517">
        <v>10800</v>
      </c>
      <c r="S22" s="517">
        <v>11160</v>
      </c>
      <c r="T22" s="530" t="s">
        <v>83</v>
      </c>
      <c r="U22" s="581" t="s">
        <v>43</v>
      </c>
      <c r="V22" s="518"/>
      <c r="W22" s="519"/>
    </row>
    <row r="23" spans="1:31">
      <c r="A23" s="477" t="str">
        <f>A22</f>
        <v>SCG Demand (Updated on 31/3/64)</v>
      </c>
      <c r="B23" s="478" t="s">
        <v>1</v>
      </c>
      <c r="C23" s="481">
        <v>0</v>
      </c>
      <c r="D23" s="482">
        <v>0</v>
      </c>
      <c r="E23" s="482">
        <f>E22/1000</f>
        <v>5.04</v>
      </c>
      <c r="F23" s="482">
        <f t="shared" ref="F23:Q23" si="9">F22/1000</f>
        <v>5.76</v>
      </c>
      <c r="G23" s="482">
        <f>G22/1000</f>
        <v>11.16</v>
      </c>
      <c r="H23" s="482">
        <f>H22/1000</f>
        <v>11.664</v>
      </c>
      <c r="I23" s="482">
        <f t="shared" si="9"/>
        <v>11.16</v>
      </c>
      <c r="J23" s="482">
        <f t="shared" si="9"/>
        <v>11.16</v>
      </c>
      <c r="K23" s="482">
        <f t="shared" si="9"/>
        <v>10.8</v>
      </c>
      <c r="L23" s="482">
        <f t="shared" si="9"/>
        <v>11.16</v>
      </c>
      <c r="M23" s="482">
        <f t="shared" si="9"/>
        <v>10.8</v>
      </c>
      <c r="N23" s="482">
        <f t="shared" si="9"/>
        <v>11.16</v>
      </c>
      <c r="O23" s="482">
        <f t="shared" si="9"/>
        <v>20</v>
      </c>
      <c r="P23" s="482">
        <f t="shared" si="9"/>
        <v>10.08</v>
      </c>
      <c r="Q23" s="482">
        <f t="shared" si="9"/>
        <v>11.16</v>
      </c>
      <c r="R23" s="482">
        <f t="shared" ref="R23" si="10">R22/1000</f>
        <v>10.8</v>
      </c>
      <c r="S23" s="482">
        <f>S22/1000</f>
        <v>11.16</v>
      </c>
      <c r="T23" s="577" t="s">
        <v>5</v>
      </c>
      <c r="U23" s="580" t="s">
        <v>34</v>
      </c>
      <c r="V23" s="505" t="s">
        <v>45</v>
      </c>
      <c r="W23" s="486"/>
      <c r="AE23" s="486"/>
    </row>
    <row r="24" spans="1:31">
      <c r="A24" s="477" t="str">
        <f>A23</f>
        <v>SCG Demand (Updated on 31/3/64)</v>
      </c>
      <c r="B24" s="478" t="s">
        <v>18</v>
      </c>
      <c r="C24" s="479">
        <f t="shared" ref="C24:Q24" si="11">C23/24/C5*1000</f>
        <v>0</v>
      </c>
      <c r="D24" s="480">
        <f t="shared" si="11"/>
        <v>0</v>
      </c>
      <c r="E24" s="480">
        <f>E23/24/E5*1000</f>
        <v>6.774193548387097</v>
      </c>
      <c r="F24" s="480">
        <f t="shared" si="11"/>
        <v>8</v>
      </c>
      <c r="G24" s="480">
        <f>G23/24/G5*1000</f>
        <v>15.000000000000002</v>
      </c>
      <c r="H24" s="497">
        <f>H23/24/H5*1000</f>
        <v>16.2</v>
      </c>
      <c r="I24" s="497">
        <f t="shared" si="11"/>
        <v>15.000000000000002</v>
      </c>
      <c r="J24" s="480">
        <f t="shared" si="11"/>
        <v>15.000000000000002</v>
      </c>
      <c r="K24" s="480">
        <f t="shared" si="11"/>
        <v>15.000000000000002</v>
      </c>
      <c r="L24" s="480">
        <f t="shared" si="11"/>
        <v>15.000000000000002</v>
      </c>
      <c r="M24" s="480">
        <f t="shared" si="11"/>
        <v>15.000000000000002</v>
      </c>
      <c r="N24" s="480">
        <f t="shared" si="11"/>
        <v>15.000000000000002</v>
      </c>
      <c r="O24" s="480">
        <f t="shared" si="11"/>
        <v>26.881720430107528</v>
      </c>
      <c r="P24" s="480">
        <f t="shared" si="11"/>
        <v>15</v>
      </c>
      <c r="Q24" s="480">
        <f t="shared" si="11"/>
        <v>15.000000000000002</v>
      </c>
      <c r="R24" s="480">
        <f t="shared" ref="R24" si="12">R23/24/R5*1000</f>
        <v>15.000000000000002</v>
      </c>
      <c r="S24" s="480">
        <f>S23/24/S5*1000</f>
        <v>15.000000000000002</v>
      </c>
      <c r="T24" s="577" t="s">
        <v>5</v>
      </c>
      <c r="U24" s="581" t="s">
        <v>43</v>
      </c>
      <c r="V24" s="505" t="s">
        <v>46</v>
      </c>
      <c r="AE24" s="486"/>
    </row>
    <row r="25" spans="1:31">
      <c r="A25" s="477" t="str">
        <f>A23</f>
        <v>SCG Demand (Updated on 31/3/64)</v>
      </c>
      <c r="B25" s="478" t="s">
        <v>47</v>
      </c>
      <c r="C25" s="479"/>
      <c r="D25" s="480">
        <f>D24*24</f>
        <v>0</v>
      </c>
      <c r="E25" s="474">
        <f>E24*24</f>
        <v>162.58064516129033</v>
      </c>
      <c r="F25" s="474">
        <f t="shared" ref="F25:Q25" si="13">F24*24</f>
        <v>192</v>
      </c>
      <c r="G25" s="474">
        <f t="shared" si="13"/>
        <v>360.00000000000006</v>
      </c>
      <c r="H25" s="474">
        <f t="shared" si="13"/>
        <v>388.79999999999995</v>
      </c>
      <c r="I25" s="474">
        <f t="shared" si="13"/>
        <v>360.00000000000006</v>
      </c>
      <c r="J25" s="474">
        <f t="shared" si="13"/>
        <v>360.00000000000006</v>
      </c>
      <c r="K25" s="474">
        <f t="shared" si="13"/>
        <v>360.00000000000006</v>
      </c>
      <c r="L25" s="474">
        <f t="shared" si="13"/>
        <v>360.00000000000006</v>
      </c>
      <c r="M25" s="474">
        <f t="shared" si="13"/>
        <v>360.00000000000006</v>
      </c>
      <c r="N25" s="474">
        <f t="shared" si="13"/>
        <v>360.00000000000006</v>
      </c>
      <c r="O25" s="474">
        <f t="shared" si="13"/>
        <v>645.16129032258073</v>
      </c>
      <c r="P25" s="474">
        <f t="shared" si="13"/>
        <v>360</v>
      </c>
      <c r="Q25" s="474">
        <f t="shared" si="13"/>
        <v>360.00000000000006</v>
      </c>
      <c r="R25" s="474">
        <f t="shared" ref="R25" si="14">R24*24</f>
        <v>360.00000000000006</v>
      </c>
      <c r="S25" s="474">
        <f>S24*24</f>
        <v>360.00000000000006</v>
      </c>
      <c r="T25" s="577" t="s">
        <v>5</v>
      </c>
      <c r="U25" s="580" t="s">
        <v>34</v>
      </c>
      <c r="V25" s="505" t="s">
        <v>48</v>
      </c>
      <c r="AE25" s="513"/>
    </row>
    <row r="26" spans="1:31" s="512" customFormat="1">
      <c r="A26" s="422" t="s">
        <v>49</v>
      </c>
      <c r="B26" s="509" t="s">
        <v>41</v>
      </c>
      <c r="C26" s="510"/>
      <c r="D26" s="511">
        <f>D28*24*D5</f>
        <v>0</v>
      </c>
      <c r="E26" s="511">
        <f>E28*24*E5</f>
        <v>5040</v>
      </c>
      <c r="F26" s="511">
        <f t="shared" ref="F26:Q26" si="15">F28*24*F5</f>
        <v>5760</v>
      </c>
      <c r="G26" s="511">
        <f>G28*24*G5</f>
        <v>11160.000000000002</v>
      </c>
      <c r="H26" s="511">
        <f>H28*24*H5</f>
        <v>11663.999999999998</v>
      </c>
      <c r="I26" s="511">
        <f>I28*24*I5</f>
        <v>8222.5090909090941</v>
      </c>
      <c r="J26" s="511">
        <f t="shared" si="15"/>
        <v>11078.836363636365</v>
      </c>
      <c r="K26" s="511">
        <f t="shared" si="15"/>
        <v>10015.854545454546</v>
      </c>
      <c r="L26" s="511">
        <f t="shared" si="15"/>
        <v>8700.9593171565793</v>
      </c>
      <c r="M26" s="511">
        <f t="shared" si="15"/>
        <v>10790.852970410582</v>
      </c>
      <c r="N26" s="511">
        <f t="shared" si="15"/>
        <v>10988.169600122337</v>
      </c>
      <c r="O26" s="511">
        <f t="shared" si="15"/>
        <v>19111.045431607927</v>
      </c>
      <c r="P26" s="511">
        <f t="shared" si="15"/>
        <v>9277.0732930652175</v>
      </c>
      <c r="Q26" s="511">
        <f t="shared" si="15"/>
        <v>10271.045431607925</v>
      </c>
      <c r="R26" s="511">
        <f t="shared" ref="R26" si="16">R28*24*R5</f>
        <v>9687.8012080434291</v>
      </c>
      <c r="S26" s="511">
        <f>S28*24*S5</f>
        <v>10010.727914978212</v>
      </c>
      <c r="T26" s="530" t="s">
        <v>85</v>
      </c>
      <c r="U26" s="580" t="s">
        <v>34</v>
      </c>
      <c r="V26" s="512" t="s">
        <v>51</v>
      </c>
    </row>
    <row r="27" spans="1:31">
      <c r="A27" s="407" t="s">
        <v>49</v>
      </c>
      <c r="B27" s="478" t="s">
        <v>1</v>
      </c>
      <c r="C27" s="510"/>
      <c r="D27" s="677">
        <f>D26/10^3</f>
        <v>0</v>
      </c>
      <c r="E27" s="677">
        <f t="shared" ref="E27:Q27" si="17">E26/10^3</f>
        <v>5.04</v>
      </c>
      <c r="F27" s="677">
        <f t="shared" si="17"/>
        <v>5.76</v>
      </c>
      <c r="G27" s="677">
        <f t="shared" si="17"/>
        <v>11.160000000000002</v>
      </c>
      <c r="H27" s="677">
        <f t="shared" si="17"/>
        <v>11.663999999999998</v>
      </c>
      <c r="I27" s="677">
        <f t="shared" si="17"/>
        <v>8.2225090909090941</v>
      </c>
      <c r="J27" s="677">
        <f t="shared" si="17"/>
        <v>11.078836363636364</v>
      </c>
      <c r="K27" s="677">
        <f t="shared" si="17"/>
        <v>10.015854545454546</v>
      </c>
      <c r="L27" s="677">
        <f t="shared" si="17"/>
        <v>8.7009593171565793</v>
      </c>
      <c r="M27" s="677">
        <f t="shared" si="17"/>
        <v>10.790852970410581</v>
      </c>
      <c r="N27" s="677">
        <f t="shared" si="17"/>
        <v>10.988169600122337</v>
      </c>
      <c r="O27" s="677">
        <f t="shared" si="17"/>
        <v>19.111045431607927</v>
      </c>
      <c r="P27" s="677">
        <f t="shared" si="17"/>
        <v>9.277073293065218</v>
      </c>
      <c r="Q27" s="677">
        <f t="shared" si="17"/>
        <v>10.271045431607925</v>
      </c>
      <c r="R27" s="677">
        <f t="shared" ref="R27" si="18">R26/10^3</f>
        <v>9.6878012080434299</v>
      </c>
      <c r="S27" s="677">
        <f>S26/10^3</f>
        <v>10.010727914978212</v>
      </c>
      <c r="T27" s="577" t="s">
        <v>5</v>
      </c>
      <c r="U27" s="581" t="s">
        <v>43</v>
      </c>
      <c r="V27" s="505" t="s">
        <v>52</v>
      </c>
      <c r="W27" s="486"/>
      <c r="AC27" s="530" t="s">
        <v>53</v>
      </c>
    </row>
    <row r="28" spans="1:31">
      <c r="A28" s="395" t="s">
        <v>49</v>
      </c>
      <c r="B28" s="2" t="s">
        <v>18</v>
      </c>
      <c r="C28" s="476"/>
      <c r="D28" s="615">
        <f>D24</f>
        <v>0</v>
      </c>
      <c r="E28" s="615">
        <f>E24</f>
        <v>6.774193548387097</v>
      </c>
      <c r="F28" s="615">
        <f>F24</f>
        <v>8</v>
      </c>
      <c r="G28" s="615">
        <f t="shared" ref="G28" si="19">G24</f>
        <v>15.000000000000002</v>
      </c>
      <c r="H28" s="615">
        <f>H24</f>
        <v>16.2</v>
      </c>
      <c r="I28" s="615">
        <f>I24+I19</f>
        <v>11.051759530791793</v>
      </c>
      <c r="J28" s="615">
        <f t="shared" ref="J28:Q28" si="20">J24+J19</f>
        <v>14.890909090909092</v>
      </c>
      <c r="K28" s="615">
        <f t="shared" si="20"/>
        <v>13.910909090909092</v>
      </c>
      <c r="L28" s="615">
        <f>L24+L19</f>
        <v>11.694837791877122</v>
      </c>
      <c r="M28" s="615">
        <f t="shared" si="20"/>
        <v>14.987295792236921</v>
      </c>
      <c r="N28" s="615">
        <f t="shared" si="20"/>
        <v>14.769045161454754</v>
      </c>
      <c r="O28" s="615">
        <f t="shared" si="20"/>
        <v>25.686889020978391</v>
      </c>
      <c r="P28" s="615">
        <f t="shared" si="20"/>
        <v>13.80516859087086</v>
      </c>
      <c r="Q28" s="615">
        <f t="shared" si="20"/>
        <v>13.805168590870865</v>
      </c>
      <c r="R28" s="615">
        <f t="shared" ref="R28" si="21">R24+R19</f>
        <v>13.455279455615873</v>
      </c>
      <c r="S28" s="615">
        <f>S24+S19</f>
        <v>13.455279455615875</v>
      </c>
      <c r="T28" s="577" t="s">
        <v>5</v>
      </c>
      <c r="U28" s="581" t="s">
        <v>43</v>
      </c>
      <c r="V28" s="505" t="s">
        <v>54</v>
      </c>
      <c r="W28" s="486"/>
    </row>
    <row r="29" spans="1:31">
      <c r="A29" s="395" t="s">
        <v>49</v>
      </c>
      <c r="B29" s="2" t="s">
        <v>47</v>
      </c>
      <c r="C29" s="492">
        <f>C28*24</f>
        <v>0</v>
      </c>
      <c r="D29" s="492">
        <f>D28*24</f>
        <v>0</v>
      </c>
      <c r="E29" s="492">
        <f t="shared" ref="E29:R29" si="22">E28*24</f>
        <v>162.58064516129033</v>
      </c>
      <c r="F29" s="492">
        <f t="shared" si="22"/>
        <v>192</v>
      </c>
      <c r="G29" s="492">
        <f t="shared" si="22"/>
        <v>360.00000000000006</v>
      </c>
      <c r="H29" s="492">
        <f t="shared" si="22"/>
        <v>388.79999999999995</v>
      </c>
      <c r="I29" s="492">
        <f t="shared" si="22"/>
        <v>265.24222873900305</v>
      </c>
      <c r="J29" s="492">
        <f t="shared" si="22"/>
        <v>357.38181818181823</v>
      </c>
      <c r="K29" s="492">
        <f t="shared" si="22"/>
        <v>333.86181818181819</v>
      </c>
      <c r="L29" s="492">
        <f t="shared" si="22"/>
        <v>280.67610700505094</v>
      </c>
      <c r="M29" s="492">
        <f t="shared" si="22"/>
        <v>359.6950990136861</v>
      </c>
      <c r="N29" s="492">
        <f t="shared" si="22"/>
        <v>354.45708387491408</v>
      </c>
      <c r="O29" s="492">
        <f t="shared" si="22"/>
        <v>616.48533650348145</v>
      </c>
      <c r="P29" s="492">
        <f t="shared" si="22"/>
        <v>331.32404618090061</v>
      </c>
      <c r="Q29" s="492">
        <f t="shared" si="22"/>
        <v>331.32404618090078</v>
      </c>
      <c r="R29" s="492">
        <f t="shared" si="22"/>
        <v>322.92670693478095</v>
      </c>
      <c r="S29" s="492">
        <f>S28*24</f>
        <v>322.92670693478101</v>
      </c>
      <c r="T29" s="577" t="s">
        <v>5</v>
      </c>
      <c r="U29" s="580" t="s">
        <v>34</v>
      </c>
      <c r="V29" s="505" t="s">
        <v>55</v>
      </c>
      <c r="W29" s="486"/>
    </row>
    <row r="30" spans="1:31">
      <c r="B30" s="2"/>
      <c r="C30" s="476"/>
      <c r="D30" s="615"/>
      <c r="E30" s="615"/>
      <c r="F30" s="615"/>
      <c r="G30" s="615"/>
      <c r="H30" s="615"/>
      <c r="I30" s="615"/>
      <c r="J30" s="615"/>
      <c r="K30" s="615"/>
      <c r="L30" s="615"/>
      <c r="M30" s="615"/>
      <c r="N30" s="615"/>
      <c r="O30" s="615"/>
      <c r="P30" s="615"/>
      <c r="Q30" s="615"/>
      <c r="R30" s="615"/>
      <c r="S30" s="615"/>
      <c r="V30" s="410"/>
      <c r="W30" s="486"/>
    </row>
    <row r="31" spans="1:31">
      <c r="A31" s="397" t="s">
        <v>56</v>
      </c>
      <c r="B31" s="397" t="s">
        <v>14</v>
      </c>
      <c r="C31" s="398">
        <f>C12</f>
        <v>0</v>
      </c>
      <c r="D31" s="398">
        <f>D6</f>
        <v>44229</v>
      </c>
      <c r="E31" s="398">
        <f t="shared" ref="E31:Q31" si="23">E6</f>
        <v>44257</v>
      </c>
      <c r="F31" s="398">
        <f t="shared" si="23"/>
        <v>44288</v>
      </c>
      <c r="G31" s="398">
        <f t="shared" si="23"/>
        <v>44318</v>
      </c>
      <c r="H31" s="398">
        <f t="shared" si="23"/>
        <v>44349</v>
      </c>
      <c r="I31" s="399">
        <f t="shared" si="23"/>
        <v>44379</v>
      </c>
      <c r="J31" s="399">
        <f t="shared" si="23"/>
        <v>44410</v>
      </c>
      <c r="K31" s="399">
        <f t="shared" si="23"/>
        <v>44441</v>
      </c>
      <c r="L31" s="399">
        <f t="shared" si="23"/>
        <v>44471</v>
      </c>
      <c r="M31" s="399">
        <f t="shared" si="23"/>
        <v>44502</v>
      </c>
      <c r="N31" s="399">
        <f t="shared" si="23"/>
        <v>44532</v>
      </c>
      <c r="O31" s="399">
        <f t="shared" si="23"/>
        <v>44563</v>
      </c>
      <c r="P31" s="399">
        <f t="shared" si="23"/>
        <v>44594</v>
      </c>
      <c r="Q31" s="399">
        <f t="shared" si="23"/>
        <v>44622</v>
      </c>
      <c r="R31" s="399">
        <f t="shared" ref="R31:S31" si="24">R6</f>
        <v>44653</v>
      </c>
      <c r="S31" s="399">
        <f t="shared" si="24"/>
        <v>44683</v>
      </c>
      <c r="V31" s="410"/>
      <c r="W31" s="486"/>
    </row>
    <row r="32" spans="1:31">
      <c r="A32" s="483" t="s">
        <v>57</v>
      </c>
      <c r="B32" s="475" t="s">
        <v>41</v>
      </c>
      <c r="C32" s="512"/>
      <c r="D32" s="678">
        <f>D37*24*D5</f>
        <v>43424.83738256478</v>
      </c>
      <c r="E32" s="678">
        <f>E37*24*E5</f>
        <v>44808</v>
      </c>
      <c r="F32" s="678">
        <f>F37*24*F5</f>
        <v>39694.103448275862</v>
      </c>
      <c r="G32" s="678">
        <f t="shared" ref="G32:Q32" si="25">G37*24*G5</f>
        <v>37315.999999999993</v>
      </c>
      <c r="H32" s="678">
        <f t="shared" si="25"/>
        <v>35135.999999999993</v>
      </c>
      <c r="I32" s="678">
        <f t="shared" si="25"/>
        <v>40137.490909090906</v>
      </c>
      <c r="J32" s="678">
        <f>J37*24*J5</f>
        <v>37281.163636363635</v>
      </c>
      <c r="K32" s="678">
        <f t="shared" si="25"/>
        <v>36784.145454545447</v>
      </c>
      <c r="L32" s="678">
        <f t="shared" si="25"/>
        <v>37991.454475946877</v>
      </c>
      <c r="M32" s="678">
        <f t="shared" si="25"/>
        <v>34395.35392614115</v>
      </c>
      <c r="N32" s="678">
        <f t="shared" si="25"/>
        <v>36538.037296429393</v>
      </c>
      <c r="O32" s="678">
        <f t="shared" si="25"/>
        <v>28415.161464943805</v>
      </c>
      <c r="P32" s="678">
        <f t="shared" si="25"/>
        <v>33649.823258658929</v>
      </c>
      <c r="Q32" s="678">
        <f t="shared" si="25"/>
        <v>37255.161464943812</v>
      </c>
      <c r="R32" s="678">
        <f t="shared" ref="R32" si="26">R37*24*R5</f>
        <v>36305.302240232428</v>
      </c>
      <c r="S32" s="678">
        <f>S37*24*S5</f>
        <v>37515.47898157352</v>
      </c>
      <c r="T32" s="577" t="s">
        <v>86</v>
      </c>
      <c r="U32" s="580" t="s">
        <v>34</v>
      </c>
      <c r="V32" s="505" t="s">
        <v>58</v>
      </c>
      <c r="W32" s="486"/>
    </row>
    <row r="33" spans="1:23">
      <c r="A33" s="483" t="s">
        <v>59</v>
      </c>
      <c r="B33" s="475" t="s">
        <v>41</v>
      </c>
      <c r="C33" s="493"/>
      <c r="D33" s="494">
        <f>D38*24*D5</f>
        <v>138815.95722171455</v>
      </c>
      <c r="E33" s="494">
        <f t="shared" ref="E33:Q33" si="27">E38*24*E5</f>
        <v>154082.8021064302</v>
      </c>
      <c r="F33" s="494">
        <f t="shared" si="27"/>
        <v>138925.59090909088</v>
      </c>
      <c r="G33" s="494">
        <f t="shared" si="27"/>
        <v>155138.00000000006</v>
      </c>
      <c r="H33" s="494">
        <f t="shared" si="27"/>
        <v>149759.99999999994</v>
      </c>
      <c r="I33" s="494">
        <f t="shared" si="27"/>
        <v>102386.00000000003</v>
      </c>
      <c r="J33" s="494">
        <f t="shared" si="27"/>
        <v>154752</v>
      </c>
      <c r="K33" s="494">
        <f t="shared" si="27"/>
        <v>136824</v>
      </c>
      <c r="L33" s="494">
        <f t="shared" si="27"/>
        <v>112825.17368810048</v>
      </c>
      <c r="M33" s="494">
        <f t="shared" si="27"/>
        <v>152646.09756097564</v>
      </c>
      <c r="N33" s="494">
        <f t="shared" si="27"/>
        <v>153923.56910569107</v>
      </c>
      <c r="O33" s="494">
        <f t="shared" si="27"/>
        <v>140776.29268292684</v>
      </c>
      <c r="P33" s="494">
        <f t="shared" si="27"/>
        <v>127152.78048780485</v>
      </c>
      <c r="Q33" s="494">
        <f t="shared" si="27"/>
        <v>140776.29268292684</v>
      </c>
      <c r="R33" s="494">
        <f t="shared" ref="R33" si="28">R38*24*R5</f>
        <v>131616.58536585365</v>
      </c>
      <c r="S33" s="494">
        <f>S38*24*S5</f>
        <v>136003.8048780488</v>
      </c>
      <c r="T33" s="577" t="s">
        <v>86</v>
      </c>
      <c r="U33" s="580" t="s">
        <v>34</v>
      </c>
      <c r="V33" s="505" t="s">
        <v>60</v>
      </c>
      <c r="W33" s="486"/>
    </row>
    <row r="34" spans="1:23">
      <c r="A34" s="483" t="s">
        <v>61</v>
      </c>
      <c r="B34" s="496" t="s">
        <v>41</v>
      </c>
      <c r="C34" s="493"/>
      <c r="D34" s="494"/>
      <c r="E34" s="495">
        <f>E32+E33</f>
        <v>198890.8021064302</v>
      </c>
      <c r="F34" s="495">
        <f t="shared" ref="F34:Q34" si="29">F32+F33</f>
        <v>178619.69435736674</v>
      </c>
      <c r="G34" s="495">
        <f t="shared" si="29"/>
        <v>192454.00000000006</v>
      </c>
      <c r="H34" s="495">
        <f t="shared" si="29"/>
        <v>184895.99999999994</v>
      </c>
      <c r="I34" s="495">
        <f t="shared" si="29"/>
        <v>142523.49090909094</v>
      </c>
      <c r="J34" s="495">
        <f t="shared" si="29"/>
        <v>192033.16363636364</v>
      </c>
      <c r="K34" s="495">
        <f t="shared" si="29"/>
        <v>173608.14545454545</v>
      </c>
      <c r="L34" s="495">
        <f t="shared" si="29"/>
        <v>150816.62816404735</v>
      </c>
      <c r="M34" s="495">
        <f t="shared" si="29"/>
        <v>187041.45148711681</v>
      </c>
      <c r="N34" s="495">
        <f t="shared" si="29"/>
        <v>190461.60640212047</v>
      </c>
      <c r="O34" s="495">
        <f t="shared" si="29"/>
        <v>169191.45414787065</v>
      </c>
      <c r="P34" s="495">
        <f t="shared" si="29"/>
        <v>160802.60374646378</v>
      </c>
      <c r="Q34" s="495">
        <f t="shared" si="29"/>
        <v>178031.45414787065</v>
      </c>
      <c r="R34" s="495">
        <f t="shared" ref="R34" si="30">R32+R33</f>
        <v>167921.88760608609</v>
      </c>
      <c r="S34" s="495">
        <f>S32+S33</f>
        <v>173519.28385962232</v>
      </c>
      <c r="T34" s="577" t="s">
        <v>5</v>
      </c>
      <c r="U34" s="580" t="s">
        <v>34</v>
      </c>
      <c r="V34" s="505" t="s">
        <v>62</v>
      </c>
      <c r="W34" s="486"/>
    </row>
    <row r="35" spans="1:23">
      <c r="A35" s="407" t="s">
        <v>57</v>
      </c>
      <c r="B35" s="478" t="s">
        <v>1</v>
      </c>
      <c r="C35" s="479"/>
      <c r="D35" s="679">
        <f t="shared" ref="D35:Q35" si="31">D32/1000</f>
        <v>43.424837382564782</v>
      </c>
      <c r="E35" s="679">
        <f t="shared" si="31"/>
        <v>44.808</v>
      </c>
      <c r="F35" s="679">
        <f t="shared" si="31"/>
        <v>39.694103448275861</v>
      </c>
      <c r="G35" s="679">
        <f t="shared" si="31"/>
        <v>37.315999999999995</v>
      </c>
      <c r="H35" s="679">
        <f t="shared" si="31"/>
        <v>35.135999999999996</v>
      </c>
      <c r="I35" s="679">
        <f t="shared" si="31"/>
        <v>40.137490909090907</v>
      </c>
      <c r="J35" s="679">
        <f t="shared" si="31"/>
        <v>37.281163636363637</v>
      </c>
      <c r="K35" s="679">
        <f t="shared" si="31"/>
        <v>36.784145454545445</v>
      </c>
      <c r="L35" s="679">
        <f t="shared" si="31"/>
        <v>37.991454475946874</v>
      </c>
      <c r="M35" s="679">
        <f t="shared" si="31"/>
        <v>34.395353926141148</v>
      </c>
      <c r="N35" s="679">
        <f t="shared" si="31"/>
        <v>36.538037296429394</v>
      </c>
      <c r="O35" s="679">
        <f t="shared" si="31"/>
        <v>28.415161464943804</v>
      </c>
      <c r="P35" s="679">
        <f t="shared" si="31"/>
        <v>33.649823258658927</v>
      </c>
      <c r="Q35" s="679">
        <f t="shared" si="31"/>
        <v>37.255161464943811</v>
      </c>
      <c r="R35" s="679">
        <f t="shared" ref="R35" si="32">R32/1000</f>
        <v>36.305302240232429</v>
      </c>
      <c r="S35" s="679">
        <f>S32/1000</f>
        <v>37.515478981573523</v>
      </c>
      <c r="T35" s="577" t="s">
        <v>5</v>
      </c>
      <c r="U35" s="581" t="s">
        <v>43</v>
      </c>
      <c r="V35" s="505" t="s">
        <v>63</v>
      </c>
    </row>
    <row r="36" spans="1:23">
      <c r="A36" s="407" t="s">
        <v>59</v>
      </c>
      <c r="B36" s="478" t="s">
        <v>1</v>
      </c>
      <c r="D36" s="474">
        <f t="shared" ref="D36:Q36" si="33">D33/1000</f>
        <v>138.81595722171454</v>
      </c>
      <c r="E36" s="474">
        <f t="shared" si="33"/>
        <v>154.08280210643019</v>
      </c>
      <c r="F36" s="474">
        <f t="shared" si="33"/>
        <v>138.92559090909089</v>
      </c>
      <c r="G36" s="474">
        <f t="shared" si="33"/>
        <v>155.13800000000006</v>
      </c>
      <c r="H36" s="474">
        <f t="shared" si="33"/>
        <v>149.75999999999993</v>
      </c>
      <c r="I36" s="474">
        <f t="shared" si="33"/>
        <v>102.38600000000002</v>
      </c>
      <c r="J36" s="474">
        <f t="shared" si="33"/>
        <v>154.75200000000001</v>
      </c>
      <c r="K36" s="474">
        <f t="shared" si="33"/>
        <v>136.82400000000001</v>
      </c>
      <c r="L36" s="474">
        <f t="shared" si="33"/>
        <v>112.82517368810048</v>
      </c>
      <c r="M36" s="474">
        <f t="shared" si="33"/>
        <v>152.64609756097565</v>
      </c>
      <c r="N36" s="474">
        <f t="shared" si="33"/>
        <v>153.92356910569109</v>
      </c>
      <c r="O36" s="474">
        <f t="shared" si="33"/>
        <v>140.77629268292685</v>
      </c>
      <c r="P36" s="474">
        <f t="shared" si="33"/>
        <v>127.15278048780485</v>
      </c>
      <c r="Q36" s="474">
        <f t="shared" si="33"/>
        <v>140.77629268292685</v>
      </c>
      <c r="R36" s="474">
        <f t="shared" ref="R36" si="34">R33/1000</f>
        <v>131.61658536585364</v>
      </c>
      <c r="S36" s="474">
        <f>S33/1000</f>
        <v>136.00380487804881</v>
      </c>
      <c r="T36" s="577" t="s">
        <v>5</v>
      </c>
      <c r="U36" s="581" t="s">
        <v>43</v>
      </c>
      <c r="V36" s="505" t="s">
        <v>64</v>
      </c>
    </row>
    <row r="37" spans="1:23">
      <c r="A37" s="483" t="s">
        <v>57</v>
      </c>
      <c r="B37" s="475" t="s">
        <v>18</v>
      </c>
      <c r="C37" s="408"/>
      <c r="D37" s="473">
        <f t="shared" ref="D37:S37" si="35">D10-D28</f>
        <v>64.620293724054733</v>
      </c>
      <c r="E37" s="473">
        <f t="shared" si="35"/>
        <v>60.225806451612904</v>
      </c>
      <c r="F37" s="473">
        <f t="shared" si="35"/>
        <v>55.130699233716477</v>
      </c>
      <c r="G37" s="473">
        <f t="shared" si="35"/>
        <v>50.15591397849461</v>
      </c>
      <c r="H37" s="473">
        <f t="shared" si="35"/>
        <v>48.8</v>
      </c>
      <c r="I37" s="473">
        <f t="shared" si="35"/>
        <v>53.948240469208208</v>
      </c>
      <c r="J37" s="473">
        <f t="shared" si="35"/>
        <v>50.109090909090909</v>
      </c>
      <c r="K37" s="473">
        <f t="shared" si="35"/>
        <v>51.089090909090906</v>
      </c>
      <c r="L37" s="473">
        <f t="shared" si="35"/>
        <v>51.063782897778061</v>
      </c>
      <c r="M37" s="473">
        <f t="shared" si="35"/>
        <v>47.77132489741826</v>
      </c>
      <c r="N37" s="473">
        <f t="shared" si="35"/>
        <v>49.110265183372839</v>
      </c>
      <c r="O37" s="473">
        <f t="shared" si="35"/>
        <v>38.192421323849203</v>
      </c>
      <c r="P37" s="473">
        <f t="shared" si="35"/>
        <v>50.074141753956738</v>
      </c>
      <c r="Q37" s="473">
        <f t="shared" si="35"/>
        <v>50.074141753956731</v>
      </c>
      <c r="R37" s="473">
        <f t="shared" si="35"/>
        <v>50.424030889211707</v>
      </c>
      <c r="S37" s="473">
        <f t="shared" si="35"/>
        <v>50.424030889211721</v>
      </c>
      <c r="T37" s="577" t="s">
        <v>5</v>
      </c>
      <c r="U37" s="581" t="s">
        <v>43</v>
      </c>
      <c r="V37" s="505" t="s">
        <v>65</v>
      </c>
    </row>
    <row r="38" spans="1:23">
      <c r="A38" s="483" t="s">
        <v>59</v>
      </c>
      <c r="B38" s="475" t="s">
        <v>18</v>
      </c>
      <c r="C38" s="408"/>
      <c r="D38" s="473">
        <f t="shared" ref="D38:S38" si="36">D8-D10</f>
        <v>206.57136491326568</v>
      </c>
      <c r="E38" s="473">
        <f t="shared" si="36"/>
        <v>207.10054046563198</v>
      </c>
      <c r="F38" s="473">
        <f t="shared" si="36"/>
        <v>192.95220959595957</v>
      </c>
      <c r="G38" s="473">
        <f t="shared" si="36"/>
        <v>208.51881720430111</v>
      </c>
      <c r="H38" s="473">
        <f t="shared" si="36"/>
        <v>207.99999999999994</v>
      </c>
      <c r="I38" s="473">
        <f t="shared" si="36"/>
        <v>137.6155913978495</v>
      </c>
      <c r="J38" s="473">
        <f t="shared" si="36"/>
        <v>208</v>
      </c>
      <c r="K38" s="473">
        <f t="shared" si="36"/>
        <v>190.03333333333333</v>
      </c>
      <c r="L38" s="473">
        <f t="shared" si="36"/>
        <v>151.64673882809203</v>
      </c>
      <c r="M38" s="473">
        <f t="shared" si="36"/>
        <v>212.00846883468836</v>
      </c>
      <c r="N38" s="473">
        <f t="shared" si="36"/>
        <v>206.88651761517619</v>
      </c>
      <c r="O38" s="473">
        <f t="shared" si="36"/>
        <v>189.21544715447158</v>
      </c>
      <c r="P38" s="473">
        <f t="shared" si="36"/>
        <v>189.21544715447152</v>
      </c>
      <c r="Q38" s="473">
        <f t="shared" si="36"/>
        <v>189.21544715447158</v>
      </c>
      <c r="R38" s="473">
        <f t="shared" si="36"/>
        <v>182.80081300813006</v>
      </c>
      <c r="S38" s="473">
        <f t="shared" si="36"/>
        <v>182.80081300813009</v>
      </c>
      <c r="T38" s="577" t="s">
        <v>5</v>
      </c>
      <c r="U38" s="581" t="s">
        <v>43</v>
      </c>
      <c r="V38" s="505" t="s">
        <v>66</v>
      </c>
    </row>
    <row r="39" spans="1:23">
      <c r="A39" s="477" t="s">
        <v>27</v>
      </c>
      <c r="B39" s="478" t="s">
        <v>18</v>
      </c>
      <c r="C39" s="479"/>
      <c r="D39" s="474">
        <f>D37+D38</f>
        <v>271.19165863732042</v>
      </c>
      <c r="E39" s="474">
        <f t="shared" ref="E39:P39" si="37">E37+E38</f>
        <v>267.3263469172449</v>
      </c>
      <c r="F39" s="474">
        <f t="shared" si="37"/>
        <v>248.08290882967606</v>
      </c>
      <c r="G39" s="474">
        <f t="shared" si="37"/>
        <v>258.67473118279571</v>
      </c>
      <c r="H39" s="474">
        <f t="shared" si="37"/>
        <v>256.79999999999995</v>
      </c>
      <c r="I39" s="474">
        <f t="shared" si="37"/>
        <v>191.5638318670577</v>
      </c>
      <c r="J39" s="474">
        <f t="shared" si="37"/>
        <v>258.10909090909092</v>
      </c>
      <c r="K39" s="474">
        <f t="shared" si="37"/>
        <v>241.12242424242424</v>
      </c>
      <c r="L39" s="474">
        <f t="shared" si="37"/>
        <v>202.71052172587008</v>
      </c>
      <c r="M39" s="474">
        <f t="shared" si="37"/>
        <v>259.77979373210661</v>
      </c>
      <c r="N39" s="474">
        <f t="shared" si="37"/>
        <v>255.99678279854902</v>
      </c>
      <c r="O39" s="474">
        <f t="shared" si="37"/>
        <v>227.40786847832078</v>
      </c>
      <c r="P39" s="474">
        <f t="shared" si="37"/>
        <v>239.28958890842824</v>
      </c>
      <c r="Q39" s="474">
        <f>Q37+Q38</f>
        <v>239.2895889084283</v>
      </c>
      <c r="R39" s="474">
        <f>R37+R38</f>
        <v>233.22484389734177</v>
      </c>
      <c r="S39" s="474">
        <f>S37+S38</f>
        <v>233.22484389734183</v>
      </c>
      <c r="T39" s="577" t="s">
        <v>5</v>
      </c>
      <c r="U39" s="581" t="s">
        <v>43</v>
      </c>
      <c r="V39" s="505" t="s">
        <v>67</v>
      </c>
    </row>
    <row r="40" spans="1:23">
      <c r="A40" s="477"/>
      <c r="B40" s="478"/>
      <c r="C40" s="479"/>
      <c r="D40" s="474"/>
      <c r="E40" s="474"/>
      <c r="F40" s="474"/>
      <c r="G40" s="474"/>
      <c r="H40" s="474"/>
      <c r="I40" s="474"/>
      <c r="J40" s="474"/>
      <c r="K40" s="474"/>
      <c r="L40" s="474"/>
      <c r="M40" s="474"/>
      <c r="N40" s="474"/>
      <c r="O40" s="474"/>
      <c r="P40" s="474"/>
      <c r="Q40" s="474"/>
      <c r="R40" s="474"/>
      <c r="S40" s="474"/>
      <c r="V40" s="532" t="s">
        <v>23</v>
      </c>
    </row>
    <row r="41" spans="1:23">
      <c r="A41" s="407" t="s">
        <v>68</v>
      </c>
      <c r="B41" s="478" t="s">
        <v>1</v>
      </c>
      <c r="C41" s="479"/>
      <c r="D41" s="480">
        <f t="shared" ref="D41:S41" si="38">D7-D35-D36-D27</f>
        <v>0</v>
      </c>
      <c r="E41" s="480">
        <f t="shared" si="38"/>
        <v>-7.9936057773011271E-15</v>
      </c>
      <c r="F41" s="480">
        <f t="shared" si="38"/>
        <v>1.9539925233402755E-14</v>
      </c>
      <c r="G41" s="480">
        <f t="shared" si="38"/>
        <v>-6.2172489379008766E-14</v>
      </c>
      <c r="H41" s="480">
        <f t="shared" si="38"/>
        <v>7.460698725481052E-14</v>
      </c>
      <c r="I41" s="480">
        <f t="shared" si="38"/>
        <v>0</v>
      </c>
      <c r="J41" s="480">
        <f t="shared" si="38"/>
        <v>1.9539925233402755E-14</v>
      </c>
      <c r="K41" s="480">
        <f t="shared" si="38"/>
        <v>2.6645352591003757E-14</v>
      </c>
      <c r="L41" s="480">
        <f t="shared" si="38"/>
        <v>-1.9539925233402755E-14</v>
      </c>
      <c r="M41" s="480">
        <f t="shared" si="38"/>
        <v>-2.6645352591003757E-14</v>
      </c>
      <c r="N41" s="480">
        <f t="shared" si="38"/>
        <v>-1.7763568394002505E-14</v>
      </c>
      <c r="O41" s="480">
        <f t="shared" si="38"/>
        <v>0</v>
      </c>
      <c r="P41" s="480">
        <f t="shared" si="38"/>
        <v>0</v>
      </c>
      <c r="Q41" s="480">
        <f t="shared" si="38"/>
        <v>-3.730349362740526E-14</v>
      </c>
      <c r="R41" s="480">
        <f t="shared" si="38"/>
        <v>2.3092638912203256E-14</v>
      </c>
      <c r="S41" s="480">
        <f t="shared" si="38"/>
        <v>-2.1316282072803006E-14</v>
      </c>
      <c r="T41" s="577" t="s">
        <v>5</v>
      </c>
      <c r="U41" s="581" t="s">
        <v>43</v>
      </c>
      <c r="V41" s="505" t="s">
        <v>69</v>
      </c>
    </row>
    <row r="42" spans="1:23">
      <c r="A42" s="407" t="s">
        <v>70</v>
      </c>
      <c r="B42" s="478" t="s">
        <v>1</v>
      </c>
      <c r="C42" s="479"/>
      <c r="D42" s="480"/>
      <c r="E42" s="474">
        <f t="shared" ref="E42:S42" si="39">E9-E27-E35</f>
        <v>0</v>
      </c>
      <c r="F42" s="474">
        <f t="shared" si="39"/>
        <v>0</v>
      </c>
      <c r="G42" s="474">
        <f t="shared" si="39"/>
        <v>0</v>
      </c>
      <c r="H42" s="474">
        <f t="shared" si="39"/>
        <v>0</v>
      </c>
      <c r="I42" s="474">
        <f t="shared" si="39"/>
        <v>0</v>
      </c>
      <c r="J42" s="474">
        <f t="shared" si="39"/>
        <v>0</v>
      </c>
      <c r="K42" s="474">
        <f t="shared" si="39"/>
        <v>0</v>
      </c>
      <c r="L42" s="474">
        <f t="shared" si="39"/>
        <v>0</v>
      </c>
      <c r="M42" s="474">
        <f t="shared" si="39"/>
        <v>0</v>
      </c>
      <c r="N42" s="474">
        <f t="shared" si="39"/>
        <v>0</v>
      </c>
      <c r="O42" s="474">
        <f t="shared" si="39"/>
        <v>0</v>
      </c>
      <c r="P42" s="474">
        <f t="shared" si="39"/>
        <v>0</v>
      </c>
      <c r="Q42" s="474">
        <f t="shared" si="39"/>
        <v>0</v>
      </c>
      <c r="R42" s="474">
        <f t="shared" si="39"/>
        <v>0</v>
      </c>
      <c r="S42" s="474">
        <f t="shared" si="39"/>
        <v>0</v>
      </c>
      <c r="T42" s="577" t="s">
        <v>5</v>
      </c>
      <c r="U42" s="581" t="s">
        <v>43</v>
      </c>
      <c r="V42" s="505" t="s">
        <v>71</v>
      </c>
    </row>
    <row r="43" spans="1:23">
      <c r="A43" s="477"/>
      <c r="B43" s="478"/>
      <c r="C43" s="479"/>
      <c r="D43" s="480"/>
      <c r="E43" s="474"/>
      <c r="F43" s="474"/>
      <c r="G43" s="474"/>
      <c r="H43" s="474"/>
      <c r="I43" s="474"/>
      <c r="J43" s="474"/>
      <c r="K43" s="474"/>
      <c r="L43" s="474"/>
      <c r="M43" s="474"/>
      <c r="N43" s="474"/>
      <c r="O43" s="474"/>
      <c r="P43" s="474"/>
      <c r="Q43" s="474"/>
      <c r="R43" s="474"/>
      <c r="S43" s="474"/>
      <c r="V43" s="410"/>
    </row>
    <row r="44" spans="1:23">
      <c r="A44" s="477"/>
      <c r="B44" s="478"/>
      <c r="C44" s="479"/>
      <c r="D44" s="480"/>
      <c r="E44" s="474"/>
      <c r="F44" s="474"/>
      <c r="G44" s="474"/>
      <c r="H44" s="474"/>
      <c r="I44" s="474"/>
      <c r="J44" s="474"/>
      <c r="K44" s="474"/>
      <c r="L44" s="474"/>
      <c r="M44" s="474"/>
      <c r="N44" s="474"/>
      <c r="O44" s="474"/>
      <c r="P44" s="474"/>
      <c r="Q44" s="474"/>
      <c r="R44" s="474"/>
      <c r="S44" s="474"/>
      <c r="V44" s="410"/>
    </row>
    <row r="48" spans="1:23">
      <c r="T48" t="s">
        <v>76</v>
      </c>
    </row>
    <row r="49" spans="19:20">
      <c r="T49" t="s">
        <v>78</v>
      </c>
    </row>
    <row r="50" spans="19:20">
      <c r="S50" t="s">
        <v>81</v>
      </c>
      <c r="T50" t="s">
        <v>87</v>
      </c>
    </row>
    <row r="51" spans="19:20">
      <c r="T51" s="512" t="s">
        <v>88</v>
      </c>
    </row>
    <row r="52" spans="19:20" ht="57">
      <c r="S52" t="s">
        <v>89</v>
      </c>
      <c r="T52" s="680" t="s">
        <v>90</v>
      </c>
    </row>
  </sheetData>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AW44"/>
  <sheetViews>
    <sheetView zoomScale="131" zoomScaleNormal="85" workbookViewId="0">
      <pane xSplit="2" ySplit="1" topLeftCell="Z2" activePane="bottomRight" state="frozen"/>
      <selection pane="bottomRight" activeCell="AI1" sqref="AI1:AI1048576"/>
      <selection pane="bottomLeft" activeCell="AE71" sqref="AE71"/>
      <selection pane="topRight" activeCell="AE71" sqref="AE71"/>
    </sheetView>
  </sheetViews>
  <sheetFormatPr defaultColWidth="8.5" defaultRowHeight="14.25"/>
  <cols>
    <col min="1" max="1" width="48.5" style="256" customWidth="1"/>
    <col min="2" max="2" width="8.5" style="20"/>
    <col min="3" max="15" width="9.125" style="256" hidden="1" customWidth="1"/>
    <col min="16" max="25" width="9.125" style="256" customWidth="1"/>
    <col min="26" max="34" width="8.5" style="256"/>
    <col min="35" max="35" width="9.125" style="256" bestFit="1" customWidth="1"/>
    <col min="36" max="36" width="8.5" style="256"/>
    <col min="37" max="37" width="9.125" style="256" bestFit="1" customWidth="1"/>
    <col min="38" max="16384" width="8.5" style="256"/>
  </cols>
  <sheetData>
    <row r="1" spans="1:42" s="238" customFormat="1" ht="15" thickBot="1">
      <c r="A1" s="235"/>
      <c r="B1" s="236" t="s">
        <v>14</v>
      </c>
      <c r="C1" s="237">
        <v>43801</v>
      </c>
      <c r="D1" s="237">
        <v>43832</v>
      </c>
      <c r="E1" s="237">
        <v>43863</v>
      </c>
      <c r="F1" s="237">
        <v>43892</v>
      </c>
      <c r="G1" s="237">
        <v>43923</v>
      </c>
      <c r="H1" s="237">
        <v>43953</v>
      </c>
      <c r="I1" s="237">
        <v>43984</v>
      </c>
      <c r="J1" s="237">
        <v>44014</v>
      </c>
      <c r="K1" s="237">
        <v>44045</v>
      </c>
      <c r="L1" s="237">
        <v>44076</v>
      </c>
      <c r="M1" s="237">
        <v>44106</v>
      </c>
      <c r="N1" s="237">
        <v>44137</v>
      </c>
      <c r="O1" s="237">
        <v>44167</v>
      </c>
      <c r="P1" s="237">
        <v>44198</v>
      </c>
      <c r="Q1" s="237">
        <v>44229</v>
      </c>
      <c r="R1" s="237">
        <v>44257</v>
      </c>
      <c r="S1" s="237">
        <v>44288</v>
      </c>
      <c r="T1" s="237">
        <v>44318</v>
      </c>
      <c r="U1" s="237">
        <v>44349</v>
      </c>
      <c r="V1" s="237">
        <v>44379</v>
      </c>
      <c r="W1" s="237">
        <v>44410</v>
      </c>
      <c r="X1" s="237">
        <v>44441</v>
      </c>
      <c r="Y1" s="237">
        <v>44471</v>
      </c>
      <c r="Z1" s="237">
        <v>44502</v>
      </c>
      <c r="AA1" s="237">
        <v>44532</v>
      </c>
      <c r="AB1" s="237">
        <v>44563</v>
      </c>
      <c r="AC1" s="237">
        <v>44594</v>
      </c>
      <c r="AD1" s="237">
        <v>44622</v>
      </c>
      <c r="AE1" s="237">
        <v>44653</v>
      </c>
      <c r="AF1" s="237">
        <v>44683</v>
      </c>
      <c r="AG1" s="582" t="s">
        <v>91</v>
      </c>
      <c r="AH1" s="582"/>
    </row>
    <row r="2" spans="1:42" s="238" customFormat="1">
      <c r="A2" s="239" t="s">
        <v>92</v>
      </c>
      <c r="B2" s="240"/>
      <c r="C2" s="241"/>
      <c r="D2" s="241"/>
    </row>
    <row r="3" spans="1:42" s="238" customFormat="1">
      <c r="A3" s="242" t="s">
        <v>93</v>
      </c>
      <c r="B3" s="243" t="s">
        <v>1</v>
      </c>
      <c r="C3" s="264">
        <f t="shared" ref="C3:T3" si="0">C4+C5+C6</f>
        <v>347.86</v>
      </c>
      <c r="D3" s="264">
        <f t="shared" si="0"/>
        <v>294.16699999999997</v>
      </c>
      <c r="E3" s="264">
        <f t="shared" si="0"/>
        <v>290.39999999999998</v>
      </c>
      <c r="F3" s="264">
        <f t="shared" si="0"/>
        <v>306.5</v>
      </c>
      <c r="G3" s="264">
        <f t="shared" si="0"/>
        <v>250.80099999999999</v>
      </c>
      <c r="H3" s="264">
        <f t="shared" si="0"/>
        <v>233</v>
      </c>
      <c r="I3" s="264">
        <f t="shared" si="0"/>
        <v>242.08</v>
      </c>
      <c r="J3" s="264">
        <f t="shared" si="0"/>
        <v>277.608</v>
      </c>
      <c r="K3" s="264">
        <f t="shared" si="0"/>
        <v>298.5</v>
      </c>
      <c r="L3" s="264">
        <f t="shared" si="0"/>
        <v>289</v>
      </c>
      <c r="M3" s="264">
        <f t="shared" si="0"/>
        <v>286.80200000000002</v>
      </c>
      <c r="N3" s="264">
        <f t="shared" si="0"/>
        <v>300.7</v>
      </c>
      <c r="O3" s="264">
        <f t="shared" si="0"/>
        <v>299.97700000000003</v>
      </c>
      <c r="P3" s="264">
        <f t="shared" si="0"/>
        <v>302.40185793868551</v>
      </c>
      <c r="Q3" s="264">
        <f t="shared" si="0"/>
        <v>308.34023227435034</v>
      </c>
      <c r="R3" s="264">
        <f t="shared" si="0"/>
        <v>322</v>
      </c>
      <c r="S3" s="264">
        <f t="shared" si="0"/>
        <v>296</v>
      </c>
      <c r="T3" s="264">
        <f t="shared" si="0"/>
        <v>324.8</v>
      </c>
      <c r="U3" s="264">
        <f t="shared" ref="U3:AB3" si="1">U4+U5+U6</f>
        <v>304.39553811073461</v>
      </c>
      <c r="V3" s="264">
        <f t="shared" si="1"/>
        <v>313.01</v>
      </c>
      <c r="W3" s="264">
        <f t="shared" si="1"/>
        <v>329.26</v>
      </c>
      <c r="X3" s="264">
        <f t="shared" si="1"/>
        <v>320.83999999999997</v>
      </c>
      <c r="Y3" s="264">
        <f t="shared" si="1"/>
        <v>305.34478840125394</v>
      </c>
      <c r="Z3" s="264">
        <f t="shared" si="1"/>
        <v>325.23456112852654</v>
      </c>
      <c r="AA3" s="264">
        <f t="shared" si="1"/>
        <v>317.94568965517243</v>
      </c>
      <c r="AB3" s="264">
        <f t="shared" si="1"/>
        <v>322.64568965517242</v>
      </c>
      <c r="AC3" s="264">
        <f t="shared" ref="AC3:AD3" si="2">AC4+AC5+AC6</f>
        <v>304.38965517241382</v>
      </c>
      <c r="AD3" s="264">
        <f t="shared" si="2"/>
        <v>319.64568965517242</v>
      </c>
      <c r="AE3" s="264">
        <f t="shared" ref="AE3" si="3">AE4+AE5+AE6</f>
        <v>310.56034482758628</v>
      </c>
      <c r="AF3" s="264">
        <f>AF4+AF5+AF6</f>
        <v>314.64568965517202</v>
      </c>
      <c r="AG3" s="264"/>
      <c r="AH3" s="264"/>
      <c r="AI3" s="534" t="s">
        <v>94</v>
      </c>
    </row>
    <row r="4" spans="1:42" s="238" customFormat="1">
      <c r="A4" s="244" t="s">
        <v>95</v>
      </c>
      <c r="B4" s="245" t="s">
        <v>1</v>
      </c>
      <c r="C4" s="265">
        <v>308.76</v>
      </c>
      <c r="D4" s="265">
        <f>'C3LPG'!M59</f>
        <v>274.16699999999997</v>
      </c>
      <c r="E4" s="265">
        <f>'C3LPG'!N59</f>
        <v>269</v>
      </c>
      <c r="F4" s="265">
        <f>'C3LPG'!O59</f>
        <v>299.5</v>
      </c>
      <c r="G4" s="265">
        <f>'C3LPG'!P59</f>
        <v>248.80099999999999</v>
      </c>
      <c r="H4" s="265">
        <f>'C3LPG'!Q59</f>
        <v>225</v>
      </c>
      <c r="I4" s="265">
        <f>'C3LPG'!R59</f>
        <v>238.5</v>
      </c>
      <c r="J4" s="265">
        <f>'C3LPG'!S59</f>
        <v>250.608</v>
      </c>
      <c r="K4" s="265">
        <f>'C3LPG'!T59</f>
        <v>270.3</v>
      </c>
      <c r="L4" s="265">
        <f>'C3LPG'!U59</f>
        <v>276</v>
      </c>
      <c r="M4" s="265">
        <f>'C3LPG'!V59</f>
        <v>279.80200000000002</v>
      </c>
      <c r="N4" s="265">
        <f>'C3LPG'!W59</f>
        <v>255.7</v>
      </c>
      <c r="O4" s="265">
        <f>'C3LPG'!X59</f>
        <v>267.7</v>
      </c>
      <c r="P4" s="265">
        <f>'C3LPG'!Y59</f>
        <v>277.40185793868551</v>
      </c>
      <c r="Q4" s="265">
        <f>'C3LPG'!Z59</f>
        <v>254.34023227435031</v>
      </c>
      <c r="R4" s="265">
        <f>'C3LPG'!AA59</f>
        <v>285</v>
      </c>
      <c r="S4" s="265">
        <f>'C3LPG'!AB59</f>
        <v>264.5</v>
      </c>
      <c r="T4" s="265">
        <f>'C3LPG'!AC59</f>
        <v>288.8</v>
      </c>
      <c r="U4" s="265">
        <f>'C3LPG'!AD59</f>
        <v>278.39553811073461</v>
      </c>
      <c r="V4" s="265">
        <f>'C3LPG'!AE59</f>
        <v>211.01</v>
      </c>
      <c r="W4" s="265">
        <f>'C3LPG'!AF59</f>
        <v>293.26</v>
      </c>
      <c r="X4" s="265">
        <f>'C3LPG'!AG59</f>
        <v>267.83999999999997</v>
      </c>
      <c r="Y4" s="265">
        <f>'C3LPG'!AH59</f>
        <v>255.34478840125394</v>
      </c>
      <c r="Z4" s="265">
        <f>'C3LPG'!AI59</f>
        <v>280.23456112852654</v>
      </c>
      <c r="AA4" s="265">
        <f>'C3LPG'!AJ59</f>
        <v>290.94568965517243</v>
      </c>
      <c r="AB4" s="265">
        <f>'C3LPG'!AK59</f>
        <v>281.64568965517242</v>
      </c>
      <c r="AC4" s="265">
        <f>'C3LPG'!AL59</f>
        <v>254.38965517241382</v>
      </c>
      <c r="AD4" s="265">
        <f>'C3LPG'!AM59</f>
        <v>281.64568965517242</v>
      </c>
      <c r="AE4" s="265">
        <f>'C3LPG'!AN59</f>
        <v>272.56034482758628</v>
      </c>
      <c r="AF4" s="265">
        <f>'C3LPG'!AO59</f>
        <v>281.64568965517202</v>
      </c>
      <c r="AG4" s="265"/>
      <c r="AH4" s="265"/>
      <c r="AI4" s="534" t="s">
        <v>96</v>
      </c>
      <c r="AP4" s="535"/>
    </row>
    <row r="5" spans="1:42" s="238" customFormat="1">
      <c r="A5" s="244" t="s">
        <v>97</v>
      </c>
      <c r="B5" s="245" t="s">
        <v>1</v>
      </c>
      <c r="C5" s="265">
        <v>25</v>
      </c>
      <c r="D5" s="265">
        <f>'C3LPG'!M61</f>
        <v>20</v>
      </c>
      <c r="E5" s="265">
        <f>'C3LPG'!N61</f>
        <v>18</v>
      </c>
      <c r="F5" s="265">
        <f>'C3LPG'!O61</f>
        <v>7</v>
      </c>
      <c r="G5" s="265">
        <f>'C3LPG'!P61</f>
        <v>2</v>
      </c>
      <c r="H5" s="265">
        <f>'C3LPG'!Q61</f>
        <v>6</v>
      </c>
      <c r="I5" s="265">
        <f>'C3LPG'!R61</f>
        <v>0</v>
      </c>
      <c r="J5" s="265">
        <f>'C3LPG'!S61</f>
        <v>4</v>
      </c>
      <c r="K5" s="265">
        <f>'C3LPG'!T61</f>
        <v>1.2</v>
      </c>
      <c r="L5" s="265">
        <f>'C3LPG'!U61</f>
        <v>0</v>
      </c>
      <c r="M5" s="265">
        <f>'C3LPG'!V61</f>
        <v>0</v>
      </c>
      <c r="N5" s="265">
        <f>'C3LPG'!W61</f>
        <v>13</v>
      </c>
      <c r="O5" s="265">
        <f>'C3LPG'!X61</f>
        <v>11.6</v>
      </c>
      <c r="P5" s="265">
        <f>'C3LPG'!Y61</f>
        <v>19</v>
      </c>
      <c r="Q5" s="265">
        <f>'C3LPG'!Z61</f>
        <v>15</v>
      </c>
      <c r="R5" s="265">
        <f>'C3LPG'!AA61</f>
        <v>0</v>
      </c>
      <c r="S5" s="265">
        <f>'C3LPG'!AB61</f>
        <v>2</v>
      </c>
      <c r="T5" s="265">
        <f>'C3LPG'!AC61</f>
        <v>0</v>
      </c>
      <c r="U5" s="265">
        <f>'C3LPG'!AD61</f>
        <v>0</v>
      </c>
      <c r="V5" s="265">
        <f>'C3LPG'!AE61</f>
        <v>0</v>
      </c>
      <c r="W5" s="265">
        <f>'C3LPG'!AF61</f>
        <v>0</v>
      </c>
      <c r="X5" s="265">
        <f>'C3LPG'!AG61</f>
        <v>0</v>
      </c>
      <c r="Y5" s="265">
        <f>'C3LPG'!AH61</f>
        <v>0</v>
      </c>
      <c r="Z5" s="265">
        <f>'C3LPG'!AI61</f>
        <v>0</v>
      </c>
      <c r="AA5" s="265">
        <f>'C3LPG'!AJ61</f>
        <v>0</v>
      </c>
      <c r="AB5" s="265">
        <f>'C3LPG'!AK61</f>
        <v>0</v>
      </c>
      <c r="AC5" s="265">
        <f>'C3LPG'!AL61</f>
        <v>0</v>
      </c>
      <c r="AD5" s="265">
        <f>'C3LPG'!AM61</f>
        <v>0</v>
      </c>
      <c r="AE5" s="265">
        <f>'C3LPG'!AN61</f>
        <v>0</v>
      </c>
      <c r="AF5" s="265">
        <f>'C3LPG'!AO61</f>
        <v>0</v>
      </c>
      <c r="AG5" s="265"/>
      <c r="AH5" s="265"/>
      <c r="AI5" s="534" t="s">
        <v>98</v>
      </c>
    </row>
    <row r="6" spans="1:42" s="238" customFormat="1">
      <c r="A6" s="244" t="s">
        <v>99</v>
      </c>
      <c r="B6" s="245" t="s">
        <v>1</v>
      </c>
      <c r="C6" s="265">
        <v>14.1</v>
      </c>
      <c r="D6" s="265">
        <f>'C3LPG'!M8</f>
        <v>0</v>
      </c>
      <c r="E6" s="265">
        <f>'C3LPG'!N8</f>
        <v>3.4</v>
      </c>
      <c r="F6" s="265">
        <f>'C3LPG'!O8</f>
        <v>0</v>
      </c>
      <c r="G6" s="265">
        <f>'C3LPG'!P8</f>
        <v>0</v>
      </c>
      <c r="H6" s="265">
        <f>'C3LPG'!Q8</f>
        <v>2</v>
      </c>
      <c r="I6" s="265">
        <f>'C3LPG'!R8</f>
        <v>3.58</v>
      </c>
      <c r="J6" s="265">
        <f>'C3LPG'!S8</f>
        <v>23</v>
      </c>
      <c r="K6" s="265">
        <f>'C3LPG'!T8</f>
        <v>27</v>
      </c>
      <c r="L6" s="265">
        <f>'C3LPG'!U8</f>
        <v>13</v>
      </c>
      <c r="M6" s="265">
        <f>'C3LPG'!V8</f>
        <v>7</v>
      </c>
      <c r="N6" s="265">
        <f>'C3LPG'!W8</f>
        <v>32</v>
      </c>
      <c r="O6" s="265">
        <f>'C3LPG'!X8</f>
        <v>20.677</v>
      </c>
      <c r="P6" s="265">
        <f>'C3LPG'!Y8</f>
        <v>6</v>
      </c>
      <c r="Q6" s="265">
        <f>'C3LPG'!Z8</f>
        <v>39</v>
      </c>
      <c r="R6" s="265">
        <f>'C3LPG'!AA8</f>
        <v>37</v>
      </c>
      <c r="S6" s="265">
        <f>'C3LPG'!AB8</f>
        <v>29.5</v>
      </c>
      <c r="T6" s="265">
        <f>'C3LPG'!AC8</f>
        <v>36</v>
      </c>
      <c r="U6" s="265">
        <f>'C3LPG'!AD8</f>
        <v>26</v>
      </c>
      <c r="V6" s="265">
        <f>'C3LPG'!AE8</f>
        <v>102</v>
      </c>
      <c r="W6" s="265">
        <f>'C3LPG'!AF8</f>
        <v>36</v>
      </c>
      <c r="X6" s="265">
        <f>'C3LPG'!AG8</f>
        <v>53</v>
      </c>
      <c r="Y6" s="265">
        <f>'C3LPG'!AH8</f>
        <v>50</v>
      </c>
      <c r="Z6" s="265">
        <f>'C3LPG'!AI8</f>
        <v>45</v>
      </c>
      <c r="AA6" s="265">
        <f>'C3LPG'!AJ8</f>
        <v>27</v>
      </c>
      <c r="AB6" s="265">
        <f>'C3LPG'!AK8</f>
        <v>41</v>
      </c>
      <c r="AC6" s="265">
        <f>'C3LPG'!AL8</f>
        <v>50</v>
      </c>
      <c r="AD6" s="265">
        <f>'C3LPG'!AM8</f>
        <v>38</v>
      </c>
      <c r="AE6" s="265">
        <f>'C3LPG'!AN8</f>
        <v>38</v>
      </c>
      <c r="AF6" s="265">
        <f>'C3LPG'!AO8</f>
        <v>33</v>
      </c>
      <c r="AG6" s="265"/>
      <c r="AH6" s="265"/>
      <c r="AI6" s="534" t="s">
        <v>100</v>
      </c>
    </row>
    <row r="7" spans="1:42" s="238" customFormat="1">
      <c r="A7" s="242" t="s">
        <v>101</v>
      </c>
      <c r="B7" s="243" t="s">
        <v>1</v>
      </c>
      <c r="C7" s="264">
        <f t="shared" ref="C7:AE7" si="4">+C8+C9+C13</f>
        <v>344.06112309999997</v>
      </c>
      <c r="D7" s="264">
        <f t="shared" si="4"/>
        <v>315.41329082000004</v>
      </c>
      <c r="E7" s="264">
        <f t="shared" si="4"/>
        <v>273.98145952999994</v>
      </c>
      <c r="F7" s="264">
        <f t="shared" si="4"/>
        <v>305.178</v>
      </c>
      <c r="G7" s="264">
        <f t="shared" si="4"/>
        <v>266.24</v>
      </c>
      <c r="H7" s="264">
        <f t="shared" si="4"/>
        <v>220.37659381</v>
      </c>
      <c r="I7" s="264">
        <f t="shared" si="4"/>
        <v>259.59017382000002</v>
      </c>
      <c r="J7" s="264">
        <f t="shared" si="4"/>
        <v>276.56</v>
      </c>
      <c r="K7" s="264">
        <f t="shared" si="4"/>
        <v>301.61236263736265</v>
      </c>
      <c r="L7" s="264">
        <f t="shared" si="4"/>
        <v>277.89999999999998</v>
      </c>
      <c r="M7" s="264">
        <f t="shared" si="4"/>
        <v>296.91999999999996</v>
      </c>
      <c r="N7" s="264">
        <f t="shared" si="4"/>
        <v>295.10240770999997</v>
      </c>
      <c r="O7" s="264">
        <f t="shared" si="4"/>
        <v>307.56399999999996</v>
      </c>
      <c r="P7" s="264">
        <f t="shared" si="4"/>
        <v>298.947</v>
      </c>
      <c r="Q7" s="264">
        <f t="shared" si="4"/>
        <v>302.78343945</v>
      </c>
      <c r="R7" s="264">
        <f t="shared" si="4"/>
        <v>326.94600000000003</v>
      </c>
      <c r="S7" s="264">
        <f t="shared" si="4"/>
        <v>296.59099999999995</v>
      </c>
      <c r="T7" s="264">
        <f t="shared" si="4"/>
        <v>342.22699999999998</v>
      </c>
      <c r="U7" s="264">
        <f t="shared" si="4"/>
        <v>319.60299999999995</v>
      </c>
      <c r="V7" s="264">
        <f t="shared" si="4"/>
        <v>305.07056137000001</v>
      </c>
      <c r="W7" s="264">
        <f t="shared" si="4"/>
        <v>331.67965578999997</v>
      </c>
      <c r="X7" s="264">
        <f t="shared" si="4"/>
        <v>321.15512603000002</v>
      </c>
      <c r="Y7" s="264">
        <f t="shared" si="4"/>
        <v>306.14515352999996</v>
      </c>
      <c r="Z7" s="264">
        <f t="shared" si="4"/>
        <v>325.73638481</v>
      </c>
      <c r="AA7" s="264">
        <f t="shared" si="4"/>
        <v>316.35826785</v>
      </c>
      <c r="AB7" s="264">
        <f t="shared" si="4"/>
        <v>322.40471331232879</v>
      </c>
      <c r="AC7" s="264">
        <f t="shared" si="4"/>
        <v>304.88027036178084</v>
      </c>
      <c r="AD7" s="264">
        <f t="shared" si="4"/>
        <v>319.39914868232881</v>
      </c>
      <c r="AE7" s="264">
        <f t="shared" si="4"/>
        <v>310.31380041547948</v>
      </c>
      <c r="AF7" s="264">
        <f>+AF8+AF9+AF13</f>
        <v>314.77859898232879</v>
      </c>
      <c r="AG7" s="264"/>
      <c r="AH7" s="264"/>
      <c r="AI7" s="534" t="s">
        <v>102</v>
      </c>
    </row>
    <row r="8" spans="1:42" s="238" customFormat="1">
      <c r="A8" s="244" t="s">
        <v>103</v>
      </c>
      <c r="B8" s="245" t="s">
        <v>1</v>
      </c>
      <c r="C8" s="265">
        <v>127.133</v>
      </c>
      <c r="D8" s="265">
        <f>'C3LPG'!M162</f>
        <v>109.81</v>
      </c>
      <c r="E8" s="265">
        <f>'C3LPG'!N162</f>
        <v>84.705999999999989</v>
      </c>
      <c r="F8" s="265">
        <f>'C3LPG'!O162</f>
        <v>119.328</v>
      </c>
      <c r="G8" s="265">
        <f>'C3LPG'!P162</f>
        <v>121.05</v>
      </c>
      <c r="H8" s="265">
        <f>'C3LPG'!Q162</f>
        <v>73.457999999999998</v>
      </c>
      <c r="I8" s="265">
        <f>'C3LPG'!R162</f>
        <v>99.144000000000005</v>
      </c>
      <c r="J8" s="265">
        <f>'C3LPG'!S162</f>
        <v>95.72999999999999</v>
      </c>
      <c r="K8" s="265">
        <f>'C3LPG'!T162</f>
        <v>108.71236263736263</v>
      </c>
      <c r="L8" s="265">
        <f>'C3LPG'!U162</f>
        <v>94.41</v>
      </c>
      <c r="M8" s="265">
        <f>'C3LPG'!V162</f>
        <v>97.06</v>
      </c>
      <c r="N8" s="265">
        <f>'C3LPG'!W162</f>
        <v>100.8</v>
      </c>
      <c r="O8" s="265">
        <f>'C3LPG'!X162</f>
        <v>112.874</v>
      </c>
      <c r="P8" s="265">
        <f>'C3LPG'!Y162</f>
        <v>114.867</v>
      </c>
      <c r="Q8" s="265">
        <f>'C3LPG'!Z162</f>
        <v>120.536</v>
      </c>
      <c r="R8" s="265">
        <f>'C3LPG'!AA162</f>
        <v>128.65600000000001</v>
      </c>
      <c r="S8" s="265">
        <f>'C3LPG'!AB162</f>
        <v>128.49099999999999</v>
      </c>
      <c r="T8" s="265">
        <f>'C3LPG'!AC162</f>
        <v>174.92699999999999</v>
      </c>
      <c r="U8" s="265">
        <f>'C3LPG'!AD162</f>
        <v>147.59300000000002</v>
      </c>
      <c r="V8" s="265">
        <f>'C3LPG'!AE162</f>
        <v>124.81700000000001</v>
      </c>
      <c r="W8" s="265">
        <f>'C3LPG'!AF162</f>
        <v>138.761</v>
      </c>
      <c r="X8" s="265">
        <f>'C3LPG'!AG162</f>
        <v>130.11700000000002</v>
      </c>
      <c r="Y8" s="265">
        <f>'C3LPG'!AH162</f>
        <v>113.414</v>
      </c>
      <c r="Z8" s="265">
        <f>'C3LPG'!AI162</f>
        <v>133.29500000000002</v>
      </c>
      <c r="AA8" s="265">
        <f>'C3LPG'!AJ162</f>
        <v>119.26600000000001</v>
      </c>
      <c r="AB8" s="265">
        <f>'C3LPG'!AK162</f>
        <v>125.89287671232877</v>
      </c>
      <c r="AC8" s="265">
        <f>'C3LPG'!AL162</f>
        <v>115.25808219178083</v>
      </c>
      <c r="AD8" s="265">
        <f>'C3LPG'!AM162</f>
        <v>125.89287671232877</v>
      </c>
      <c r="AE8" s="265">
        <f>'C3LPG'!AN162</f>
        <v>122.34794520547945</v>
      </c>
      <c r="AF8" s="265">
        <f>'C3LPG'!AO162</f>
        <v>125.89287671232877</v>
      </c>
      <c r="AG8" s="265"/>
      <c r="AH8" s="265"/>
      <c r="AI8" s="534" t="s">
        <v>104</v>
      </c>
    </row>
    <row r="9" spans="1:42" s="238" customFormat="1">
      <c r="A9" s="244" t="s">
        <v>105</v>
      </c>
      <c r="B9" s="245" t="s">
        <v>1</v>
      </c>
      <c r="C9" s="266">
        <f t="shared" ref="C9:M9" si="5">+C10+C11+C12</f>
        <v>216.92812309999997</v>
      </c>
      <c r="D9" s="266">
        <f t="shared" si="5"/>
        <v>205.60329082000001</v>
      </c>
      <c r="E9" s="266">
        <f t="shared" si="5"/>
        <v>195.24545953000001</v>
      </c>
      <c r="F9" s="266">
        <f t="shared" si="5"/>
        <v>180</v>
      </c>
      <c r="G9" s="266">
        <f t="shared" si="5"/>
        <v>145.19</v>
      </c>
      <c r="H9" s="266">
        <f t="shared" si="5"/>
        <v>146.91859381</v>
      </c>
      <c r="I9" s="266">
        <f t="shared" si="5"/>
        <v>160.44617381999998</v>
      </c>
      <c r="J9" s="266">
        <f t="shared" si="5"/>
        <v>180.83</v>
      </c>
      <c r="K9" s="266">
        <f t="shared" si="5"/>
        <v>192.9</v>
      </c>
      <c r="L9" s="266">
        <f t="shared" si="5"/>
        <v>188.49</v>
      </c>
      <c r="M9" s="266">
        <f t="shared" si="5"/>
        <v>199.85999999999999</v>
      </c>
      <c r="N9" s="266">
        <f t="shared" ref="N9:T9" si="6">+N10+N11+N12</f>
        <v>194.30240770999998</v>
      </c>
      <c r="O9" s="266">
        <f t="shared" si="6"/>
        <v>194.69</v>
      </c>
      <c r="P9" s="266">
        <f t="shared" si="6"/>
        <v>184.08</v>
      </c>
      <c r="Q9" s="266">
        <f t="shared" si="6"/>
        <v>182.24743945</v>
      </c>
      <c r="R9" s="266">
        <f t="shared" si="6"/>
        <v>198.29</v>
      </c>
      <c r="S9" s="266">
        <f t="shared" si="6"/>
        <v>168.09999999999997</v>
      </c>
      <c r="T9" s="266">
        <f t="shared" si="6"/>
        <v>170.29999999999995</v>
      </c>
      <c r="U9" s="266">
        <f t="shared" ref="U9:AB9" si="7">+U10+U11+U12</f>
        <v>172.00999999999996</v>
      </c>
      <c r="V9" s="266">
        <f t="shared" si="7"/>
        <v>180.25356137</v>
      </c>
      <c r="W9" s="266">
        <f t="shared" si="7"/>
        <v>192.91865579</v>
      </c>
      <c r="X9" s="266">
        <f t="shared" si="7"/>
        <v>191.03812603000003</v>
      </c>
      <c r="Y9" s="266">
        <f t="shared" si="7"/>
        <v>192.73115352999997</v>
      </c>
      <c r="Z9" s="266">
        <f t="shared" si="7"/>
        <v>192.44138480999999</v>
      </c>
      <c r="AA9" s="266">
        <f t="shared" si="7"/>
        <v>197.09226785000001</v>
      </c>
      <c r="AB9" s="266">
        <f t="shared" si="7"/>
        <v>196.51183660000001</v>
      </c>
      <c r="AC9" s="266">
        <f t="shared" ref="AC9:AD9" si="8">+AC10+AC11+AC12</f>
        <v>189.62218817000002</v>
      </c>
      <c r="AD9" s="266">
        <f t="shared" si="8"/>
        <v>193.50627197000003</v>
      </c>
      <c r="AE9" s="266">
        <f t="shared" ref="AE9" si="9">+AE10+AE11+AE12</f>
        <v>187.96585521</v>
      </c>
      <c r="AF9" s="266">
        <f>+AF10+AF11+AF12</f>
        <v>188.88572227</v>
      </c>
      <c r="AG9" s="266"/>
      <c r="AH9" s="266"/>
      <c r="AI9" s="534" t="s">
        <v>106</v>
      </c>
    </row>
    <row r="10" spans="1:42" s="238" customFormat="1">
      <c r="A10" s="246" t="s">
        <v>107</v>
      </c>
      <c r="B10" s="247" t="s">
        <v>1</v>
      </c>
      <c r="C10" s="265">
        <v>24.62</v>
      </c>
      <c r="D10" s="265">
        <f>'C3LPG'!M166</f>
        <v>22.66</v>
      </c>
      <c r="E10" s="265">
        <f>'C3LPG'!N166</f>
        <v>18.09</v>
      </c>
      <c r="F10" s="265">
        <f>'C3LPG'!O166</f>
        <v>17.23</v>
      </c>
      <c r="G10" s="265">
        <f>'C3LPG'!P166</f>
        <v>11.25</v>
      </c>
      <c r="H10" s="265">
        <f>'C3LPG'!Q166</f>
        <v>12.100000000000001</v>
      </c>
      <c r="I10" s="265">
        <f>'C3LPG'!R166</f>
        <v>17.88</v>
      </c>
      <c r="J10" s="265">
        <f>'C3LPG'!S166</f>
        <v>23.200000000000003</v>
      </c>
      <c r="K10" s="265">
        <f>'C3LPG'!T166</f>
        <v>31.1</v>
      </c>
      <c r="L10" s="265">
        <f>'C3LPG'!U166</f>
        <v>28.200000000000003</v>
      </c>
      <c r="M10" s="265">
        <f>'C3LPG'!V166</f>
        <v>31.5</v>
      </c>
      <c r="N10" s="265">
        <f>'C3LPG'!W166</f>
        <v>32.200000000000003</v>
      </c>
      <c r="O10" s="265">
        <f>'C3LPG'!X166</f>
        <v>30.77</v>
      </c>
      <c r="P10" s="265">
        <f>'C3LPG'!Y166</f>
        <v>26.55</v>
      </c>
      <c r="Q10" s="265">
        <f>'C3LPG'!Z166</f>
        <v>32.519999999999996</v>
      </c>
      <c r="R10" s="265">
        <f>'C3LPG'!AA166</f>
        <v>34.83</v>
      </c>
      <c r="S10" s="265">
        <f>'C3LPG'!AB166</f>
        <v>29.07</v>
      </c>
      <c r="T10" s="265">
        <f>'C3LPG'!AC166</f>
        <v>28.019999999999996</v>
      </c>
      <c r="U10" s="265">
        <f>'C3LPG'!AD166</f>
        <v>27.019999999999996</v>
      </c>
      <c r="V10" s="265">
        <f>'C3LPG'!AE166</f>
        <v>28.58</v>
      </c>
      <c r="W10" s="265">
        <f>'C3LPG'!AF166</f>
        <v>30.68</v>
      </c>
      <c r="X10" s="265">
        <f>'C3LPG'!AG166</f>
        <v>30.68</v>
      </c>
      <c r="Y10" s="265">
        <f>'C3LPG'!AH166</f>
        <v>30.68</v>
      </c>
      <c r="Z10" s="265">
        <f>'C3LPG'!AI166</f>
        <v>30.68</v>
      </c>
      <c r="AA10" s="265">
        <f>'C3LPG'!AJ166</f>
        <v>30.68</v>
      </c>
      <c r="AB10" s="265">
        <f>'C3LPG'!AK166</f>
        <v>30.68</v>
      </c>
      <c r="AC10" s="265">
        <f>'C3LPG'!AL166</f>
        <v>30.68</v>
      </c>
      <c r="AD10" s="265">
        <f>'C3LPG'!AM166</f>
        <v>30.68</v>
      </c>
      <c r="AE10" s="265">
        <f>'C3LPG'!AN166</f>
        <v>30.68</v>
      </c>
      <c r="AF10" s="265">
        <f>'C3LPG'!AO166</f>
        <v>30.68</v>
      </c>
      <c r="AG10" s="265"/>
      <c r="AH10" s="265"/>
      <c r="AI10" s="534" t="s">
        <v>108</v>
      </c>
    </row>
    <row r="11" spans="1:42" s="238" customFormat="1">
      <c r="A11" s="246" t="s">
        <v>109</v>
      </c>
      <c r="B11" s="247" t="s">
        <v>1</v>
      </c>
      <c r="C11" s="265">
        <v>191.20567744999997</v>
      </c>
      <c r="D11" s="265">
        <f>'C3LPG'!M167</f>
        <v>181.64329082</v>
      </c>
      <c r="E11" s="265">
        <f>'C3LPG'!N167</f>
        <v>175.59545953</v>
      </c>
      <c r="F11" s="265">
        <f>'C3LPG'!O167</f>
        <v>161.47</v>
      </c>
      <c r="G11" s="265">
        <f>'C3LPG'!P167</f>
        <v>132.49</v>
      </c>
      <c r="H11" s="265">
        <f>'C3LPG'!Q167</f>
        <v>133.46</v>
      </c>
      <c r="I11" s="265">
        <f>'C3LPG'!R167</f>
        <v>141.44</v>
      </c>
      <c r="J11" s="265">
        <f>'C3LPG'!S167</f>
        <v>156.22999999999999</v>
      </c>
      <c r="K11" s="265">
        <f>'C3LPG'!T167</f>
        <v>160.78</v>
      </c>
      <c r="L11" s="265">
        <f>'C3LPG'!U167</f>
        <v>158.84</v>
      </c>
      <c r="M11" s="265">
        <f>'C3LPG'!V167</f>
        <v>166.91</v>
      </c>
      <c r="N11" s="265">
        <f>'C3LPG'!W167</f>
        <v>160.70240770999999</v>
      </c>
      <c r="O11" s="265">
        <f>'C3LPG'!X167</f>
        <v>162.72</v>
      </c>
      <c r="P11" s="265">
        <f>'C3LPG'!Y167</f>
        <v>156.13</v>
      </c>
      <c r="Q11" s="265">
        <f>'C3LPG'!Z167</f>
        <v>148.42743945000001</v>
      </c>
      <c r="R11" s="265">
        <f>'C3LPG'!AA167</f>
        <v>162.11000000000001</v>
      </c>
      <c r="S11" s="265">
        <f>'C3LPG'!AB167</f>
        <v>137.82999999999998</v>
      </c>
      <c r="T11" s="265">
        <f>'C3LPG'!AC167</f>
        <v>140.82999999999998</v>
      </c>
      <c r="U11" s="265">
        <f>'C3LPG'!AD167</f>
        <v>143.88999999999999</v>
      </c>
      <c r="V11" s="265">
        <f>'C3LPG'!AE167</f>
        <v>150.47356137</v>
      </c>
      <c r="W11" s="265">
        <f>'C3LPG'!AF167</f>
        <v>160.83865578999999</v>
      </c>
      <c r="X11" s="265">
        <f>'C3LPG'!AG167</f>
        <v>158.95812603000002</v>
      </c>
      <c r="Y11" s="265">
        <f>'C3LPG'!AH167</f>
        <v>160.70115352999997</v>
      </c>
      <c r="Z11" s="265">
        <f>'C3LPG'!AI167</f>
        <v>160.56138480999999</v>
      </c>
      <c r="AA11" s="265">
        <f>'C3LPG'!AJ167</f>
        <v>165.26226785</v>
      </c>
      <c r="AB11" s="265">
        <f>'C3LPG'!AK167</f>
        <v>164.8318366</v>
      </c>
      <c r="AC11" s="265">
        <f>'C3LPG'!AL167</f>
        <v>157.89218817</v>
      </c>
      <c r="AD11" s="265">
        <f>'C3LPG'!AM167</f>
        <v>161.77627197000001</v>
      </c>
      <c r="AE11" s="265">
        <f>'C3LPG'!AN167</f>
        <v>156.28585520999999</v>
      </c>
      <c r="AF11" s="265">
        <f>'C3LPG'!AO167</f>
        <v>157.00572227000001</v>
      </c>
      <c r="AG11" s="265"/>
      <c r="AH11" s="265"/>
      <c r="AI11" s="534" t="s">
        <v>110</v>
      </c>
    </row>
    <row r="12" spans="1:42" s="238" customFormat="1">
      <c r="A12" s="246" t="s">
        <v>111</v>
      </c>
      <c r="B12" s="247" t="s">
        <v>1</v>
      </c>
      <c r="C12" s="265">
        <v>1.1024456499999999</v>
      </c>
      <c r="D12" s="265">
        <f>'C3LPG'!M168</f>
        <v>1.3</v>
      </c>
      <c r="E12" s="265">
        <f>'C3LPG'!N168</f>
        <v>1.56</v>
      </c>
      <c r="F12" s="265">
        <f>'C3LPG'!O168</f>
        <v>1.3</v>
      </c>
      <c r="G12" s="265">
        <f>'C3LPG'!P168</f>
        <v>1.45</v>
      </c>
      <c r="H12" s="265">
        <f>'C3LPG'!Q168</f>
        <v>1.3585938099999999</v>
      </c>
      <c r="I12" s="265">
        <f>'C3LPG'!R168</f>
        <v>1.12617382</v>
      </c>
      <c r="J12" s="265">
        <f>'C3LPG'!S168</f>
        <v>1.4</v>
      </c>
      <c r="K12" s="265">
        <f>'C3LPG'!T168</f>
        <v>1.02</v>
      </c>
      <c r="L12" s="265">
        <f>'C3LPG'!U168</f>
        <v>1.45</v>
      </c>
      <c r="M12" s="265">
        <f>'C3LPG'!V168</f>
        <v>1.4500000000000002</v>
      </c>
      <c r="N12" s="265">
        <f>'C3LPG'!W168</f>
        <v>1.4</v>
      </c>
      <c r="O12" s="265">
        <f>'C3LPG'!X168</f>
        <v>1.2</v>
      </c>
      <c r="P12" s="265">
        <f>'C3LPG'!Y168</f>
        <v>1.4</v>
      </c>
      <c r="Q12" s="265">
        <f>'C3LPG'!Z168</f>
        <v>1.2999999999999998</v>
      </c>
      <c r="R12" s="265">
        <f>'C3LPG'!AA168</f>
        <v>1.35</v>
      </c>
      <c r="S12" s="265">
        <f>'C3LPG'!AB168</f>
        <v>1.2</v>
      </c>
      <c r="T12" s="265">
        <f>'C3LPG'!AC168</f>
        <v>1.45</v>
      </c>
      <c r="U12" s="265">
        <f>'C3LPG'!AD168</f>
        <v>1.1000000000000001</v>
      </c>
      <c r="V12" s="265">
        <f>'C3LPG'!AE168</f>
        <v>1.2</v>
      </c>
      <c r="W12" s="265">
        <f>'C3LPG'!AF168</f>
        <v>1.4</v>
      </c>
      <c r="X12" s="265">
        <f>'C3LPG'!AG168</f>
        <v>1.4</v>
      </c>
      <c r="Y12" s="265">
        <f>'C3LPG'!AH168</f>
        <v>1.35</v>
      </c>
      <c r="Z12" s="265">
        <f>'C3LPG'!AI168</f>
        <v>1.2</v>
      </c>
      <c r="AA12" s="265">
        <f>'C3LPG'!AJ168</f>
        <v>1.1499999999999999</v>
      </c>
      <c r="AB12" s="265">
        <f>'C3LPG'!AK168</f>
        <v>1</v>
      </c>
      <c r="AC12" s="265">
        <f>'C3LPG'!AL168</f>
        <v>1.05</v>
      </c>
      <c r="AD12" s="265">
        <f>'C3LPG'!AM168</f>
        <v>1.05</v>
      </c>
      <c r="AE12" s="265">
        <f>'C3LPG'!AN168</f>
        <v>1</v>
      </c>
      <c r="AF12" s="265">
        <f>'C3LPG'!AO168</f>
        <v>1.2</v>
      </c>
      <c r="AG12" s="265"/>
      <c r="AH12" s="265"/>
      <c r="AI12" s="534" t="s">
        <v>112</v>
      </c>
    </row>
    <row r="13" spans="1:42" s="238" customFormat="1">
      <c r="A13" s="244" t="s">
        <v>113</v>
      </c>
      <c r="B13" s="245" t="s">
        <v>1</v>
      </c>
      <c r="C13" s="265"/>
      <c r="D13" s="265">
        <f>'C3LPG'!M9</f>
        <v>0</v>
      </c>
      <c r="E13" s="265">
        <f>'C3LPG'!N9</f>
        <v>-5.97</v>
      </c>
      <c r="F13" s="265">
        <f>'C3LPG'!O9</f>
        <v>5.85</v>
      </c>
      <c r="G13" s="265">
        <f>'C3LPG'!P9</f>
        <v>0</v>
      </c>
      <c r="H13" s="265">
        <f>'C3LPG'!Q9</f>
        <v>0</v>
      </c>
      <c r="I13" s="265">
        <f>'C3LPG'!R9</f>
        <v>0</v>
      </c>
      <c r="J13" s="265">
        <f>'C3LPG'!S9</f>
        <v>0</v>
      </c>
      <c r="K13" s="265">
        <f>'C3LPG'!T9</f>
        <v>0</v>
      </c>
      <c r="L13" s="265">
        <f>'C3LPG'!U9</f>
        <v>-5</v>
      </c>
      <c r="M13" s="265">
        <f>'C3LPG'!V9</f>
        <v>0</v>
      </c>
      <c r="N13" s="265">
        <f>'C3LPG'!W9</f>
        <v>0</v>
      </c>
      <c r="O13" s="265">
        <f>'C3LPG'!X9</f>
        <v>0</v>
      </c>
      <c r="P13" s="265">
        <f>'C3LPG'!Y9</f>
        <v>0</v>
      </c>
      <c r="Q13" s="265">
        <f>'C3LPG'!Z9</f>
        <v>0</v>
      </c>
      <c r="R13" s="265">
        <f>'C3LPG'!AA9</f>
        <v>0</v>
      </c>
      <c r="S13" s="265">
        <f>'C3LPG'!AB9</f>
        <v>0</v>
      </c>
      <c r="T13" s="265">
        <f>'C3LPG'!AC9</f>
        <v>-3</v>
      </c>
      <c r="U13" s="265">
        <f>'C3LPG'!AD9</f>
        <v>0</v>
      </c>
      <c r="V13" s="265">
        <f>'C3LPG'!AE9</f>
        <v>0</v>
      </c>
      <c r="W13" s="265">
        <f>'C3LPG'!AF9</f>
        <v>0</v>
      </c>
      <c r="X13" s="265">
        <f>'C3LPG'!AG9</f>
        <v>0</v>
      </c>
      <c r="Y13" s="265">
        <f>'C3LPG'!AH9</f>
        <v>0</v>
      </c>
      <c r="Z13" s="265">
        <f>'C3LPG'!AI9</f>
        <v>0</v>
      </c>
      <c r="AA13" s="265">
        <f>'C3LPG'!AJ9</f>
        <v>0</v>
      </c>
      <c r="AB13" s="265">
        <f>'C3LPG'!AK9</f>
        <v>0</v>
      </c>
      <c r="AC13" s="265">
        <f>'C3LPG'!AL9</f>
        <v>0</v>
      </c>
      <c r="AD13" s="265">
        <f>'C3LPG'!AM9</f>
        <v>0</v>
      </c>
      <c r="AE13" s="265">
        <f>'C3LPG'!AN9</f>
        <v>0</v>
      </c>
      <c r="AF13" s="265">
        <f>'C3LPG'!AO9</f>
        <v>0</v>
      </c>
      <c r="AG13" s="265"/>
      <c r="AH13" s="265"/>
      <c r="AI13" s="534" t="s">
        <v>114</v>
      </c>
    </row>
    <row r="14" spans="1:42" s="238" customFormat="1">
      <c r="A14" s="248" t="s">
        <v>115</v>
      </c>
      <c r="B14" s="249" t="s">
        <v>1</v>
      </c>
      <c r="C14" s="267">
        <v>31.888097230590823</v>
      </c>
      <c r="D14" s="267">
        <f>'C3LPG'!M2</f>
        <v>16.827883907470703</v>
      </c>
      <c r="E14" s="267">
        <f>'C3LPG'!N2</f>
        <v>36.020527630224606</v>
      </c>
      <c r="F14" s="267">
        <f>'C3LPG'!O2</f>
        <v>33.684161457519529</v>
      </c>
      <c r="G14" s="267">
        <f>'C3LPG'!P2</f>
        <v>18.635842199999999</v>
      </c>
      <c r="H14" s="267">
        <f>'C3LPG'!Q2</f>
        <v>29.542833899999998</v>
      </c>
      <c r="I14" s="267">
        <f>'C3LPG'!R2</f>
        <v>14.458839999999999</v>
      </c>
      <c r="J14" s="267">
        <f>'C3LPG'!S2</f>
        <v>18.007720000000003</v>
      </c>
      <c r="K14" s="267">
        <f>'C3LPG'!T2</f>
        <v>15.124660000000002</v>
      </c>
      <c r="L14" s="267">
        <f>'C3LPG'!U2</f>
        <v>26.696860000000001</v>
      </c>
      <c r="M14" s="267">
        <f>'C3LPG'!V2</f>
        <v>14.437240000000001</v>
      </c>
      <c r="N14" s="267">
        <f>'C3LPG'!W2</f>
        <v>22.420850699999999</v>
      </c>
      <c r="O14" s="267">
        <f>'C3LPG'!X2</f>
        <v>18.055042360000002</v>
      </c>
      <c r="P14" s="267">
        <f>'C3LPG'!Y2</f>
        <v>24.4024</v>
      </c>
      <c r="Q14" s="267">
        <f>'C3LPG'!Z2</f>
        <v>28.877920000000003</v>
      </c>
      <c r="R14" s="267">
        <f>'C3LPG'!AA2</f>
        <v>23.042922528000002</v>
      </c>
      <c r="S14" s="267">
        <f>'C3LPG'!AB2</f>
        <v>33.906688200000005</v>
      </c>
      <c r="T14" s="267">
        <f>'C3LPG'!AC2</f>
        <v>33.479688200000055</v>
      </c>
      <c r="U14" s="267">
        <f>'C3LPG'!AD2</f>
        <v>18.272226310734716</v>
      </c>
      <c r="V14" s="267">
        <f>'C3LPG'!AE2</f>
        <v>26.211664940734686</v>
      </c>
      <c r="W14" s="267">
        <f>'C3LPG'!AF2</f>
        <v>23.792009150734636</v>
      </c>
      <c r="X14" s="267">
        <f>'C3LPG'!AG2</f>
        <v>23.47688312073462</v>
      </c>
      <c r="Y14" s="267">
        <f>'C3LPG'!AH2</f>
        <v>22.676517991988568</v>
      </c>
      <c r="Z14" s="267">
        <f>'C3LPG'!AI2</f>
        <v>22.174694310515129</v>
      </c>
      <c r="AA14" s="267">
        <f>'C3LPG'!AJ2</f>
        <v>23.762116115687498</v>
      </c>
      <c r="AB14" s="267">
        <f>'C3LPG'!AK2</f>
        <v>24.00309245853115</v>
      </c>
      <c r="AC14" s="267">
        <f>'C3LPG'!AL2</f>
        <v>23.512477269164201</v>
      </c>
      <c r="AD14" s="267">
        <f>'C3LPG'!AM2</f>
        <v>23.759018242007848</v>
      </c>
      <c r="AE14" s="267">
        <f>'C3LPG'!AN2</f>
        <v>24.005562654114676</v>
      </c>
      <c r="AF14" s="267">
        <f>'C3LPG'!AO2</f>
        <v>23.872653326957909</v>
      </c>
      <c r="AG14" s="267"/>
      <c r="AH14" s="267"/>
      <c r="AI14" s="534" t="s">
        <v>116</v>
      </c>
    </row>
    <row r="15" spans="1:42" s="238" customFormat="1">
      <c r="A15" s="239" t="s">
        <v>117</v>
      </c>
      <c r="B15" s="240"/>
      <c r="C15" s="268"/>
      <c r="D15" s="268"/>
      <c r="E15" s="269"/>
      <c r="F15" s="269"/>
      <c r="G15" s="269"/>
      <c r="H15" s="269"/>
      <c r="I15" s="269"/>
      <c r="J15" s="269"/>
      <c r="K15" s="269"/>
      <c r="L15" s="269"/>
      <c r="M15" s="269"/>
      <c r="N15" s="269"/>
      <c r="O15" s="269"/>
      <c r="P15" s="269"/>
      <c r="Q15" s="269"/>
      <c r="R15" s="269"/>
      <c r="S15" s="269"/>
      <c r="T15" s="269"/>
      <c r="U15" s="269"/>
      <c r="V15" s="269"/>
      <c r="W15" s="269"/>
      <c r="X15" s="269"/>
      <c r="Y15" s="269"/>
      <c r="Z15" s="269"/>
      <c r="AA15" s="269"/>
      <c r="AB15" s="269"/>
      <c r="AC15" s="269"/>
      <c r="AD15" s="269"/>
      <c r="AE15" s="269"/>
      <c r="AF15" s="269"/>
      <c r="AG15" s="269"/>
      <c r="AH15" s="269"/>
    </row>
    <row r="16" spans="1:42" s="238" customFormat="1">
      <c r="A16" s="242" t="s">
        <v>93</v>
      </c>
      <c r="B16" s="251" t="s">
        <v>1</v>
      </c>
      <c r="C16" s="270">
        <f>+C17+C18</f>
        <v>223.30567744999996</v>
      </c>
      <c r="D16" s="270">
        <f>+D17+D18</f>
        <v>200.24329082</v>
      </c>
      <c r="E16" s="270">
        <f t="shared" ref="E16:T16" si="10">+E17+E18</f>
        <v>192.49545953000001</v>
      </c>
      <c r="F16" s="270">
        <f t="shared" si="10"/>
        <v>165.27</v>
      </c>
      <c r="G16" s="270">
        <f t="shared" si="10"/>
        <v>146.49</v>
      </c>
      <c r="H16" s="270">
        <f t="shared" si="10"/>
        <v>143.36000000000001</v>
      </c>
      <c r="I16" s="270">
        <f t="shared" si="10"/>
        <v>157.91999999999999</v>
      </c>
      <c r="J16" s="270">
        <f t="shared" si="10"/>
        <v>192.73</v>
      </c>
      <c r="K16" s="270">
        <f t="shared" si="10"/>
        <v>201.28</v>
      </c>
      <c r="L16" s="270">
        <f t="shared" si="10"/>
        <v>182.34</v>
      </c>
      <c r="M16" s="270">
        <f t="shared" si="10"/>
        <v>184.81</v>
      </c>
      <c r="N16" s="270">
        <f t="shared" si="10"/>
        <v>203.20240770999999</v>
      </c>
      <c r="O16" s="270">
        <f t="shared" si="10"/>
        <v>193.09700000000001</v>
      </c>
      <c r="P16" s="270">
        <f t="shared" si="10"/>
        <v>168.63</v>
      </c>
      <c r="Q16" s="270">
        <f t="shared" si="10"/>
        <v>193.92743945000001</v>
      </c>
      <c r="R16" s="270">
        <f t="shared" si="10"/>
        <v>202.96</v>
      </c>
      <c r="S16" s="270">
        <f t="shared" si="10"/>
        <v>170.82999999999998</v>
      </c>
      <c r="T16" s="270">
        <f t="shared" si="10"/>
        <v>177.88</v>
      </c>
      <c r="U16" s="270">
        <f t="shared" ref="U16:AB16" si="11">+U17+U18</f>
        <v>172.48999999999998</v>
      </c>
      <c r="V16" s="270">
        <f t="shared" si="11"/>
        <v>254.57356136999999</v>
      </c>
      <c r="W16" s="270">
        <f t="shared" si="11"/>
        <v>198.93865578999998</v>
      </c>
      <c r="X16" s="270">
        <f t="shared" si="11"/>
        <v>214.05812603000001</v>
      </c>
      <c r="Y16" s="270">
        <f t="shared" si="11"/>
        <v>213.10115352999998</v>
      </c>
      <c r="Z16" s="270">
        <f t="shared" si="11"/>
        <v>207.96138481</v>
      </c>
      <c r="AA16" s="270">
        <f t="shared" si="11"/>
        <v>194.66226785000001</v>
      </c>
      <c r="AB16" s="270">
        <f t="shared" si="11"/>
        <v>208.23183660000001</v>
      </c>
      <c r="AC16" s="270">
        <f t="shared" ref="AC16:AD16" si="12">+AC17+AC18</f>
        <v>210.29218817</v>
      </c>
      <c r="AD16" s="270">
        <f t="shared" si="12"/>
        <v>202.17627197000002</v>
      </c>
      <c r="AE16" s="270">
        <f t="shared" ref="AE16" si="13">+AE17+AE18</f>
        <v>196.68585521</v>
      </c>
      <c r="AF16" s="270">
        <f>+AF17+AF18</f>
        <v>192.40572227000001</v>
      </c>
      <c r="AG16" s="270"/>
      <c r="AH16" s="270"/>
      <c r="AI16" s="534" t="s">
        <v>118</v>
      </c>
    </row>
    <row r="17" spans="1:49" s="238" customFormat="1">
      <c r="A17" s="244" t="s">
        <v>119</v>
      </c>
      <c r="B17" s="245" t="s">
        <v>1</v>
      </c>
      <c r="C17" s="266">
        <f>+C11</f>
        <v>191.20567744999997</v>
      </c>
      <c r="D17" s="266">
        <f t="shared" ref="D17:T17" si="14">+D11</f>
        <v>181.64329082</v>
      </c>
      <c r="E17" s="266">
        <f t="shared" si="14"/>
        <v>175.59545953</v>
      </c>
      <c r="F17" s="266">
        <f t="shared" si="14"/>
        <v>161.47</v>
      </c>
      <c r="G17" s="266">
        <f t="shared" si="14"/>
        <v>132.49</v>
      </c>
      <c r="H17" s="266">
        <f t="shared" si="14"/>
        <v>133.46</v>
      </c>
      <c r="I17" s="266">
        <f t="shared" si="14"/>
        <v>141.44</v>
      </c>
      <c r="J17" s="266">
        <f t="shared" si="14"/>
        <v>156.22999999999999</v>
      </c>
      <c r="K17" s="266">
        <f t="shared" si="14"/>
        <v>160.78</v>
      </c>
      <c r="L17" s="266">
        <f t="shared" si="14"/>
        <v>158.84</v>
      </c>
      <c r="M17" s="266">
        <f t="shared" si="14"/>
        <v>166.91</v>
      </c>
      <c r="N17" s="266">
        <f t="shared" si="14"/>
        <v>160.70240770999999</v>
      </c>
      <c r="O17" s="266">
        <f t="shared" si="14"/>
        <v>162.72</v>
      </c>
      <c r="P17" s="266">
        <f t="shared" si="14"/>
        <v>156.13</v>
      </c>
      <c r="Q17" s="266">
        <f t="shared" si="14"/>
        <v>148.42743945000001</v>
      </c>
      <c r="R17" s="266">
        <f t="shared" si="14"/>
        <v>162.11000000000001</v>
      </c>
      <c r="S17" s="266">
        <f t="shared" si="14"/>
        <v>137.82999999999998</v>
      </c>
      <c r="T17" s="266">
        <f t="shared" si="14"/>
        <v>140.82999999999998</v>
      </c>
      <c r="U17" s="266">
        <f t="shared" ref="U17:AB17" si="15">+U11</f>
        <v>143.88999999999999</v>
      </c>
      <c r="V17" s="266">
        <f t="shared" si="15"/>
        <v>150.47356137</v>
      </c>
      <c r="W17" s="266">
        <f t="shared" si="15"/>
        <v>160.83865578999999</v>
      </c>
      <c r="X17" s="266">
        <f t="shared" si="15"/>
        <v>158.95812603000002</v>
      </c>
      <c r="Y17" s="266">
        <f t="shared" si="15"/>
        <v>160.70115352999997</v>
      </c>
      <c r="Z17" s="266">
        <f t="shared" si="15"/>
        <v>160.56138480999999</v>
      </c>
      <c r="AA17" s="266">
        <f t="shared" si="15"/>
        <v>165.26226785</v>
      </c>
      <c r="AB17" s="266">
        <f t="shared" si="15"/>
        <v>164.8318366</v>
      </c>
      <c r="AC17" s="266">
        <f t="shared" ref="AC17:AD17" si="16">+AC11</f>
        <v>157.89218817</v>
      </c>
      <c r="AD17" s="266">
        <f t="shared" si="16"/>
        <v>161.77627197000001</v>
      </c>
      <c r="AE17" s="266">
        <f t="shared" ref="AE17" si="17">+AE11</f>
        <v>156.28585520999999</v>
      </c>
      <c r="AF17" s="266">
        <f>+AF11</f>
        <v>157.00572227000001</v>
      </c>
      <c r="AG17" s="266"/>
      <c r="AH17" s="266"/>
      <c r="AI17" s="534" t="s">
        <v>120</v>
      </c>
    </row>
    <row r="18" spans="1:49" s="238" customFormat="1">
      <c r="A18" s="244" t="s">
        <v>99</v>
      </c>
      <c r="B18" s="245" t="s">
        <v>1</v>
      </c>
      <c r="C18" s="266">
        <f>+C19+C20</f>
        <v>32.1</v>
      </c>
      <c r="D18" s="266">
        <f t="shared" ref="D18:T18" si="18">+D19+D20</f>
        <v>18.600000000000001</v>
      </c>
      <c r="E18" s="266">
        <f t="shared" si="18"/>
        <v>16.899999999999999</v>
      </c>
      <c r="F18" s="266">
        <f t="shared" si="18"/>
        <v>3.8</v>
      </c>
      <c r="G18" s="266">
        <f t="shared" si="18"/>
        <v>14</v>
      </c>
      <c r="H18" s="266">
        <f t="shared" si="18"/>
        <v>9.9</v>
      </c>
      <c r="I18" s="266">
        <f t="shared" si="18"/>
        <v>16.48</v>
      </c>
      <c r="J18" s="266">
        <f t="shared" si="18"/>
        <v>36.5</v>
      </c>
      <c r="K18" s="266">
        <f t="shared" si="18"/>
        <v>40.5</v>
      </c>
      <c r="L18" s="266">
        <f t="shared" si="18"/>
        <v>23.5</v>
      </c>
      <c r="M18" s="266">
        <f t="shared" si="18"/>
        <v>17.899999999999999</v>
      </c>
      <c r="N18" s="266">
        <f t="shared" si="18"/>
        <v>42.5</v>
      </c>
      <c r="O18" s="266">
        <f t="shared" si="18"/>
        <v>30.376999999999999</v>
      </c>
      <c r="P18" s="266">
        <f t="shared" si="18"/>
        <v>12.5</v>
      </c>
      <c r="Q18" s="266">
        <f t="shared" si="18"/>
        <v>45.5</v>
      </c>
      <c r="R18" s="266">
        <f t="shared" si="18"/>
        <v>40.85</v>
      </c>
      <c r="S18" s="266">
        <f t="shared" si="18"/>
        <v>33</v>
      </c>
      <c r="T18" s="266">
        <f t="shared" si="18"/>
        <v>37.049999999999997</v>
      </c>
      <c r="U18" s="266">
        <f t="shared" ref="U18:AB18" si="19">+U19+U20</f>
        <v>28.6</v>
      </c>
      <c r="V18" s="266">
        <f t="shared" si="19"/>
        <v>104.1</v>
      </c>
      <c r="W18" s="266">
        <f t="shared" si="19"/>
        <v>38.1</v>
      </c>
      <c r="X18" s="266">
        <f t="shared" si="19"/>
        <v>55.1</v>
      </c>
      <c r="Y18" s="266">
        <f t="shared" si="19"/>
        <v>52.4</v>
      </c>
      <c r="Z18" s="266">
        <f t="shared" si="19"/>
        <v>47.4</v>
      </c>
      <c r="AA18" s="266">
        <f t="shared" si="19"/>
        <v>29.4</v>
      </c>
      <c r="AB18" s="266">
        <f t="shared" si="19"/>
        <v>43.4</v>
      </c>
      <c r="AC18" s="266">
        <f t="shared" ref="AC18:AD18" si="20">+AC19+AC20</f>
        <v>52.4</v>
      </c>
      <c r="AD18" s="266">
        <f t="shared" si="20"/>
        <v>40.4</v>
      </c>
      <c r="AE18" s="266">
        <f t="shared" ref="AE18" si="21">+AE19+AE20</f>
        <v>40.4</v>
      </c>
      <c r="AF18" s="266">
        <f>+AF19+AF20</f>
        <v>35.4</v>
      </c>
      <c r="AG18" s="266"/>
      <c r="AH18" s="266"/>
      <c r="AI18" s="534" t="s">
        <v>121</v>
      </c>
    </row>
    <row r="19" spans="1:49" s="238" customFormat="1">
      <c r="A19" s="246" t="s">
        <v>122</v>
      </c>
      <c r="B19" s="247" t="s">
        <v>1</v>
      </c>
      <c r="C19" s="271">
        <f t="shared" ref="C19:T19" si="22">C6</f>
        <v>14.1</v>
      </c>
      <c r="D19" s="271">
        <f t="shared" si="22"/>
        <v>0</v>
      </c>
      <c r="E19" s="271">
        <f t="shared" si="22"/>
        <v>3.4</v>
      </c>
      <c r="F19" s="271">
        <f t="shared" si="22"/>
        <v>0</v>
      </c>
      <c r="G19" s="271">
        <f t="shared" si="22"/>
        <v>0</v>
      </c>
      <c r="H19" s="271">
        <f t="shared" si="22"/>
        <v>2</v>
      </c>
      <c r="I19" s="271">
        <f t="shared" si="22"/>
        <v>3.58</v>
      </c>
      <c r="J19" s="271">
        <f t="shared" si="22"/>
        <v>23</v>
      </c>
      <c r="K19" s="271">
        <f t="shared" si="22"/>
        <v>27</v>
      </c>
      <c r="L19" s="271">
        <f t="shared" si="22"/>
        <v>13</v>
      </c>
      <c r="M19" s="271">
        <f t="shared" si="22"/>
        <v>7</v>
      </c>
      <c r="N19" s="271">
        <f t="shared" si="22"/>
        <v>32</v>
      </c>
      <c r="O19" s="271">
        <f t="shared" si="22"/>
        <v>20.677</v>
      </c>
      <c r="P19" s="271">
        <f t="shared" si="22"/>
        <v>6</v>
      </c>
      <c r="Q19" s="271">
        <f t="shared" si="22"/>
        <v>39</v>
      </c>
      <c r="R19" s="271">
        <f t="shared" si="22"/>
        <v>37</v>
      </c>
      <c r="S19" s="271">
        <f t="shared" si="22"/>
        <v>29.5</v>
      </c>
      <c r="T19" s="271">
        <f t="shared" si="22"/>
        <v>36</v>
      </c>
      <c r="U19" s="271">
        <f t="shared" ref="U19:AB19" si="23">U6</f>
        <v>26</v>
      </c>
      <c r="V19" s="271">
        <f t="shared" si="23"/>
        <v>102</v>
      </c>
      <c r="W19" s="271">
        <f t="shared" si="23"/>
        <v>36</v>
      </c>
      <c r="X19" s="271">
        <f t="shared" si="23"/>
        <v>53</v>
      </c>
      <c r="Y19" s="271">
        <f t="shared" si="23"/>
        <v>50</v>
      </c>
      <c r="Z19" s="271">
        <f t="shared" si="23"/>
        <v>45</v>
      </c>
      <c r="AA19" s="271">
        <f t="shared" si="23"/>
        <v>27</v>
      </c>
      <c r="AB19" s="271">
        <f t="shared" si="23"/>
        <v>41</v>
      </c>
      <c r="AC19" s="271">
        <f t="shared" ref="AC19:AD19" si="24">AC6</f>
        <v>50</v>
      </c>
      <c r="AD19" s="271">
        <f t="shared" si="24"/>
        <v>38</v>
      </c>
      <c r="AE19" s="271">
        <f t="shared" ref="AE19" si="25">AE6</f>
        <v>38</v>
      </c>
      <c r="AF19" s="271">
        <f>AF6</f>
        <v>33</v>
      </c>
      <c r="AG19" s="271"/>
      <c r="AH19" s="271"/>
      <c r="AI19" s="534" t="s">
        <v>123</v>
      </c>
    </row>
    <row r="20" spans="1:49" s="238" customFormat="1">
      <c r="A20" s="246" t="s">
        <v>124</v>
      </c>
      <c r="B20" s="247" t="s">
        <v>1</v>
      </c>
      <c r="C20" s="266">
        <f>+C24+C25+C26</f>
        <v>18</v>
      </c>
      <c r="D20" s="266">
        <f>+D24+D25+D26</f>
        <v>18.600000000000001</v>
      </c>
      <c r="E20" s="266">
        <f t="shared" ref="E20:T20" si="26">+E24+E25+E26</f>
        <v>13.5</v>
      </c>
      <c r="F20" s="266">
        <f t="shared" si="26"/>
        <v>3.8</v>
      </c>
      <c r="G20" s="266">
        <f t="shared" si="26"/>
        <v>14</v>
      </c>
      <c r="H20" s="266">
        <f t="shared" si="26"/>
        <v>7.9</v>
      </c>
      <c r="I20" s="266">
        <f t="shared" si="26"/>
        <v>12.9</v>
      </c>
      <c r="J20" s="266">
        <f t="shared" si="26"/>
        <v>13.5</v>
      </c>
      <c r="K20" s="266">
        <f t="shared" si="26"/>
        <v>13.5</v>
      </c>
      <c r="L20" s="266">
        <f t="shared" si="26"/>
        <v>10.5</v>
      </c>
      <c r="M20" s="266">
        <f t="shared" si="26"/>
        <v>10.9</v>
      </c>
      <c r="N20" s="266">
        <f t="shared" si="26"/>
        <v>10.5</v>
      </c>
      <c r="O20" s="266">
        <f t="shared" si="26"/>
        <v>9.6999999999999993</v>
      </c>
      <c r="P20" s="266">
        <f t="shared" si="26"/>
        <v>6.5</v>
      </c>
      <c r="Q20" s="266">
        <f t="shared" si="26"/>
        <v>6.5</v>
      </c>
      <c r="R20" s="266">
        <f t="shared" si="26"/>
        <v>3.85</v>
      </c>
      <c r="S20" s="266">
        <f t="shared" si="26"/>
        <v>3.5</v>
      </c>
      <c r="T20" s="266">
        <f t="shared" si="26"/>
        <v>1.05</v>
      </c>
      <c r="U20" s="266">
        <f t="shared" ref="U20:AB20" si="27">+U24+U25+U26</f>
        <v>2.6</v>
      </c>
      <c r="V20" s="266">
        <f t="shared" si="27"/>
        <v>2.1</v>
      </c>
      <c r="W20" s="266">
        <f t="shared" si="27"/>
        <v>2.1</v>
      </c>
      <c r="X20" s="266">
        <f t="shared" si="27"/>
        <v>2.1</v>
      </c>
      <c r="Y20" s="266">
        <f t="shared" si="27"/>
        <v>2.4</v>
      </c>
      <c r="Z20" s="266">
        <f t="shared" si="27"/>
        <v>2.4</v>
      </c>
      <c r="AA20" s="266">
        <f t="shared" si="27"/>
        <v>2.4</v>
      </c>
      <c r="AB20" s="266">
        <f t="shared" si="27"/>
        <v>2.4</v>
      </c>
      <c r="AC20" s="266">
        <f t="shared" ref="AC20:AD20" si="28">+AC24+AC25+AC26</f>
        <v>2.4</v>
      </c>
      <c r="AD20" s="266">
        <f t="shared" si="28"/>
        <v>2.4</v>
      </c>
      <c r="AE20" s="266">
        <f t="shared" ref="AE20" si="29">+AE24+AE25+AE26</f>
        <v>2.4</v>
      </c>
      <c r="AF20" s="266">
        <f>+AF24+AF25+AF26</f>
        <v>2.4</v>
      </c>
      <c r="AG20" s="266"/>
      <c r="AH20" s="266"/>
      <c r="AI20" s="534" t="s">
        <v>125</v>
      </c>
    </row>
    <row r="21" spans="1:49" s="238" customFormat="1">
      <c r="A21" s="252" t="s">
        <v>101</v>
      </c>
      <c r="B21" s="253" t="s">
        <v>1</v>
      </c>
      <c r="C21" s="272">
        <f>+C22+C23</f>
        <v>209.20567744999997</v>
      </c>
      <c r="D21" s="272">
        <f>+D22+D23</f>
        <v>200.24329082</v>
      </c>
      <c r="E21" s="272">
        <f t="shared" ref="E21:T21" si="30">+E22+E23</f>
        <v>189.09545953</v>
      </c>
      <c r="F21" s="272">
        <f t="shared" si="30"/>
        <v>165.27</v>
      </c>
      <c r="G21" s="272">
        <f t="shared" si="30"/>
        <v>146.49</v>
      </c>
      <c r="H21" s="272">
        <f t="shared" si="30"/>
        <v>141.36000000000001</v>
      </c>
      <c r="I21" s="272">
        <f t="shared" si="30"/>
        <v>154.34</v>
      </c>
      <c r="J21" s="272">
        <f t="shared" si="30"/>
        <v>169.73</v>
      </c>
      <c r="K21" s="272">
        <f t="shared" si="30"/>
        <v>174.28</v>
      </c>
      <c r="L21" s="272">
        <f t="shared" si="30"/>
        <v>169.34</v>
      </c>
      <c r="M21" s="272">
        <f t="shared" si="30"/>
        <v>177.81</v>
      </c>
      <c r="N21" s="272">
        <f t="shared" si="30"/>
        <v>171.20240770999999</v>
      </c>
      <c r="O21" s="272">
        <f t="shared" si="30"/>
        <v>172.42</v>
      </c>
      <c r="P21" s="272">
        <f t="shared" si="30"/>
        <v>162.63</v>
      </c>
      <c r="Q21" s="272">
        <f t="shared" si="30"/>
        <v>154.92743945000001</v>
      </c>
      <c r="R21" s="272">
        <f t="shared" si="30"/>
        <v>165.96</v>
      </c>
      <c r="S21" s="272">
        <f t="shared" si="30"/>
        <v>141.32999999999998</v>
      </c>
      <c r="T21" s="272">
        <f t="shared" si="30"/>
        <v>141.88</v>
      </c>
      <c r="U21" s="272">
        <f>+U22+U23</f>
        <v>146.48999999999998</v>
      </c>
      <c r="V21" s="272">
        <f t="shared" ref="V21:AB21" si="31">+V22+V23</f>
        <v>152.57356136999999</v>
      </c>
      <c r="W21" s="272">
        <f t="shared" si="31"/>
        <v>162.93865578999998</v>
      </c>
      <c r="X21" s="272">
        <f t="shared" si="31"/>
        <v>161.05812603000001</v>
      </c>
      <c r="Y21" s="272">
        <f t="shared" si="31"/>
        <v>163.10115352999998</v>
      </c>
      <c r="Z21" s="272">
        <f t="shared" si="31"/>
        <v>162.96138481</v>
      </c>
      <c r="AA21" s="272">
        <f t="shared" si="31"/>
        <v>167.66226785000001</v>
      </c>
      <c r="AB21" s="272">
        <f t="shared" si="31"/>
        <v>167.23183660000001</v>
      </c>
      <c r="AC21" s="272">
        <f t="shared" ref="AC21:AD21" si="32">+AC22+AC23</f>
        <v>160.29218817</v>
      </c>
      <c r="AD21" s="272">
        <f t="shared" si="32"/>
        <v>164.17627197000002</v>
      </c>
      <c r="AE21" s="272">
        <f t="shared" ref="AE21" si="33">+AE22+AE23</f>
        <v>158.68585521</v>
      </c>
      <c r="AF21" s="272">
        <f>+AF22+AF23</f>
        <v>159.40572227000001</v>
      </c>
      <c r="AG21" s="272"/>
      <c r="AH21" s="272"/>
      <c r="AI21" s="534" t="s">
        <v>126</v>
      </c>
    </row>
    <row r="22" spans="1:49" s="238" customFormat="1">
      <c r="A22" s="244" t="s">
        <v>127</v>
      </c>
      <c r="B22" s="245" t="s">
        <v>1</v>
      </c>
      <c r="C22" s="266">
        <f>C11</f>
        <v>191.20567744999997</v>
      </c>
      <c r="D22" s="266">
        <f t="shared" ref="D22:T22" si="34">D11</f>
        <v>181.64329082</v>
      </c>
      <c r="E22" s="266">
        <f t="shared" si="34"/>
        <v>175.59545953</v>
      </c>
      <c r="F22" s="266">
        <f t="shared" si="34"/>
        <v>161.47</v>
      </c>
      <c r="G22" s="266">
        <f t="shared" si="34"/>
        <v>132.49</v>
      </c>
      <c r="H22" s="266">
        <f t="shared" si="34"/>
        <v>133.46</v>
      </c>
      <c r="I22" s="266">
        <f t="shared" si="34"/>
        <v>141.44</v>
      </c>
      <c r="J22" s="266">
        <f t="shared" si="34"/>
        <v>156.22999999999999</v>
      </c>
      <c r="K22" s="266">
        <f t="shared" si="34"/>
        <v>160.78</v>
      </c>
      <c r="L22" s="266">
        <f t="shared" si="34"/>
        <v>158.84</v>
      </c>
      <c r="M22" s="266">
        <f t="shared" si="34"/>
        <v>166.91</v>
      </c>
      <c r="N22" s="266">
        <f t="shared" si="34"/>
        <v>160.70240770999999</v>
      </c>
      <c r="O22" s="266">
        <f t="shared" si="34"/>
        <v>162.72</v>
      </c>
      <c r="P22" s="266">
        <f t="shared" si="34"/>
        <v>156.13</v>
      </c>
      <c r="Q22" s="266">
        <f t="shared" si="34"/>
        <v>148.42743945000001</v>
      </c>
      <c r="R22" s="266">
        <f t="shared" si="34"/>
        <v>162.11000000000001</v>
      </c>
      <c r="S22" s="266">
        <f t="shared" si="34"/>
        <v>137.82999999999998</v>
      </c>
      <c r="T22" s="266">
        <f t="shared" si="34"/>
        <v>140.82999999999998</v>
      </c>
      <c r="U22" s="266">
        <f t="shared" ref="U22:AB22" si="35">U11</f>
        <v>143.88999999999999</v>
      </c>
      <c r="V22" s="266">
        <f t="shared" si="35"/>
        <v>150.47356137</v>
      </c>
      <c r="W22" s="266">
        <f t="shared" si="35"/>
        <v>160.83865578999999</v>
      </c>
      <c r="X22" s="266">
        <f t="shared" si="35"/>
        <v>158.95812603000002</v>
      </c>
      <c r="Y22" s="266">
        <f t="shared" si="35"/>
        <v>160.70115352999997</v>
      </c>
      <c r="Z22" s="266">
        <f t="shared" si="35"/>
        <v>160.56138480999999</v>
      </c>
      <c r="AA22" s="266">
        <f t="shared" si="35"/>
        <v>165.26226785</v>
      </c>
      <c r="AB22" s="266">
        <f t="shared" si="35"/>
        <v>164.8318366</v>
      </c>
      <c r="AC22" s="266">
        <f t="shared" ref="AC22:AD22" si="36">AC11</f>
        <v>157.89218817</v>
      </c>
      <c r="AD22" s="266">
        <f t="shared" si="36"/>
        <v>161.77627197000001</v>
      </c>
      <c r="AE22" s="266">
        <f t="shared" ref="AE22" si="37">AE11</f>
        <v>156.28585520999999</v>
      </c>
      <c r="AF22" s="266">
        <f>AF11</f>
        <v>157.00572227000001</v>
      </c>
      <c r="AG22" s="266"/>
      <c r="AH22" s="266"/>
      <c r="AI22" s="534" t="s">
        <v>128</v>
      </c>
    </row>
    <row r="23" spans="1:49" s="238" customFormat="1">
      <c r="A23" s="244" t="s">
        <v>129</v>
      </c>
      <c r="B23" s="245" t="s">
        <v>1</v>
      </c>
      <c r="C23" s="266">
        <f>+C24+C25+C26</f>
        <v>18</v>
      </c>
      <c r="D23" s="266">
        <f>+D24+D25+D26</f>
        <v>18.600000000000001</v>
      </c>
      <c r="E23" s="266">
        <f t="shared" ref="E23:T23" si="38">+E24+E25+E26</f>
        <v>13.5</v>
      </c>
      <c r="F23" s="266">
        <f t="shared" si="38"/>
        <v>3.8</v>
      </c>
      <c r="G23" s="266">
        <f t="shared" si="38"/>
        <v>14</v>
      </c>
      <c r="H23" s="266">
        <f t="shared" si="38"/>
        <v>7.9</v>
      </c>
      <c r="I23" s="266">
        <f t="shared" si="38"/>
        <v>12.9</v>
      </c>
      <c r="J23" s="266">
        <f t="shared" si="38"/>
        <v>13.5</v>
      </c>
      <c r="K23" s="266">
        <f t="shared" si="38"/>
        <v>13.5</v>
      </c>
      <c r="L23" s="266">
        <f t="shared" si="38"/>
        <v>10.5</v>
      </c>
      <c r="M23" s="266">
        <f t="shared" si="38"/>
        <v>10.9</v>
      </c>
      <c r="N23" s="266">
        <f t="shared" si="38"/>
        <v>10.5</v>
      </c>
      <c r="O23" s="266">
        <f t="shared" si="38"/>
        <v>9.6999999999999993</v>
      </c>
      <c r="P23" s="266">
        <f t="shared" si="38"/>
        <v>6.5</v>
      </c>
      <c r="Q23" s="266">
        <f t="shared" si="38"/>
        <v>6.5</v>
      </c>
      <c r="R23" s="266">
        <f t="shared" si="38"/>
        <v>3.85</v>
      </c>
      <c r="S23" s="266">
        <f t="shared" si="38"/>
        <v>3.5</v>
      </c>
      <c r="T23" s="266">
        <f t="shared" si="38"/>
        <v>1.05</v>
      </c>
      <c r="U23" s="266">
        <f t="shared" ref="U23:AB23" si="39">+U24+U25+U26</f>
        <v>2.6</v>
      </c>
      <c r="V23" s="266">
        <f t="shared" si="39"/>
        <v>2.1</v>
      </c>
      <c r="W23" s="266">
        <f t="shared" si="39"/>
        <v>2.1</v>
      </c>
      <c r="X23" s="266">
        <f t="shared" si="39"/>
        <v>2.1</v>
      </c>
      <c r="Y23" s="266">
        <f t="shared" si="39"/>
        <v>2.4</v>
      </c>
      <c r="Z23" s="266">
        <f t="shared" si="39"/>
        <v>2.4</v>
      </c>
      <c r="AA23" s="266">
        <f t="shared" si="39"/>
        <v>2.4</v>
      </c>
      <c r="AB23" s="266">
        <f t="shared" si="39"/>
        <v>2.4</v>
      </c>
      <c r="AC23" s="266">
        <f t="shared" ref="AC23:AD23" si="40">+AC24+AC25+AC26</f>
        <v>2.4</v>
      </c>
      <c r="AD23" s="266">
        <f t="shared" si="40"/>
        <v>2.4</v>
      </c>
      <c r="AE23" s="266">
        <f t="shared" ref="AE23" si="41">+AE24+AE25+AE26</f>
        <v>2.4</v>
      </c>
      <c r="AF23" s="266">
        <f>+AF24+AF25+AF26</f>
        <v>2.4</v>
      </c>
      <c r="AG23" s="266"/>
      <c r="AH23" s="266"/>
      <c r="AI23" s="534" t="s">
        <v>125</v>
      </c>
    </row>
    <row r="24" spans="1:49" s="238" customFormat="1">
      <c r="A24" s="246" t="s">
        <v>130</v>
      </c>
      <c r="B24" s="247" t="s">
        <v>1</v>
      </c>
      <c r="C24" s="265">
        <v>15</v>
      </c>
      <c r="D24" s="265">
        <v>15</v>
      </c>
      <c r="E24" s="265">
        <v>11</v>
      </c>
      <c r="F24" s="281">
        <v>1.8</v>
      </c>
      <c r="G24" s="265">
        <v>11</v>
      </c>
      <c r="H24" s="265">
        <v>6</v>
      </c>
      <c r="I24" s="265">
        <v>11</v>
      </c>
      <c r="J24" s="265">
        <v>11</v>
      </c>
      <c r="K24" s="265">
        <v>11</v>
      </c>
      <c r="L24" s="281">
        <v>9.5</v>
      </c>
      <c r="M24" s="281">
        <v>9.5</v>
      </c>
      <c r="N24" s="281">
        <v>9.5</v>
      </c>
      <c r="O24" s="281">
        <v>8.5</v>
      </c>
      <c r="P24" s="281">
        <v>5</v>
      </c>
      <c r="Q24" s="281">
        <v>5</v>
      </c>
      <c r="R24" s="281">
        <v>3.35</v>
      </c>
      <c r="S24" s="281">
        <v>3</v>
      </c>
      <c r="T24" s="281">
        <v>0.55000000000000004</v>
      </c>
      <c r="U24" s="281">
        <v>2</v>
      </c>
      <c r="V24" s="281">
        <v>1.5</v>
      </c>
      <c r="W24" s="281">
        <v>1.5</v>
      </c>
      <c r="X24" s="281">
        <v>1.5</v>
      </c>
      <c r="Y24" s="281">
        <v>1.5</v>
      </c>
      <c r="Z24" s="281">
        <v>1.5</v>
      </c>
      <c r="AA24" s="281">
        <v>1.5</v>
      </c>
      <c r="AB24" s="281">
        <v>1.5</v>
      </c>
      <c r="AC24" s="281">
        <v>1.5</v>
      </c>
      <c r="AD24" s="281">
        <v>1.5</v>
      </c>
      <c r="AE24" s="281">
        <v>1.5</v>
      </c>
      <c r="AF24" s="281">
        <v>1.5</v>
      </c>
      <c r="AG24" s="281"/>
      <c r="AH24" s="281"/>
    </row>
    <row r="25" spans="1:49" s="238" customFormat="1">
      <c r="A25" s="246" t="s">
        <v>131</v>
      </c>
      <c r="B25" s="247" t="s">
        <v>1</v>
      </c>
      <c r="C25" s="265"/>
      <c r="D25" s="265">
        <v>0.6</v>
      </c>
      <c r="E25" s="265"/>
      <c r="F25" s="265"/>
      <c r="G25" s="265"/>
      <c r="H25" s="265"/>
      <c r="I25" s="265"/>
      <c r="J25" s="265"/>
      <c r="K25" s="265"/>
      <c r="L25" s="265"/>
      <c r="M25" s="265"/>
      <c r="N25" s="265"/>
      <c r="O25" s="265"/>
      <c r="P25" s="265"/>
      <c r="Q25" s="265"/>
      <c r="R25" s="265"/>
      <c r="S25" s="265"/>
      <c r="T25" s="265"/>
      <c r="U25" s="265"/>
      <c r="V25" s="265"/>
      <c r="W25" s="265"/>
      <c r="X25" s="265"/>
      <c r="Y25" s="265"/>
      <c r="Z25" s="265"/>
      <c r="AA25" s="265"/>
      <c r="AB25" s="265"/>
      <c r="AC25" s="265"/>
      <c r="AD25" s="265"/>
      <c r="AE25" s="265"/>
      <c r="AF25" s="265"/>
      <c r="AG25" s="265"/>
      <c r="AH25" s="265"/>
    </row>
    <row r="26" spans="1:49" s="238" customFormat="1">
      <c r="A26" s="246" t="s">
        <v>132</v>
      </c>
      <c r="B26" s="247" t="s">
        <v>1</v>
      </c>
      <c r="C26" s="265">
        <v>3</v>
      </c>
      <c r="D26" s="265">
        <v>3</v>
      </c>
      <c r="E26" s="265">
        <v>2.5</v>
      </c>
      <c r="F26" s="265">
        <v>2</v>
      </c>
      <c r="G26" s="265">
        <v>3</v>
      </c>
      <c r="H26" s="265">
        <v>1.9</v>
      </c>
      <c r="I26" s="281">
        <v>1.9</v>
      </c>
      <c r="J26" s="281">
        <v>2.5</v>
      </c>
      <c r="K26" s="281">
        <v>2.5</v>
      </c>
      <c r="L26" s="281">
        <v>1</v>
      </c>
      <c r="M26" s="281">
        <v>1.4</v>
      </c>
      <c r="N26" s="281">
        <v>1</v>
      </c>
      <c r="O26" s="281">
        <v>1.2</v>
      </c>
      <c r="P26" s="281">
        <v>1.5</v>
      </c>
      <c r="Q26" s="281">
        <v>1.5</v>
      </c>
      <c r="R26" s="281">
        <v>0.5</v>
      </c>
      <c r="S26" s="281">
        <v>0.5</v>
      </c>
      <c r="T26" s="281">
        <v>0.5</v>
      </c>
      <c r="U26" s="281">
        <v>0.6</v>
      </c>
      <c r="V26" s="281">
        <v>0.6</v>
      </c>
      <c r="W26" s="281">
        <v>0.6</v>
      </c>
      <c r="X26" s="281">
        <v>0.6</v>
      </c>
      <c r="Y26" s="281">
        <v>0.9</v>
      </c>
      <c r="Z26" s="281">
        <v>0.9</v>
      </c>
      <c r="AA26" s="281">
        <v>0.9</v>
      </c>
      <c r="AB26" s="281">
        <v>0.9</v>
      </c>
      <c r="AC26" s="281">
        <v>0.9</v>
      </c>
      <c r="AD26" s="281">
        <v>0.9</v>
      </c>
      <c r="AE26" s="281">
        <v>0.9</v>
      </c>
      <c r="AF26" s="281">
        <v>0.9</v>
      </c>
      <c r="AG26" s="281"/>
      <c r="AH26" s="281"/>
    </row>
    <row r="27" spans="1:49" s="238" customFormat="1">
      <c r="A27" s="248" t="s">
        <v>133</v>
      </c>
      <c r="B27" s="249" t="s">
        <v>1</v>
      </c>
      <c r="C27" s="273">
        <v>4.3630100000000001</v>
      </c>
      <c r="D27" s="273">
        <v>4.8184300000000002</v>
      </c>
      <c r="E27" s="273">
        <v>4.7113100000000001</v>
      </c>
      <c r="F27" s="273">
        <v>4.8537400000000002</v>
      </c>
      <c r="G27" s="273">
        <v>4.01729</v>
      </c>
      <c r="H27" s="273">
        <v>4.1034899999999999</v>
      </c>
      <c r="I27" s="273">
        <v>3.9801899999999999</v>
      </c>
      <c r="J27" s="273">
        <v>3.1403699999999999</v>
      </c>
      <c r="K27" s="273">
        <v>4.1078799999999998</v>
      </c>
      <c r="L27" s="273">
        <v>4.1213299999999995</v>
      </c>
      <c r="M27" s="273">
        <v>4.4393100000000008</v>
      </c>
      <c r="N27" s="273">
        <v>4.7826300000000002</v>
      </c>
      <c r="O27" s="273">
        <v>4.9286300000000001</v>
      </c>
      <c r="P27" s="273">
        <v>4.9282299999999992</v>
      </c>
      <c r="Q27" s="273">
        <v>5.0398900000000006</v>
      </c>
      <c r="R27" s="273">
        <v>5.0159700000000003</v>
      </c>
      <c r="S27" s="273">
        <v>4.9056199999999999</v>
      </c>
      <c r="T27" s="273">
        <f t="shared" ref="T27:Y28" si="42">S27</f>
        <v>4.9056199999999999</v>
      </c>
      <c r="U27" s="273">
        <f>T27</f>
        <v>4.9056199999999999</v>
      </c>
      <c r="V27" s="273">
        <f t="shared" si="42"/>
        <v>4.9056199999999999</v>
      </c>
      <c r="W27" s="273">
        <f t="shared" si="42"/>
        <v>4.9056199999999999</v>
      </c>
      <c r="X27" s="273">
        <f t="shared" si="42"/>
        <v>4.9056199999999999</v>
      </c>
      <c r="Y27" s="273">
        <f t="shared" si="42"/>
        <v>4.9056199999999999</v>
      </c>
      <c r="Z27" s="273">
        <f>Y27</f>
        <v>4.9056199999999999</v>
      </c>
      <c r="AA27" s="273">
        <f t="shared" ref="AA27:AE29" si="43">Z27</f>
        <v>4.9056199999999999</v>
      </c>
      <c r="AB27" s="273">
        <f t="shared" si="43"/>
        <v>4.9056199999999999</v>
      </c>
      <c r="AC27" s="273">
        <f t="shared" si="43"/>
        <v>4.9056199999999999</v>
      </c>
      <c r="AD27" s="273">
        <f>AC27</f>
        <v>4.9056199999999999</v>
      </c>
      <c r="AE27" s="273">
        <f>AD27</f>
        <v>4.9056199999999999</v>
      </c>
      <c r="AF27" s="273">
        <f>AE27</f>
        <v>4.9056199999999999</v>
      </c>
      <c r="AG27" s="273"/>
      <c r="AH27" s="273"/>
      <c r="AI27" s="535" t="s">
        <v>134</v>
      </c>
      <c r="AV27" s="276">
        <v>4905.62</v>
      </c>
      <c r="AW27" s="300">
        <f t="shared" ref="AW27:AW32" si="44">AV27/1000</f>
        <v>4.9056199999999999</v>
      </c>
    </row>
    <row r="28" spans="1:49" s="238" customFormat="1">
      <c r="A28" s="248" t="s">
        <v>135</v>
      </c>
      <c r="B28" s="249" t="s">
        <v>1</v>
      </c>
      <c r="C28" s="273">
        <v>12.485040000000001</v>
      </c>
      <c r="D28" s="273">
        <v>9.6427199999999988</v>
      </c>
      <c r="E28" s="273">
        <v>5.1455200000000003</v>
      </c>
      <c r="F28" s="273">
        <v>8.9106900000000007</v>
      </c>
      <c r="G28" s="273">
        <v>10.6479</v>
      </c>
      <c r="H28" s="273">
        <v>11.268190000000001</v>
      </c>
      <c r="I28" s="273">
        <v>9.0518400000000003</v>
      </c>
      <c r="J28" s="273">
        <v>11.33426</v>
      </c>
      <c r="K28" s="273">
        <v>7.3439199999999998</v>
      </c>
      <c r="L28" s="273">
        <v>7.4108900000000002</v>
      </c>
      <c r="M28" s="273">
        <v>6.3707500000000001</v>
      </c>
      <c r="N28" s="273">
        <v>7.9856099999999994</v>
      </c>
      <c r="O28" s="273">
        <v>8.8895</v>
      </c>
      <c r="P28" s="273">
        <v>9.9887499999999996</v>
      </c>
      <c r="Q28" s="273">
        <v>7.2515400000000003</v>
      </c>
      <c r="R28" s="273">
        <v>9.6531599999999997</v>
      </c>
      <c r="S28" s="273">
        <v>9.087159999999999</v>
      </c>
      <c r="T28" s="273">
        <f t="shared" si="42"/>
        <v>9.087159999999999</v>
      </c>
      <c r="U28" s="273">
        <f t="shared" si="42"/>
        <v>9.087159999999999</v>
      </c>
      <c r="V28" s="273">
        <f t="shared" si="42"/>
        <v>9.087159999999999</v>
      </c>
      <c r="W28" s="273">
        <f t="shared" si="42"/>
        <v>9.087159999999999</v>
      </c>
      <c r="X28" s="273">
        <f t="shared" si="42"/>
        <v>9.087159999999999</v>
      </c>
      <c r="Y28" s="273">
        <f t="shared" si="42"/>
        <v>9.087159999999999</v>
      </c>
      <c r="Z28" s="273">
        <f>Y28</f>
        <v>9.087159999999999</v>
      </c>
      <c r="AA28" s="273">
        <f t="shared" si="43"/>
        <v>9.087159999999999</v>
      </c>
      <c r="AB28" s="273">
        <f t="shared" si="43"/>
        <v>9.087159999999999</v>
      </c>
      <c r="AC28" s="273">
        <f t="shared" si="43"/>
        <v>9.087159999999999</v>
      </c>
      <c r="AD28" s="273">
        <f t="shared" si="43"/>
        <v>9.087159999999999</v>
      </c>
      <c r="AE28" s="273">
        <f t="shared" si="43"/>
        <v>9.087159999999999</v>
      </c>
      <c r="AF28" s="273">
        <f>AE28</f>
        <v>9.087159999999999</v>
      </c>
      <c r="AG28" s="273"/>
      <c r="AH28" s="273"/>
      <c r="AI28" s="535" t="s">
        <v>134</v>
      </c>
      <c r="AV28" s="276">
        <v>9087.16</v>
      </c>
      <c r="AW28" s="300">
        <f t="shared" si="44"/>
        <v>9.087159999999999</v>
      </c>
    </row>
    <row r="29" spans="1:49" s="238" customFormat="1">
      <c r="A29" s="248" t="s">
        <v>136</v>
      </c>
      <c r="B29" s="249" t="s">
        <v>1</v>
      </c>
      <c r="C29" s="273">
        <v>1.74675</v>
      </c>
      <c r="D29" s="273">
        <v>1.7093</v>
      </c>
      <c r="E29" s="273">
        <v>1.74495</v>
      </c>
      <c r="F29" s="273">
        <v>1.73674</v>
      </c>
      <c r="G29" s="273">
        <v>1.7336099999999999</v>
      </c>
      <c r="H29" s="273">
        <v>1.7284000000000002</v>
      </c>
      <c r="I29" s="273">
        <v>1.6542000000000001</v>
      </c>
      <c r="J29" s="273">
        <v>1.5305799999999998</v>
      </c>
      <c r="K29" s="273">
        <v>1.2746300000000002</v>
      </c>
      <c r="L29" s="273">
        <v>8.58765</v>
      </c>
      <c r="M29" s="273">
        <v>8.5851000000000006</v>
      </c>
      <c r="N29" s="273">
        <v>6.1211599999999997</v>
      </c>
      <c r="O29" s="273">
        <v>6.1287600000000007</v>
      </c>
      <c r="P29" s="273">
        <v>6.1342299999999996</v>
      </c>
      <c r="Q29" s="273">
        <v>6.0019999999999998</v>
      </c>
      <c r="R29" s="273">
        <v>8.2162900000000008</v>
      </c>
      <c r="S29" s="273">
        <v>3.9404299999999997</v>
      </c>
      <c r="T29" s="273">
        <f t="shared" ref="T29:Y29" si="45">S29</f>
        <v>3.9404299999999997</v>
      </c>
      <c r="U29" s="273">
        <f t="shared" si="45"/>
        <v>3.9404299999999997</v>
      </c>
      <c r="V29" s="273">
        <f t="shared" si="45"/>
        <v>3.9404299999999997</v>
      </c>
      <c r="W29" s="273">
        <f t="shared" si="45"/>
        <v>3.9404299999999997</v>
      </c>
      <c r="X29" s="273">
        <f t="shared" si="45"/>
        <v>3.9404299999999997</v>
      </c>
      <c r="Y29" s="273">
        <f t="shared" si="45"/>
        <v>3.9404299999999997</v>
      </c>
      <c r="Z29" s="273">
        <f>Y29</f>
        <v>3.9404299999999997</v>
      </c>
      <c r="AA29" s="273">
        <f t="shared" si="43"/>
        <v>3.9404299999999997</v>
      </c>
      <c r="AB29" s="273">
        <f t="shared" si="43"/>
        <v>3.9404299999999997</v>
      </c>
      <c r="AC29" s="273">
        <f t="shared" si="43"/>
        <v>3.9404299999999997</v>
      </c>
      <c r="AD29" s="273">
        <f t="shared" si="43"/>
        <v>3.9404299999999997</v>
      </c>
      <c r="AE29" s="273">
        <f t="shared" si="43"/>
        <v>3.9404299999999997</v>
      </c>
      <c r="AF29" s="273">
        <f>AE29</f>
        <v>3.9404299999999997</v>
      </c>
      <c r="AG29" s="273"/>
      <c r="AH29" s="273"/>
      <c r="AI29" s="535" t="s">
        <v>134</v>
      </c>
      <c r="AV29" s="276">
        <v>3940.43</v>
      </c>
      <c r="AW29" s="300">
        <f t="shared" si="44"/>
        <v>3.9404299999999997</v>
      </c>
    </row>
    <row r="30" spans="1:49" s="238" customFormat="1">
      <c r="A30" s="248" t="s">
        <v>137</v>
      </c>
      <c r="B30" s="249" t="s">
        <v>1</v>
      </c>
      <c r="C30" s="273">
        <v>2.8454800000000002</v>
      </c>
      <c r="D30" s="273">
        <v>2.8450900000000003</v>
      </c>
      <c r="E30" s="273">
        <v>0.10045999999999999</v>
      </c>
      <c r="F30" s="273">
        <v>9.6069999999999989E-2</v>
      </c>
      <c r="G30" s="273">
        <v>0</v>
      </c>
      <c r="H30" s="273">
        <v>0</v>
      </c>
      <c r="I30" s="273">
        <v>4.0060000000000005E-2</v>
      </c>
      <c r="J30" s="273">
        <v>0.12368000000000001</v>
      </c>
      <c r="K30" s="273">
        <v>0.87017999999999995</v>
      </c>
      <c r="L30" s="273">
        <v>5.4668900000000002</v>
      </c>
      <c r="M30" s="273">
        <v>5.4723000000000006</v>
      </c>
      <c r="N30" s="273">
        <v>5.4638800000000005</v>
      </c>
      <c r="O30" s="273">
        <v>5.4652799999999999</v>
      </c>
      <c r="P30" s="273">
        <v>5.4606000000000003</v>
      </c>
      <c r="Q30" s="273">
        <v>5.4509300000000005</v>
      </c>
      <c r="R30" s="273">
        <v>6.7955200000000007</v>
      </c>
      <c r="S30" s="273">
        <v>6.7940100000000001</v>
      </c>
      <c r="T30" s="273">
        <v>2.8450900000000003</v>
      </c>
      <c r="U30" s="273">
        <v>2.8450900000000003</v>
      </c>
      <c r="V30" s="273">
        <v>2.8450900000000003</v>
      </c>
      <c r="W30" s="273">
        <v>2.8450900000000003</v>
      </c>
      <c r="X30" s="273">
        <v>2.8450900000000003</v>
      </c>
      <c r="Y30" s="273">
        <v>2.8450900000000003</v>
      </c>
      <c r="Z30" s="273">
        <v>2.8450899999999999</v>
      </c>
      <c r="AA30" s="273">
        <v>2.8450899999999999</v>
      </c>
      <c r="AB30" s="273">
        <v>2.8450899999999999</v>
      </c>
      <c r="AC30" s="273">
        <v>2.8450899999999999</v>
      </c>
      <c r="AD30" s="273">
        <v>2.8450899999999999</v>
      </c>
      <c r="AE30" s="273">
        <v>2.8450899999999999</v>
      </c>
      <c r="AF30" s="273">
        <v>2.8450899999999999</v>
      </c>
      <c r="AG30" s="273"/>
      <c r="AH30" s="273"/>
      <c r="AV30" s="276">
        <v>6794.01</v>
      </c>
      <c r="AW30" s="300">
        <f t="shared" si="44"/>
        <v>6.7940100000000001</v>
      </c>
    </row>
    <row r="31" spans="1:49" s="238" customFormat="1">
      <c r="A31" s="248" t="s">
        <v>138</v>
      </c>
      <c r="B31" s="249" t="s">
        <v>1</v>
      </c>
      <c r="C31" s="273">
        <v>20.697040000000001</v>
      </c>
      <c r="D31" s="273">
        <v>13.78134</v>
      </c>
      <c r="E31" s="273">
        <v>7.7362799999999998</v>
      </c>
      <c r="F31" s="273">
        <v>4.9186300000000003</v>
      </c>
      <c r="G31" s="273">
        <v>13.089840000000001</v>
      </c>
      <c r="H31" s="273">
        <v>8.2105800000000002</v>
      </c>
      <c r="I31" s="273">
        <v>3.6063800000000001</v>
      </c>
      <c r="J31" s="273">
        <v>7.9523100000000007</v>
      </c>
      <c r="K31" s="273">
        <v>14.077450000000001</v>
      </c>
      <c r="L31" s="273">
        <v>20.986369999999997</v>
      </c>
      <c r="M31" s="273">
        <v>8.0376300000000001</v>
      </c>
      <c r="N31" s="273">
        <v>15.845660000000001</v>
      </c>
      <c r="O31" s="273">
        <v>4.99397</v>
      </c>
      <c r="P31" s="273">
        <v>18.02657</v>
      </c>
      <c r="Q31" s="273">
        <v>11.229280000000001</v>
      </c>
      <c r="R31" s="273">
        <v>12.113440000000001</v>
      </c>
      <c r="S31" s="273">
        <v>21.480130000000003</v>
      </c>
      <c r="T31" s="273"/>
      <c r="U31" s="273"/>
      <c r="V31" s="273"/>
      <c r="W31" s="273"/>
      <c r="X31" s="273"/>
      <c r="Y31" s="273"/>
      <c r="Z31" s="273"/>
      <c r="AA31" s="273"/>
      <c r="AB31" s="273"/>
      <c r="AC31" s="273"/>
      <c r="AD31" s="273"/>
      <c r="AE31" s="273"/>
      <c r="AF31" s="273"/>
      <c r="AG31" s="273"/>
      <c r="AH31" s="273"/>
      <c r="AI31" s="535" t="s">
        <v>139</v>
      </c>
      <c r="AV31" s="276">
        <v>21480.13</v>
      </c>
      <c r="AW31" s="300">
        <f t="shared" si="44"/>
        <v>21.480130000000003</v>
      </c>
    </row>
    <row r="32" spans="1:49" s="238" customFormat="1">
      <c r="A32" s="248" t="s">
        <v>140</v>
      </c>
      <c r="B32" s="249" t="s">
        <v>1</v>
      </c>
      <c r="C32" s="273">
        <v>21.019130000000001</v>
      </c>
      <c r="D32" s="273">
        <v>15.081700000000001</v>
      </c>
      <c r="E32" s="273">
        <v>12.372590000000001</v>
      </c>
      <c r="F32" s="273">
        <v>9.5060699999999994</v>
      </c>
      <c r="G32" s="273">
        <v>18.52337</v>
      </c>
      <c r="H32" s="273">
        <v>10.627790000000001</v>
      </c>
      <c r="I32" s="273">
        <v>2.1879599999999999</v>
      </c>
      <c r="J32" s="273">
        <v>6.5095000000000001</v>
      </c>
      <c r="K32" s="273">
        <v>13.483370000000001</v>
      </c>
      <c r="L32" s="273">
        <v>14.53547</v>
      </c>
      <c r="M32" s="273">
        <v>12.915569999999999</v>
      </c>
      <c r="N32" s="273">
        <v>14.74959</v>
      </c>
      <c r="O32" s="273">
        <v>4.77651</v>
      </c>
      <c r="P32" s="273">
        <v>20.466369999999998</v>
      </c>
      <c r="Q32" s="273">
        <v>11.72532</v>
      </c>
      <c r="R32" s="273">
        <v>13.922360000000001</v>
      </c>
      <c r="S32" s="273">
        <v>21.769310000000001</v>
      </c>
      <c r="T32" s="273">
        <f t="shared" ref="T32:Y32" si="46">S31+S32+T33-T23-T19</f>
        <v>35.19944000000001</v>
      </c>
      <c r="U32" s="273">
        <f t="shared" si="46"/>
        <v>32.599440000000008</v>
      </c>
      <c r="V32" s="273">
        <f t="shared" si="46"/>
        <v>16.499440000000021</v>
      </c>
      <c r="W32" s="273">
        <f t="shared" si="46"/>
        <v>22.39944000000002</v>
      </c>
      <c r="X32" s="273">
        <f t="shared" si="46"/>
        <v>11.299440000000033</v>
      </c>
      <c r="Y32" s="273">
        <f t="shared" si="46"/>
        <v>2.899440000000034</v>
      </c>
      <c r="Z32" s="273">
        <f t="shared" ref="Z32:AD32" si="47">Y31+Y32+Z33-Z23-Z19</f>
        <v>-0.50055999999996459</v>
      </c>
      <c r="AA32" s="273">
        <f t="shared" si="47"/>
        <v>7.2684400000000338</v>
      </c>
      <c r="AB32" s="273">
        <f>AA31+AA32+AB33-AB23-AB19</f>
        <v>7.8684400000000352</v>
      </c>
      <c r="AC32" s="273">
        <f t="shared" si="47"/>
        <v>-0.5315599999999634</v>
      </c>
      <c r="AD32" s="273">
        <f t="shared" si="47"/>
        <v>3.068440000000038</v>
      </c>
      <c r="AE32" s="273">
        <f>AD31+AD32+AE33-AE23-AE19</f>
        <v>6.6684400000000394</v>
      </c>
      <c r="AF32" s="273">
        <f>AE31+AE32+AF33-AF23-AF19</f>
        <v>15.268440000000041</v>
      </c>
      <c r="AG32" s="273"/>
      <c r="AH32" s="273"/>
      <c r="AI32" s="534" t="s">
        <v>141</v>
      </c>
      <c r="AV32" s="276">
        <v>21769.31</v>
      </c>
      <c r="AW32" s="300">
        <f t="shared" si="44"/>
        <v>21.769310000000001</v>
      </c>
    </row>
    <row r="33" spans="1:35" s="259" customFormat="1">
      <c r="A33" s="259" t="s">
        <v>142</v>
      </c>
      <c r="B33" s="260" t="s">
        <v>1</v>
      </c>
      <c r="C33" s="261">
        <v>44</v>
      </c>
      <c r="D33" s="262"/>
      <c r="E33" s="262"/>
      <c r="F33" s="262"/>
      <c r="G33" s="262">
        <v>23</v>
      </c>
      <c r="H33" s="262">
        <v>0</v>
      </c>
      <c r="I33" s="262"/>
      <c r="J33" s="262">
        <v>44</v>
      </c>
      <c r="K33" s="262">
        <v>44</v>
      </c>
      <c r="L33" s="262">
        <v>47</v>
      </c>
      <c r="M33" s="262"/>
      <c r="N33" s="262">
        <v>47.5</v>
      </c>
      <c r="O33" s="262">
        <f>4+4+0.5</f>
        <v>8.5</v>
      </c>
      <c r="P33" s="262">
        <v>45.58</v>
      </c>
      <c r="Q33" s="262">
        <v>22</v>
      </c>
      <c r="R33" s="262">
        <v>44</v>
      </c>
      <c r="S33" s="262">
        <f>44</f>
        <v>44</v>
      </c>
      <c r="T33" s="488">
        <f>46-'C3LPG'!AC95</f>
        <v>29</v>
      </c>
      <c r="U33" s="488">
        <f>44-'C3LPG'!AD95</f>
        <v>26</v>
      </c>
      <c r="V33" s="262">
        <f>44+44</f>
        <v>88</v>
      </c>
      <c r="W33" s="262">
        <v>44</v>
      </c>
      <c r="X33" s="262">
        <v>44</v>
      </c>
      <c r="Y33" s="262">
        <v>44</v>
      </c>
      <c r="Z33" s="262">
        <v>44</v>
      </c>
      <c r="AA33" s="488">
        <f>44-'C3LPG'!AJ95</f>
        <v>37.168999999999997</v>
      </c>
      <c r="AB33" s="262">
        <v>44</v>
      </c>
      <c r="AC33" s="262">
        <v>44</v>
      </c>
      <c r="AD33" s="262">
        <v>44</v>
      </c>
      <c r="AE33" s="262">
        <v>44</v>
      </c>
      <c r="AF33" s="262">
        <v>44</v>
      </c>
      <c r="AG33" s="262"/>
      <c r="AH33" s="262"/>
    </row>
    <row r="34" spans="1:35" s="259" customFormat="1">
      <c r="A34" s="255" t="s">
        <v>143</v>
      </c>
      <c r="B34" s="258" t="s">
        <v>1</v>
      </c>
      <c r="C34" s="263"/>
      <c r="D34" s="263">
        <f t="shared" ref="D34:T34" si="48">+SUM(D27:D32)+D14</f>
        <v>64.706463907470706</v>
      </c>
      <c r="E34" s="263">
        <f t="shared" si="48"/>
        <v>67.831637630224606</v>
      </c>
      <c r="F34" s="263">
        <f t="shared" si="48"/>
        <v>63.70610145751953</v>
      </c>
      <c r="G34" s="263">
        <f t="shared" si="48"/>
        <v>66.647852199999988</v>
      </c>
      <c r="H34" s="263">
        <f t="shared" si="48"/>
        <v>65.481283899999994</v>
      </c>
      <c r="I34" s="263">
        <f t="shared" si="48"/>
        <v>34.979469999999999</v>
      </c>
      <c r="J34" s="263">
        <f t="shared" si="48"/>
        <v>48.598420000000004</v>
      </c>
      <c r="K34" s="263">
        <f t="shared" si="48"/>
        <v>56.282089999999997</v>
      </c>
      <c r="L34" s="263">
        <f t="shared" si="48"/>
        <v>87.805459999999997</v>
      </c>
      <c r="M34" s="263">
        <f t="shared" si="48"/>
        <v>60.257900000000006</v>
      </c>
      <c r="N34" s="263">
        <f t="shared" si="48"/>
        <v>77.369380699999994</v>
      </c>
      <c r="O34" s="263">
        <f t="shared" si="48"/>
        <v>53.237692360000004</v>
      </c>
      <c r="P34" s="263">
        <f t="shared" si="48"/>
        <v>89.407150000000001</v>
      </c>
      <c r="Q34" s="263">
        <f t="shared" si="48"/>
        <v>75.576880000000003</v>
      </c>
      <c r="R34" s="263">
        <f t="shared" si="48"/>
        <v>78.759662528000007</v>
      </c>
      <c r="S34" s="263">
        <f t="shared" si="48"/>
        <v>101.88334820000001</v>
      </c>
      <c r="T34" s="263">
        <f t="shared" si="48"/>
        <v>89.457428200000066</v>
      </c>
      <c r="U34" s="263">
        <f t="shared" ref="U34:AB34" si="49">+SUM(U27:U32)+U14</f>
        <v>71.649966310734726</v>
      </c>
      <c r="V34" s="263">
        <f t="shared" si="49"/>
        <v>63.489404940734708</v>
      </c>
      <c r="W34" s="263">
        <f t="shared" si="49"/>
        <v>66.969749150734657</v>
      </c>
      <c r="X34" s="263">
        <f t="shared" si="49"/>
        <v>55.554623120734654</v>
      </c>
      <c r="Y34" s="263">
        <f t="shared" si="49"/>
        <v>46.354257991988604</v>
      </c>
      <c r="Z34" s="263">
        <f t="shared" si="49"/>
        <v>42.452434310515159</v>
      </c>
      <c r="AA34" s="263">
        <f t="shared" si="49"/>
        <v>51.808856115687533</v>
      </c>
      <c r="AB34" s="263">
        <f t="shared" si="49"/>
        <v>52.649832458531179</v>
      </c>
      <c r="AC34" s="263">
        <f t="shared" ref="AC34:AD34" si="50">+SUM(AC27:AC32)+AC14</f>
        <v>43.759217269164239</v>
      </c>
      <c r="AD34" s="263">
        <f t="shared" si="50"/>
        <v>47.60575824200788</v>
      </c>
      <c r="AE34" s="263">
        <f t="shared" ref="AE34" si="51">+SUM(AE27:AE32)+AE14</f>
        <v>51.452302654114717</v>
      </c>
      <c r="AF34" s="263">
        <f>+SUM(AF27:AF32)+AF14</f>
        <v>59.919393326957952</v>
      </c>
      <c r="AG34" s="263"/>
      <c r="AH34" s="263"/>
      <c r="AI34" s="536" t="s">
        <v>144</v>
      </c>
    </row>
    <row r="35" spans="1:35" s="238" customFormat="1">
      <c r="C35" s="276"/>
      <c r="D35" s="250"/>
      <c r="AI35" s="532" t="s">
        <v>23</v>
      </c>
    </row>
    <row r="36" spans="1:35" s="238" customFormat="1">
      <c r="B36" s="394" t="s">
        <v>145</v>
      </c>
      <c r="C36" s="254"/>
      <c r="D36" s="250"/>
      <c r="P36" s="393">
        <v>22</v>
      </c>
      <c r="Q36" s="393">
        <v>33</v>
      </c>
      <c r="R36" s="393">
        <v>33</v>
      </c>
      <c r="S36" s="393">
        <v>13</v>
      </c>
      <c r="T36" s="393">
        <v>33</v>
      </c>
      <c r="U36" s="393">
        <v>23</v>
      </c>
      <c r="V36" s="393">
        <v>55</v>
      </c>
      <c r="W36" s="393">
        <v>11</v>
      </c>
      <c r="X36" s="393">
        <v>33</v>
      </c>
      <c r="Y36" s="393">
        <v>33</v>
      </c>
      <c r="Z36" s="393" t="s">
        <v>146</v>
      </c>
      <c r="AA36" s="393">
        <v>11</v>
      </c>
      <c r="AB36" s="393">
        <v>11</v>
      </c>
      <c r="AC36" s="393">
        <v>11</v>
      </c>
      <c r="AD36" s="393">
        <v>11</v>
      </c>
      <c r="AE36" s="393">
        <v>11</v>
      </c>
      <c r="AF36" s="393">
        <v>11</v>
      </c>
      <c r="AG36" s="393"/>
      <c r="AH36" s="393"/>
    </row>
    <row r="37" spans="1:35">
      <c r="A37" s="537"/>
      <c r="B37" s="451" t="s">
        <v>147</v>
      </c>
      <c r="C37" s="616"/>
      <c r="D37" s="250"/>
      <c r="E37" s="537"/>
      <c r="F37" s="537"/>
      <c r="G37" s="537"/>
      <c r="H37" s="537"/>
      <c r="I37" s="537"/>
      <c r="J37" s="537"/>
      <c r="K37" s="537"/>
      <c r="L37" s="537"/>
      <c r="M37" s="537"/>
      <c r="N37" s="537"/>
      <c r="O37" s="537"/>
      <c r="P37" s="262">
        <f t="shared" ref="P37:AA37" si="52">P33-P24</f>
        <v>40.58</v>
      </c>
      <c r="Q37" s="262">
        <f t="shared" si="52"/>
        <v>17</v>
      </c>
      <c r="R37" s="262">
        <f t="shared" si="52"/>
        <v>40.65</v>
      </c>
      <c r="S37" s="262">
        <f t="shared" si="52"/>
        <v>41</v>
      </c>
      <c r="T37" s="262">
        <f t="shared" si="52"/>
        <v>28.45</v>
      </c>
      <c r="U37" s="262">
        <f t="shared" si="52"/>
        <v>24</v>
      </c>
      <c r="V37" s="262">
        <f t="shared" si="52"/>
        <v>86.5</v>
      </c>
      <c r="W37" s="262">
        <f t="shared" si="52"/>
        <v>42.5</v>
      </c>
      <c r="X37" s="262">
        <f t="shared" si="52"/>
        <v>42.5</v>
      </c>
      <c r="Y37" s="262">
        <f t="shared" si="52"/>
        <v>42.5</v>
      </c>
      <c r="Z37" s="262">
        <f t="shared" si="52"/>
        <v>42.5</v>
      </c>
      <c r="AA37" s="262">
        <f t="shared" si="52"/>
        <v>35.668999999999997</v>
      </c>
      <c r="AB37" s="262">
        <f>AB33-AB24</f>
        <v>42.5</v>
      </c>
      <c r="AC37" s="262">
        <f>AC33-AC24</f>
        <v>42.5</v>
      </c>
      <c r="AD37" s="262">
        <f>AD33-AD24</f>
        <v>42.5</v>
      </c>
      <c r="AE37" s="262">
        <f>AE33-AE24</f>
        <v>42.5</v>
      </c>
      <c r="AF37" s="262">
        <f>AF33-AF24</f>
        <v>42.5</v>
      </c>
      <c r="AG37" s="262"/>
      <c r="AH37" s="262"/>
      <c r="AI37" s="534" t="s">
        <v>148</v>
      </c>
    </row>
    <row r="38" spans="1:35">
      <c r="A38" s="537"/>
      <c r="B38" s="617"/>
      <c r="C38" s="537"/>
      <c r="D38" s="537"/>
      <c r="E38" s="537"/>
      <c r="F38" s="537"/>
      <c r="G38" s="537"/>
      <c r="H38" s="537"/>
      <c r="I38" s="537"/>
      <c r="J38" s="537"/>
      <c r="K38" s="537"/>
      <c r="L38" s="537"/>
      <c r="M38" s="537"/>
      <c r="N38" s="537"/>
      <c r="O38" s="537"/>
      <c r="P38" s="537"/>
      <c r="Q38" s="537"/>
      <c r="R38" s="618"/>
      <c r="S38" s="537"/>
      <c r="T38" s="537"/>
      <c r="U38" s="537"/>
      <c r="V38" s="537"/>
      <c r="W38" s="537"/>
      <c r="X38" s="537"/>
      <c r="Y38" s="537"/>
      <c r="Z38" s="537"/>
      <c r="AA38" s="537"/>
      <c r="AB38" s="537"/>
      <c r="AC38" s="537"/>
      <c r="AD38" s="537"/>
      <c r="AE38" s="537"/>
      <c r="AF38" s="537"/>
      <c r="AG38" s="537"/>
      <c r="AH38" s="537"/>
      <c r="AI38" s="532" t="s">
        <v>23</v>
      </c>
    </row>
    <row r="39" spans="1:35">
      <c r="A39" s="537"/>
      <c r="B39" s="617"/>
      <c r="C39" s="619"/>
      <c r="D39" s="275">
        <f t="shared" ref="D39:Q39" si="53">D1</f>
        <v>43832</v>
      </c>
      <c r="E39" s="275">
        <f t="shared" si="53"/>
        <v>43863</v>
      </c>
      <c r="F39" s="275">
        <f t="shared" si="53"/>
        <v>43892</v>
      </c>
      <c r="G39" s="275">
        <f t="shared" si="53"/>
        <v>43923</v>
      </c>
      <c r="H39" s="275">
        <f t="shared" si="53"/>
        <v>43953</v>
      </c>
      <c r="I39" s="275">
        <f t="shared" si="53"/>
        <v>43984</v>
      </c>
      <c r="J39" s="275">
        <f t="shared" si="53"/>
        <v>44014</v>
      </c>
      <c r="K39" s="275">
        <f t="shared" si="53"/>
        <v>44045</v>
      </c>
      <c r="L39" s="275">
        <f t="shared" si="53"/>
        <v>44076</v>
      </c>
      <c r="M39" s="275">
        <f t="shared" si="53"/>
        <v>44106</v>
      </c>
      <c r="N39" s="275">
        <f t="shared" si="53"/>
        <v>44137</v>
      </c>
      <c r="O39" s="275">
        <f t="shared" si="53"/>
        <v>44167</v>
      </c>
      <c r="P39" s="275">
        <f t="shared" si="53"/>
        <v>44198</v>
      </c>
      <c r="Q39" s="275">
        <f t="shared" si="53"/>
        <v>44229</v>
      </c>
      <c r="R39" s="275">
        <f t="shared" ref="R39:AB39" si="54">R1</f>
        <v>44257</v>
      </c>
      <c r="S39" s="275">
        <f t="shared" si="54"/>
        <v>44288</v>
      </c>
      <c r="T39" s="275">
        <f t="shared" si="54"/>
        <v>44318</v>
      </c>
      <c r="U39" s="275">
        <f t="shared" si="54"/>
        <v>44349</v>
      </c>
      <c r="V39" s="275">
        <f t="shared" si="54"/>
        <v>44379</v>
      </c>
      <c r="W39" s="275">
        <f t="shared" si="54"/>
        <v>44410</v>
      </c>
      <c r="X39" s="275">
        <f t="shared" si="54"/>
        <v>44441</v>
      </c>
      <c r="Y39" s="275">
        <f t="shared" si="54"/>
        <v>44471</v>
      </c>
      <c r="Z39" s="275">
        <f t="shared" si="54"/>
        <v>44502</v>
      </c>
      <c r="AA39" s="275">
        <f t="shared" si="54"/>
        <v>44532</v>
      </c>
      <c r="AB39" s="275">
        <f t="shared" si="54"/>
        <v>44563</v>
      </c>
      <c r="AC39" s="275">
        <f t="shared" ref="AC39:AD39" si="55">AC1</f>
        <v>44594</v>
      </c>
      <c r="AD39" s="275">
        <f t="shared" si="55"/>
        <v>44622</v>
      </c>
      <c r="AE39" s="275">
        <f t="shared" ref="AE39:AF39" si="56">AE1</f>
        <v>44653</v>
      </c>
      <c r="AF39" s="275">
        <f t="shared" si="56"/>
        <v>44683</v>
      </c>
      <c r="AG39" s="275"/>
      <c r="AH39" s="275"/>
      <c r="AI39" s="537"/>
    </row>
    <row r="40" spans="1:35">
      <c r="A40" s="537" t="s">
        <v>149</v>
      </c>
      <c r="B40" s="617"/>
      <c r="C40" s="619"/>
      <c r="D40" s="620">
        <f t="shared" ref="D40:Q40" si="57">D34</f>
        <v>64.706463907470706</v>
      </c>
      <c r="E40" s="620">
        <f t="shared" si="57"/>
        <v>67.831637630224606</v>
      </c>
      <c r="F40" s="620">
        <f t="shared" si="57"/>
        <v>63.70610145751953</v>
      </c>
      <c r="G40" s="620">
        <f t="shared" si="57"/>
        <v>66.647852199999988</v>
      </c>
      <c r="H40" s="620">
        <f t="shared" si="57"/>
        <v>65.481283899999994</v>
      </c>
      <c r="I40" s="620">
        <f t="shared" si="57"/>
        <v>34.979469999999999</v>
      </c>
      <c r="J40" s="620">
        <f t="shared" si="57"/>
        <v>48.598420000000004</v>
      </c>
      <c r="K40" s="620">
        <f t="shared" si="57"/>
        <v>56.282089999999997</v>
      </c>
      <c r="L40" s="620">
        <f t="shared" si="57"/>
        <v>87.805459999999997</v>
      </c>
      <c r="M40" s="620">
        <f t="shared" si="57"/>
        <v>60.257900000000006</v>
      </c>
      <c r="N40" s="620">
        <f t="shared" si="57"/>
        <v>77.369380699999994</v>
      </c>
      <c r="O40" s="620">
        <f t="shared" si="57"/>
        <v>53.237692360000004</v>
      </c>
      <c r="P40" s="620">
        <f t="shared" si="57"/>
        <v>89.407150000000001</v>
      </c>
      <c r="Q40" s="620">
        <f t="shared" si="57"/>
        <v>75.576880000000003</v>
      </c>
      <c r="R40" s="620">
        <f t="shared" ref="R40:AB40" si="58">R34</f>
        <v>78.759662528000007</v>
      </c>
      <c r="S40" s="620">
        <f t="shared" si="58"/>
        <v>101.88334820000001</v>
      </c>
      <c r="T40" s="620">
        <f t="shared" si="58"/>
        <v>89.457428200000066</v>
      </c>
      <c r="U40" s="620">
        <f t="shared" si="58"/>
        <v>71.649966310734726</v>
      </c>
      <c r="V40" s="620">
        <f t="shared" si="58"/>
        <v>63.489404940734708</v>
      </c>
      <c r="W40" s="620">
        <f t="shared" si="58"/>
        <v>66.969749150734657</v>
      </c>
      <c r="X40" s="620">
        <f t="shared" si="58"/>
        <v>55.554623120734654</v>
      </c>
      <c r="Y40" s="620">
        <f t="shared" si="58"/>
        <v>46.354257991988604</v>
      </c>
      <c r="Z40" s="620">
        <f t="shared" si="58"/>
        <v>42.452434310515159</v>
      </c>
      <c r="AA40" s="620">
        <f t="shared" si="58"/>
        <v>51.808856115687533</v>
      </c>
      <c r="AB40" s="620">
        <f t="shared" si="58"/>
        <v>52.649832458531179</v>
      </c>
      <c r="AC40" s="620">
        <f t="shared" ref="AC40:AD40" si="59">AC34</f>
        <v>43.759217269164239</v>
      </c>
      <c r="AD40" s="620">
        <f t="shared" si="59"/>
        <v>47.60575824200788</v>
      </c>
      <c r="AE40" s="620">
        <f t="shared" ref="AE40" si="60">AE34</f>
        <v>51.452302654114717</v>
      </c>
      <c r="AF40" s="620">
        <f>AF34</f>
        <v>59.919393326957952</v>
      </c>
      <c r="AG40" s="620"/>
      <c r="AH40" s="620"/>
      <c r="AI40" s="534" t="s">
        <v>150</v>
      </c>
    </row>
    <row r="41" spans="1:35">
      <c r="A41" s="537" t="s">
        <v>151</v>
      </c>
      <c r="B41" s="617"/>
      <c r="C41" s="537"/>
      <c r="D41" s="620">
        <f>D40-D42</f>
        <v>64.706463907470706</v>
      </c>
      <c r="E41" s="620">
        <f t="shared" ref="E41:Q41" si="61">E40-E42</f>
        <v>67.831637630224606</v>
      </c>
      <c r="F41" s="620">
        <f t="shared" si="61"/>
        <v>63.70610145751953</v>
      </c>
      <c r="G41" s="620">
        <f t="shared" si="61"/>
        <v>43.647852199999988</v>
      </c>
      <c r="H41" s="620">
        <f t="shared" si="61"/>
        <v>65.481283899999994</v>
      </c>
      <c r="I41" s="620">
        <f t="shared" si="61"/>
        <v>34.979469999999999</v>
      </c>
      <c r="J41" s="620">
        <f t="shared" si="61"/>
        <v>4.5984200000000044</v>
      </c>
      <c r="K41" s="620">
        <f t="shared" si="61"/>
        <v>12.282089999999997</v>
      </c>
      <c r="L41" s="620">
        <f t="shared" si="61"/>
        <v>40.805459999999997</v>
      </c>
      <c r="M41" s="620">
        <f t="shared" si="61"/>
        <v>60.257900000000006</v>
      </c>
      <c r="N41" s="620">
        <f t="shared" si="61"/>
        <v>29.869380699999994</v>
      </c>
      <c r="O41" s="620">
        <f t="shared" si="61"/>
        <v>44.737692360000004</v>
      </c>
      <c r="P41" s="620">
        <f t="shared" si="61"/>
        <v>43.827150000000003</v>
      </c>
      <c r="Q41" s="620">
        <f t="shared" si="61"/>
        <v>53.576880000000003</v>
      </c>
      <c r="R41" s="620">
        <f t="shared" ref="R41:AB41" si="62">R40-R42</f>
        <v>34.759662528000007</v>
      </c>
      <c r="S41" s="620">
        <f t="shared" si="62"/>
        <v>57.883348200000015</v>
      </c>
      <c r="T41" s="620">
        <f t="shared" si="62"/>
        <v>60.457428200000066</v>
      </c>
      <c r="U41" s="620">
        <f t="shared" si="62"/>
        <v>45.649966310734726</v>
      </c>
      <c r="V41" s="620">
        <f t="shared" si="62"/>
        <v>-24.510595059265292</v>
      </c>
      <c r="W41" s="620">
        <f t="shared" si="62"/>
        <v>22.969749150734657</v>
      </c>
      <c r="X41" s="620">
        <f t="shared" si="62"/>
        <v>11.554623120734654</v>
      </c>
      <c r="Y41" s="620">
        <f t="shared" si="62"/>
        <v>2.3542579919886037</v>
      </c>
      <c r="Z41" s="620">
        <f t="shared" si="62"/>
        <v>-1.5475656894848413</v>
      </c>
      <c r="AA41" s="620">
        <f t="shared" si="62"/>
        <v>14.639856115687536</v>
      </c>
      <c r="AB41" s="620">
        <f t="shared" si="62"/>
        <v>8.6498324585311792</v>
      </c>
      <c r="AC41" s="620">
        <f t="shared" ref="AC41:AD41" si="63">AC40-AC42</f>
        <v>-0.24078273083576107</v>
      </c>
      <c r="AD41" s="620">
        <f t="shared" si="63"/>
        <v>3.6057582420078802</v>
      </c>
      <c r="AE41" s="620">
        <f t="shared" ref="AE41" si="64">AE40-AE42</f>
        <v>7.4523026541147175</v>
      </c>
      <c r="AF41" s="620">
        <f>AF40-AF42</f>
        <v>15.919393326957952</v>
      </c>
      <c r="AG41" s="620"/>
      <c r="AH41" s="620"/>
      <c r="AI41" s="534" t="s">
        <v>152</v>
      </c>
    </row>
    <row r="42" spans="1:35">
      <c r="A42" s="537" t="s">
        <v>142</v>
      </c>
      <c r="B42" s="617"/>
      <c r="C42" s="537"/>
      <c r="D42" s="620">
        <f>D33</f>
        <v>0</v>
      </c>
      <c r="E42" s="620">
        <f t="shared" ref="E42:Q42" si="65">E33</f>
        <v>0</v>
      </c>
      <c r="F42" s="620">
        <f t="shared" si="65"/>
        <v>0</v>
      </c>
      <c r="G42" s="620">
        <f t="shared" si="65"/>
        <v>23</v>
      </c>
      <c r="H42" s="620">
        <f t="shared" si="65"/>
        <v>0</v>
      </c>
      <c r="I42" s="620">
        <f t="shared" si="65"/>
        <v>0</v>
      </c>
      <c r="J42" s="620">
        <f t="shared" si="65"/>
        <v>44</v>
      </c>
      <c r="K42" s="620">
        <f t="shared" si="65"/>
        <v>44</v>
      </c>
      <c r="L42" s="620">
        <f t="shared" si="65"/>
        <v>47</v>
      </c>
      <c r="M42" s="620">
        <f t="shared" si="65"/>
        <v>0</v>
      </c>
      <c r="N42" s="620">
        <f t="shared" si="65"/>
        <v>47.5</v>
      </c>
      <c r="O42" s="620">
        <f t="shared" si="65"/>
        <v>8.5</v>
      </c>
      <c r="P42" s="620">
        <f t="shared" si="65"/>
        <v>45.58</v>
      </c>
      <c r="Q42" s="620">
        <f t="shared" si="65"/>
        <v>22</v>
      </c>
      <c r="R42" s="620">
        <f t="shared" ref="R42:AB42" si="66">R33</f>
        <v>44</v>
      </c>
      <c r="S42" s="620">
        <f t="shared" si="66"/>
        <v>44</v>
      </c>
      <c r="T42" s="620">
        <f t="shared" si="66"/>
        <v>29</v>
      </c>
      <c r="U42" s="620">
        <f t="shared" si="66"/>
        <v>26</v>
      </c>
      <c r="V42" s="620">
        <f t="shared" si="66"/>
        <v>88</v>
      </c>
      <c r="W42" s="620">
        <f t="shared" si="66"/>
        <v>44</v>
      </c>
      <c r="X42" s="620">
        <f t="shared" si="66"/>
        <v>44</v>
      </c>
      <c r="Y42" s="620">
        <f t="shared" si="66"/>
        <v>44</v>
      </c>
      <c r="Z42" s="620">
        <f t="shared" si="66"/>
        <v>44</v>
      </c>
      <c r="AA42" s="620">
        <f t="shared" si="66"/>
        <v>37.168999999999997</v>
      </c>
      <c r="AB42" s="620">
        <f t="shared" si="66"/>
        <v>44</v>
      </c>
      <c r="AC42" s="620">
        <f t="shared" ref="AC42:AD42" si="67">AC33</f>
        <v>44</v>
      </c>
      <c r="AD42" s="620">
        <f t="shared" si="67"/>
        <v>44</v>
      </c>
      <c r="AE42" s="620">
        <f t="shared" ref="AE42" si="68">AE33</f>
        <v>44</v>
      </c>
      <c r="AF42" s="620">
        <f>AF33</f>
        <v>44</v>
      </c>
      <c r="AG42" s="620"/>
      <c r="AH42" s="620"/>
      <c r="AI42" s="534" t="s">
        <v>153</v>
      </c>
    </row>
    <row r="43" spans="1:35">
      <c r="A43" s="537" t="s">
        <v>154</v>
      </c>
      <c r="B43" s="617"/>
      <c r="C43" s="537"/>
      <c r="D43" s="537">
        <v>25.57</v>
      </c>
      <c r="E43" s="537">
        <v>25.57</v>
      </c>
      <c r="F43" s="537">
        <v>25.57</v>
      </c>
      <c r="G43" s="537">
        <v>25.57</v>
      </c>
      <c r="H43" s="537">
        <v>25.57</v>
      </c>
      <c r="I43" s="537">
        <v>25.57</v>
      </c>
      <c r="J43" s="537">
        <v>25.57</v>
      </c>
      <c r="K43" s="537">
        <v>25.57</v>
      </c>
      <c r="L43" s="537">
        <v>25.57</v>
      </c>
      <c r="M43" s="537">
        <v>25.57</v>
      </c>
      <c r="N43" s="537">
        <v>25.57</v>
      </c>
      <c r="O43" s="537">
        <v>25.57</v>
      </c>
      <c r="P43" s="537">
        <f>5+14</f>
        <v>19</v>
      </c>
      <c r="Q43" s="537">
        <f t="shared" ref="Q43:AD43" si="69">5+14</f>
        <v>19</v>
      </c>
      <c r="R43" s="537">
        <f t="shared" si="69"/>
        <v>19</v>
      </c>
      <c r="S43" s="537">
        <f t="shared" si="69"/>
        <v>19</v>
      </c>
      <c r="T43" s="537">
        <f t="shared" si="69"/>
        <v>19</v>
      </c>
      <c r="U43" s="537">
        <f t="shared" si="69"/>
        <v>19</v>
      </c>
      <c r="V43" s="537">
        <f t="shared" si="69"/>
        <v>19</v>
      </c>
      <c r="W43" s="537">
        <f t="shared" si="69"/>
        <v>19</v>
      </c>
      <c r="X43" s="537">
        <f t="shared" si="69"/>
        <v>19</v>
      </c>
      <c r="Y43" s="537">
        <f t="shared" si="69"/>
        <v>19</v>
      </c>
      <c r="Z43" s="537">
        <f t="shared" si="69"/>
        <v>19</v>
      </c>
      <c r="AA43" s="537">
        <f t="shared" si="69"/>
        <v>19</v>
      </c>
      <c r="AB43" s="537">
        <f t="shared" si="69"/>
        <v>19</v>
      </c>
      <c r="AC43" s="537">
        <f t="shared" si="69"/>
        <v>19</v>
      </c>
      <c r="AD43" s="537">
        <f t="shared" si="69"/>
        <v>19</v>
      </c>
      <c r="AE43" s="537">
        <f>5+14</f>
        <v>19</v>
      </c>
      <c r="AF43" s="537">
        <f>5+14</f>
        <v>19</v>
      </c>
      <c r="AG43" s="537"/>
      <c r="AH43" s="537"/>
      <c r="AI43" s="535" t="s">
        <v>155</v>
      </c>
    </row>
    <row r="44" spans="1:35">
      <c r="A44" s="537" t="s">
        <v>156</v>
      </c>
      <c r="B44" s="617"/>
      <c r="C44" s="537"/>
      <c r="D44" s="537">
        <v>41.7</v>
      </c>
      <c r="E44" s="537">
        <v>41.7</v>
      </c>
      <c r="F44" s="537">
        <v>41.7</v>
      </c>
      <c r="G44" s="537">
        <v>41.7</v>
      </c>
      <c r="H44" s="537">
        <v>41.7</v>
      </c>
      <c r="I44" s="537">
        <v>41.7</v>
      </c>
      <c r="J44" s="537">
        <v>41.7</v>
      </c>
      <c r="K44" s="537">
        <v>41.7</v>
      </c>
      <c r="L44" s="537">
        <v>41.7</v>
      </c>
      <c r="M44" s="537">
        <v>41.7</v>
      </c>
      <c r="N44" s="537">
        <v>41.7</v>
      </c>
      <c r="O44" s="537">
        <v>41.7</v>
      </c>
      <c r="P44" s="537">
        <f>19+17</f>
        <v>36</v>
      </c>
      <c r="Q44" s="537">
        <f t="shared" ref="Q44:AE44" si="70">19+17</f>
        <v>36</v>
      </c>
      <c r="R44" s="537">
        <f t="shared" si="70"/>
        <v>36</v>
      </c>
      <c r="S44" s="537">
        <f t="shared" si="70"/>
        <v>36</v>
      </c>
      <c r="T44" s="537">
        <f t="shared" si="70"/>
        <v>36</v>
      </c>
      <c r="U44" s="537">
        <f t="shared" si="70"/>
        <v>36</v>
      </c>
      <c r="V44" s="537">
        <f t="shared" si="70"/>
        <v>36</v>
      </c>
      <c r="W44" s="537">
        <f t="shared" si="70"/>
        <v>36</v>
      </c>
      <c r="X44" s="537">
        <f t="shared" si="70"/>
        <v>36</v>
      </c>
      <c r="Y44" s="537">
        <f t="shared" si="70"/>
        <v>36</v>
      </c>
      <c r="Z44" s="537">
        <f t="shared" si="70"/>
        <v>36</v>
      </c>
      <c r="AA44" s="537">
        <f t="shared" si="70"/>
        <v>36</v>
      </c>
      <c r="AB44" s="537">
        <f t="shared" si="70"/>
        <v>36</v>
      </c>
      <c r="AC44" s="537">
        <f t="shared" si="70"/>
        <v>36</v>
      </c>
      <c r="AD44" s="537">
        <f t="shared" si="70"/>
        <v>36</v>
      </c>
      <c r="AE44" s="537">
        <f t="shared" si="70"/>
        <v>36</v>
      </c>
      <c r="AF44" s="537">
        <f>19+17</f>
        <v>36</v>
      </c>
      <c r="AG44" s="537"/>
      <c r="AH44" s="537"/>
      <c r="AI44" s="535" t="s">
        <v>157</v>
      </c>
    </row>
  </sheetData>
  <phoneticPr fontId="192" type="noConversion"/>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1E72C-BBED-2548-99CB-C0EC8E3BF2AA}">
  <dimension ref="A1:AT57"/>
  <sheetViews>
    <sheetView topLeftCell="A15" zoomScale="125" workbookViewId="0">
      <selection activeCell="AA26" sqref="AA26"/>
    </sheetView>
  </sheetViews>
  <sheetFormatPr defaultColWidth="8.375" defaultRowHeight="14.25"/>
  <cols>
    <col min="1" max="1" width="56.375" style="537" customWidth="1"/>
    <col min="2" max="2" width="8.375" style="617"/>
    <col min="3" max="25" width="9.125" style="537" hidden="1" customWidth="1"/>
    <col min="26" max="26" width="8.375" style="537" hidden="1" customWidth="1"/>
    <col min="27" max="30" width="8.375" style="537" customWidth="1"/>
    <col min="31" max="39" width="8.375" style="537"/>
    <col min="40" max="40" width="31.875" style="537" customWidth="1"/>
    <col min="41" max="41" width="15.125" style="537" customWidth="1"/>
    <col min="42" max="42" width="9.125" style="256" bestFit="1" customWidth="1"/>
    <col min="43" max="44" width="8.375" style="537"/>
    <col min="45" max="45" width="26.375" style="537" bestFit="1" customWidth="1"/>
    <col min="46" max="16384" width="8.375" style="537"/>
  </cols>
  <sheetData>
    <row r="1" spans="1:42" s="238" customFormat="1" ht="15" thickBot="1">
      <c r="A1" s="235"/>
      <c r="B1" s="236" t="s">
        <v>14</v>
      </c>
      <c r="C1" s="237">
        <v>43801</v>
      </c>
      <c r="D1" s="237">
        <v>43832</v>
      </c>
      <c r="E1" s="237">
        <v>43863</v>
      </c>
      <c r="F1" s="237">
        <v>43892</v>
      </c>
      <c r="G1" s="237">
        <v>43923</v>
      </c>
      <c r="H1" s="237">
        <v>43953</v>
      </c>
      <c r="I1" s="237">
        <v>43984</v>
      </c>
      <c r="J1" s="237">
        <v>44014</v>
      </c>
      <c r="K1" s="237">
        <v>44045</v>
      </c>
      <c r="L1" s="237">
        <v>44076</v>
      </c>
      <c r="M1" s="237">
        <v>44106</v>
      </c>
      <c r="N1" s="237">
        <v>44137</v>
      </c>
      <c r="O1" s="237">
        <v>44167</v>
      </c>
      <c r="P1" s="237">
        <v>44198</v>
      </c>
      <c r="Q1" s="237">
        <v>44229</v>
      </c>
      <c r="R1" s="237">
        <v>44257</v>
      </c>
      <c r="S1" s="237">
        <v>44288</v>
      </c>
      <c r="T1" s="237">
        <v>44318</v>
      </c>
      <c r="U1" s="237">
        <v>44349</v>
      </c>
      <c r="V1" s="237">
        <v>44379</v>
      </c>
      <c r="W1" s="237">
        <v>44410</v>
      </c>
      <c r="X1" s="237">
        <v>44441</v>
      </c>
      <c r="Y1" s="237">
        <v>44471</v>
      </c>
      <c r="Z1" s="237">
        <v>44502</v>
      </c>
      <c r="AA1" s="237">
        <v>44532</v>
      </c>
      <c r="AB1" s="237">
        <v>44563</v>
      </c>
      <c r="AC1" s="237">
        <v>44594</v>
      </c>
      <c r="AD1" s="237">
        <v>44622</v>
      </c>
      <c r="AE1" s="237">
        <v>44653</v>
      </c>
      <c r="AF1" s="237">
        <v>44683</v>
      </c>
      <c r="AG1" s="237">
        <v>44714</v>
      </c>
      <c r="AH1" s="237">
        <v>44744</v>
      </c>
      <c r="AI1" s="237">
        <v>44775</v>
      </c>
      <c r="AJ1" s="237">
        <v>44806</v>
      </c>
      <c r="AK1" s="237">
        <v>44836</v>
      </c>
      <c r="AL1" s="237">
        <v>44867</v>
      </c>
      <c r="AM1" s="237">
        <v>44897</v>
      </c>
      <c r="AO1" s="579" t="s">
        <v>3</v>
      </c>
    </row>
    <row r="2" spans="1:42" s="238" customFormat="1">
      <c r="A2" s="239" t="s">
        <v>92</v>
      </c>
      <c r="B2" s="240"/>
      <c r="C2" s="241"/>
      <c r="D2" s="241"/>
      <c r="AO2" s="580" t="s">
        <v>158</v>
      </c>
    </row>
    <row r="3" spans="1:42" s="238" customFormat="1">
      <c r="A3" s="242" t="s">
        <v>93</v>
      </c>
      <c r="B3" s="243" t="s">
        <v>1</v>
      </c>
      <c r="C3" s="264">
        <f t="shared" ref="C3:AL3" si="0">C4+C5+C6</f>
        <v>347.86</v>
      </c>
      <c r="D3" s="264">
        <f t="shared" si="0"/>
        <v>294.16699999999997</v>
      </c>
      <c r="E3" s="264">
        <f t="shared" si="0"/>
        <v>290.39999999999998</v>
      </c>
      <c r="F3" s="264">
        <f t="shared" si="0"/>
        <v>306.5</v>
      </c>
      <c r="G3" s="264">
        <f t="shared" si="0"/>
        <v>250.80099999999999</v>
      </c>
      <c r="H3" s="264">
        <f t="shared" si="0"/>
        <v>233</v>
      </c>
      <c r="I3" s="264">
        <f t="shared" si="0"/>
        <v>242.08</v>
      </c>
      <c r="J3" s="264">
        <f t="shared" si="0"/>
        <v>277.608</v>
      </c>
      <c r="K3" s="264">
        <f t="shared" si="0"/>
        <v>298.5</v>
      </c>
      <c r="L3" s="264">
        <f t="shared" si="0"/>
        <v>289</v>
      </c>
      <c r="M3" s="264">
        <f t="shared" si="0"/>
        <v>286.80200000000002</v>
      </c>
      <c r="N3" s="264">
        <f t="shared" si="0"/>
        <v>300.7</v>
      </c>
      <c r="O3" s="264">
        <f t="shared" si="0"/>
        <v>299.97700000000003</v>
      </c>
      <c r="P3" s="264">
        <f t="shared" si="0"/>
        <v>302.40185793868551</v>
      </c>
      <c r="Q3" s="264">
        <f t="shared" si="0"/>
        <v>308.34023227435034</v>
      </c>
      <c r="R3" s="264">
        <f t="shared" si="0"/>
        <v>322</v>
      </c>
      <c r="S3" s="264">
        <f t="shared" si="0"/>
        <v>296</v>
      </c>
      <c r="T3" s="264">
        <f t="shared" si="0"/>
        <v>325.161</v>
      </c>
      <c r="U3" s="264">
        <f t="shared" si="0"/>
        <v>314.78385350177302</v>
      </c>
      <c r="V3" s="264">
        <f t="shared" si="0"/>
        <v>314</v>
      </c>
      <c r="W3" s="264">
        <f t="shared" si="0"/>
        <v>305</v>
      </c>
      <c r="X3" s="264">
        <f t="shared" si="0"/>
        <v>307.75632875843218</v>
      </c>
      <c r="Y3" s="264">
        <f t="shared" si="0"/>
        <v>285.24027184122048</v>
      </c>
      <c r="Z3" s="264">
        <f t="shared" si="0"/>
        <v>286.97827817290158</v>
      </c>
      <c r="AA3" s="264">
        <f t="shared" si="0"/>
        <v>299.07009928877699</v>
      </c>
      <c r="AB3" s="264">
        <f t="shared" si="0"/>
        <v>305.37387931034482</v>
      </c>
      <c r="AC3" s="264">
        <f t="shared" si="0"/>
        <v>292.73965517241385</v>
      </c>
      <c r="AD3" s="264">
        <f t="shared" si="0"/>
        <v>310.78318965517246</v>
      </c>
      <c r="AE3" s="264">
        <f>AE4+AE5+AE6</f>
        <v>317.93534482758628</v>
      </c>
      <c r="AF3" s="264">
        <f t="shared" si="0"/>
        <v>309.11650862068961</v>
      </c>
      <c r="AG3" s="264">
        <f t="shared" si="0"/>
        <v>285.49137931034477</v>
      </c>
      <c r="AH3" s="264">
        <f t="shared" si="0"/>
        <v>306.00775862068963</v>
      </c>
      <c r="AI3" s="264">
        <f t="shared" si="0"/>
        <v>305.20818965517242</v>
      </c>
      <c r="AJ3" s="264">
        <f t="shared" si="0"/>
        <v>300.68534482758628</v>
      </c>
      <c r="AK3" s="264">
        <f t="shared" si="0"/>
        <v>316.20818965517242</v>
      </c>
      <c r="AL3" s="264">
        <f t="shared" si="0"/>
        <v>306.78879310344826</v>
      </c>
      <c r="AM3" s="264">
        <f>AM4+AM5+AM6</f>
        <v>302.90483077594604</v>
      </c>
      <c r="AN3" s="689" t="s">
        <v>5</v>
      </c>
      <c r="AO3" s="579" t="s">
        <v>3</v>
      </c>
      <c r="AP3" s="534" t="s">
        <v>94</v>
      </c>
    </row>
    <row r="4" spans="1:42" s="238" customFormat="1">
      <c r="A4" s="244" t="s">
        <v>95</v>
      </c>
      <c r="B4" s="245" t="s">
        <v>1</v>
      </c>
      <c r="C4" s="265">
        <v>308.76</v>
      </c>
      <c r="D4" s="265">
        <f>[7]C3LPG!M59</f>
        <v>274.16699999999997</v>
      </c>
      <c r="E4" s="265">
        <f>[7]C3LPG!N59</f>
        <v>269</v>
      </c>
      <c r="F4" s="265">
        <f>[7]C3LPG!O59</f>
        <v>299.5</v>
      </c>
      <c r="G4" s="265">
        <f>[7]C3LPG!P59</f>
        <v>248.80099999999999</v>
      </c>
      <c r="H4" s="265">
        <f>[7]C3LPG!Q59</f>
        <v>225</v>
      </c>
      <c r="I4" s="265">
        <f>[7]C3LPG!R59</f>
        <v>238.5</v>
      </c>
      <c r="J4" s="265">
        <f>[7]C3LPG!S59</f>
        <v>250.608</v>
      </c>
      <c r="K4" s="265">
        <f>[7]C3LPG!T59</f>
        <v>270.3</v>
      </c>
      <c r="L4" s="265">
        <f>[7]C3LPG!U59</f>
        <v>276</v>
      </c>
      <c r="M4" s="265">
        <f>[7]C3LPG!V59</f>
        <v>279.80200000000002</v>
      </c>
      <c r="N4" s="265">
        <f>[7]C3LPG!W59</f>
        <v>255.7</v>
      </c>
      <c r="O4" s="265">
        <f>[7]C3LPG!X59</f>
        <v>267.7</v>
      </c>
      <c r="P4" s="265">
        <f>[7]C3LPG!Y59</f>
        <v>277.40185793868551</v>
      </c>
      <c r="Q4" s="265">
        <f>[7]C3LPG!Z59</f>
        <v>254.34023227435031</v>
      </c>
      <c r="R4" s="265">
        <f>[7]C3LPG!AA59</f>
        <v>285</v>
      </c>
      <c r="S4" s="265">
        <f>[7]C3LPG!AB59</f>
        <v>264.5</v>
      </c>
      <c r="T4" s="265">
        <f>[7]C3LPG!AC59</f>
        <v>290.161</v>
      </c>
      <c r="U4" s="265">
        <f>[7]C3LPG!AD59</f>
        <v>283.28385350177302</v>
      </c>
      <c r="V4" s="265">
        <f>[7]C3LPG!AE59</f>
        <v>214</v>
      </c>
      <c r="W4" s="265">
        <f>[7]C3LPG!AF59</f>
        <v>279</v>
      </c>
      <c r="X4" s="265">
        <f>[7]C3LPG!AG59</f>
        <v>256.75632875843218</v>
      </c>
      <c r="Y4" s="265">
        <f>[7]C3LPG!AH59</f>
        <v>242.24027184122048</v>
      </c>
      <c r="Z4" s="265">
        <f>[7]C3LPG!AI59</f>
        <v>257.97827817290158</v>
      </c>
      <c r="AA4" s="265">
        <f>[7]C3LPG!AJ59</f>
        <v>271.07009928877699</v>
      </c>
      <c r="AB4" s="265">
        <f>[7]C3LPG!AK59</f>
        <v>295.37387931034482</v>
      </c>
      <c r="AC4" s="265">
        <f>[7]C3LPG!AL59</f>
        <v>261.73965517241385</v>
      </c>
      <c r="AD4" s="265">
        <f>[7]C3LPG!AM59</f>
        <v>289.78318965517246</v>
      </c>
      <c r="AE4" s="265">
        <f>[7]C3LPG!AN59</f>
        <v>266.93534482758628</v>
      </c>
      <c r="AF4" s="265">
        <f>[7]C3LPG!AO59</f>
        <v>265.11650862068961</v>
      </c>
      <c r="AG4" s="265">
        <f>[7]C3LPG!AP59</f>
        <v>255.4913793103448</v>
      </c>
      <c r="AH4" s="265">
        <f>[7]C3LPG!AQ59</f>
        <v>264.00775862068963</v>
      </c>
      <c r="AI4" s="265">
        <f>[7]C3LPG!AR59</f>
        <v>264.20818965517242</v>
      </c>
      <c r="AJ4" s="265">
        <f>[7]C3LPG!AS59</f>
        <v>255.68534482758628</v>
      </c>
      <c r="AK4" s="265">
        <f>[7]C3LPG!AT59</f>
        <v>264.20818965517242</v>
      </c>
      <c r="AL4" s="265">
        <f>[7]C3LPG!AU59</f>
        <v>249.78879310344828</v>
      </c>
      <c r="AM4" s="265">
        <f>[7]C3LPG!AV59</f>
        <v>242.90483077594604</v>
      </c>
      <c r="AN4" s="688" t="s">
        <v>159</v>
      </c>
      <c r="AO4" s="579" t="s">
        <v>3</v>
      </c>
      <c r="AP4" s="534" t="s">
        <v>96</v>
      </c>
    </row>
    <row r="5" spans="1:42" s="238" customFormat="1">
      <c r="A5" s="244" t="s">
        <v>97</v>
      </c>
      <c r="B5" s="245" t="s">
        <v>1</v>
      </c>
      <c r="C5" s="265">
        <v>25</v>
      </c>
      <c r="D5" s="265">
        <f>[7]C3LPG!M61</f>
        <v>20</v>
      </c>
      <c r="E5" s="265">
        <f>[7]C3LPG!N61</f>
        <v>18</v>
      </c>
      <c r="F5" s="265">
        <f>[7]C3LPG!O61</f>
        <v>7</v>
      </c>
      <c r="G5" s="265">
        <f>[7]C3LPG!P61</f>
        <v>2</v>
      </c>
      <c r="H5" s="265">
        <f>[7]C3LPG!Q61</f>
        <v>6</v>
      </c>
      <c r="I5" s="265">
        <f>[7]C3LPG!R61</f>
        <v>0</v>
      </c>
      <c r="J5" s="265">
        <f>[7]C3LPG!S61</f>
        <v>4</v>
      </c>
      <c r="K5" s="265">
        <f>[7]C3LPG!T61</f>
        <v>1.2</v>
      </c>
      <c r="L5" s="265">
        <f>[7]C3LPG!U61</f>
        <v>0</v>
      </c>
      <c r="M5" s="265">
        <f>[7]C3LPG!V61</f>
        <v>0</v>
      </c>
      <c r="N5" s="265">
        <f>[7]C3LPG!W61</f>
        <v>13</v>
      </c>
      <c r="O5" s="265">
        <f>[7]C3LPG!X61</f>
        <v>11.6</v>
      </c>
      <c r="P5" s="265">
        <f>[7]C3LPG!Y61</f>
        <v>19</v>
      </c>
      <c r="Q5" s="265">
        <f>[7]C3LPG!Z61</f>
        <v>15</v>
      </c>
      <c r="R5" s="265">
        <f>[7]C3LPG!AA61</f>
        <v>0</v>
      </c>
      <c r="S5" s="265">
        <f>[7]C3LPG!AB61</f>
        <v>2</v>
      </c>
      <c r="T5" s="265">
        <f>[7]C3LPG!AC61</f>
        <v>0</v>
      </c>
      <c r="U5" s="265">
        <f>[7]C3LPG!AD61</f>
        <v>0</v>
      </c>
      <c r="V5" s="265">
        <f>[7]C3LPG!AE61</f>
        <v>0</v>
      </c>
      <c r="W5" s="265">
        <f>[7]C3LPG!AF61</f>
        <v>0</v>
      </c>
      <c r="X5" s="265">
        <f>[7]C3LPG!AG61</f>
        <v>0</v>
      </c>
      <c r="Y5" s="265">
        <f>[7]C3LPG!AH61</f>
        <v>1</v>
      </c>
      <c r="Z5" s="265">
        <f>[7]C3LPG!AI61</f>
        <v>0</v>
      </c>
      <c r="AA5" s="265">
        <f>[7]C3LPG!AJ61</f>
        <v>0</v>
      </c>
      <c r="AB5" s="265">
        <f>[7]C3LPG!AK61</f>
        <v>0</v>
      </c>
      <c r="AC5" s="265">
        <f>[7]C3LPG!AL61</f>
        <v>0</v>
      </c>
      <c r="AD5" s="265">
        <f>[7]C3LPG!AM61</f>
        <v>0</v>
      </c>
      <c r="AE5" s="265">
        <f>[7]C3LPG!AN61</f>
        <v>0</v>
      </c>
      <c r="AF5" s="265">
        <f>[7]C3LPG!AO61</f>
        <v>0</v>
      </c>
      <c r="AG5" s="265">
        <f>[7]C3LPG!AP61</f>
        <v>0</v>
      </c>
      <c r="AH5" s="265">
        <f>[7]C3LPG!AQ61</f>
        <v>0</v>
      </c>
      <c r="AI5" s="265">
        <f>[7]C3LPG!AR61</f>
        <v>0</v>
      </c>
      <c r="AJ5" s="265">
        <f>[7]C3LPG!AS61</f>
        <v>0</v>
      </c>
      <c r="AK5" s="265">
        <f>[7]C3LPG!AT61</f>
        <v>0</v>
      </c>
      <c r="AL5" s="265">
        <f>[7]C3LPG!AU61</f>
        <v>0</v>
      </c>
      <c r="AM5" s="265">
        <f>[7]C3LPG!AV61</f>
        <v>0</v>
      </c>
      <c r="AN5" s="688" t="s">
        <v>159</v>
      </c>
      <c r="AO5" s="579" t="s">
        <v>3</v>
      </c>
      <c r="AP5" s="534" t="s">
        <v>98</v>
      </c>
    </row>
    <row r="6" spans="1:42" s="238" customFormat="1">
      <c r="A6" s="244" t="s">
        <v>99</v>
      </c>
      <c r="B6" s="245" t="s">
        <v>1</v>
      </c>
      <c r="C6" s="265">
        <v>14.1</v>
      </c>
      <c r="D6" s="265">
        <f>[7]C3LPG!M8</f>
        <v>0</v>
      </c>
      <c r="E6" s="265">
        <f>[7]C3LPG!N8</f>
        <v>3.4</v>
      </c>
      <c r="F6" s="265">
        <f>[7]C3LPG!O8</f>
        <v>0</v>
      </c>
      <c r="G6" s="265">
        <f>[7]C3LPG!P8</f>
        <v>0</v>
      </c>
      <c r="H6" s="265">
        <f>[7]C3LPG!Q8</f>
        <v>2</v>
      </c>
      <c r="I6" s="265">
        <f>[7]C3LPG!R8</f>
        <v>3.58</v>
      </c>
      <c r="J6" s="265">
        <f>[7]C3LPG!S8</f>
        <v>23</v>
      </c>
      <c r="K6" s="265">
        <f>[7]C3LPG!T8</f>
        <v>27</v>
      </c>
      <c r="L6" s="265">
        <f>[7]C3LPG!U8</f>
        <v>13</v>
      </c>
      <c r="M6" s="265">
        <f>[7]C3LPG!V8</f>
        <v>7</v>
      </c>
      <c r="N6" s="265">
        <f>[7]C3LPG!W8</f>
        <v>32</v>
      </c>
      <c r="O6" s="265">
        <f>[7]C3LPG!X8</f>
        <v>20.677</v>
      </c>
      <c r="P6" s="265">
        <f>[7]C3LPG!Y8</f>
        <v>6</v>
      </c>
      <c r="Q6" s="265">
        <f>[7]C3LPG!Z8</f>
        <v>39</v>
      </c>
      <c r="R6" s="265">
        <f>[7]C3LPG!AA8</f>
        <v>37</v>
      </c>
      <c r="S6" s="265">
        <f>[7]C3LPG!AB8</f>
        <v>29.5</v>
      </c>
      <c r="T6" s="265">
        <f>[7]C3LPG!AC8</f>
        <v>35</v>
      </c>
      <c r="U6" s="265">
        <f>[7]C3LPG!AD8</f>
        <v>31.5</v>
      </c>
      <c r="V6" s="265">
        <f>[7]C3LPG!AE8</f>
        <v>100</v>
      </c>
      <c r="W6" s="265">
        <f>[7]C3LPG!AF8</f>
        <v>26</v>
      </c>
      <c r="X6" s="265">
        <f>[7]C3LPG!AG8</f>
        <v>51</v>
      </c>
      <c r="Y6" s="265">
        <f>[7]C3LPG!AH8</f>
        <v>42</v>
      </c>
      <c r="Z6" s="265">
        <f>[7]C3LPG!AI8</f>
        <v>29</v>
      </c>
      <c r="AA6" s="265">
        <f>[7]C3LPG!AJ8</f>
        <v>28</v>
      </c>
      <c r="AB6" s="265">
        <f>[7]C3LPG!AK8</f>
        <v>10</v>
      </c>
      <c r="AC6" s="265">
        <f>[7]C3LPG!AL8</f>
        <v>31</v>
      </c>
      <c r="AD6" s="265">
        <f>[7]C3LPG!AM8</f>
        <v>21</v>
      </c>
      <c r="AE6" s="265">
        <f>[7]C3LPG!AN8</f>
        <v>51</v>
      </c>
      <c r="AF6" s="265">
        <f>[7]C3LPG!AO8</f>
        <v>44</v>
      </c>
      <c r="AG6" s="265">
        <f>[7]C3LPG!AP8</f>
        <v>30</v>
      </c>
      <c r="AH6" s="265">
        <f>[7]C3LPG!AQ8</f>
        <v>42</v>
      </c>
      <c r="AI6" s="265">
        <f>[7]C3LPG!AR8</f>
        <v>41</v>
      </c>
      <c r="AJ6" s="265">
        <f>[7]C3LPG!AS8</f>
        <v>45</v>
      </c>
      <c r="AK6" s="265">
        <f>[7]C3LPG!AT8</f>
        <v>52</v>
      </c>
      <c r="AL6" s="265">
        <f>[7]C3LPG!AU8</f>
        <v>57</v>
      </c>
      <c r="AM6" s="265">
        <f>[7]C3LPG!AV8</f>
        <v>60</v>
      </c>
      <c r="AN6" s="688" t="s">
        <v>159</v>
      </c>
      <c r="AO6" s="579" t="s">
        <v>3</v>
      </c>
      <c r="AP6" s="534" t="s">
        <v>100</v>
      </c>
    </row>
    <row r="7" spans="1:42" s="238" customFormat="1">
      <c r="A7" s="242" t="s">
        <v>101</v>
      </c>
      <c r="B7" s="243" t="s">
        <v>1</v>
      </c>
      <c r="C7" s="264">
        <f t="shared" ref="C7:AM7" si="1">+C8+C9+C13</f>
        <v>344.06112309999997</v>
      </c>
      <c r="D7" s="264">
        <f t="shared" si="1"/>
        <v>315.41329082000004</v>
      </c>
      <c r="E7" s="264">
        <f t="shared" si="1"/>
        <v>273.98145952999994</v>
      </c>
      <c r="F7" s="264">
        <f t="shared" si="1"/>
        <v>305.178</v>
      </c>
      <c r="G7" s="264">
        <f t="shared" si="1"/>
        <v>266.24</v>
      </c>
      <c r="H7" s="264">
        <f t="shared" si="1"/>
        <v>220.37659381</v>
      </c>
      <c r="I7" s="264">
        <f t="shared" si="1"/>
        <v>259.59017382000002</v>
      </c>
      <c r="J7" s="264">
        <f t="shared" si="1"/>
        <v>276.56</v>
      </c>
      <c r="K7" s="264">
        <f t="shared" si="1"/>
        <v>301.61236263736265</v>
      </c>
      <c r="L7" s="264">
        <f t="shared" si="1"/>
        <v>277.89999999999998</v>
      </c>
      <c r="M7" s="264">
        <f t="shared" si="1"/>
        <v>296.91999999999996</v>
      </c>
      <c r="N7" s="264">
        <f t="shared" si="1"/>
        <v>295.10240770999997</v>
      </c>
      <c r="O7" s="264">
        <f t="shared" si="1"/>
        <v>307.56399999999996</v>
      </c>
      <c r="P7" s="264">
        <f t="shared" si="1"/>
        <v>298.947</v>
      </c>
      <c r="Q7" s="264">
        <f t="shared" si="1"/>
        <v>302.78343945</v>
      </c>
      <c r="R7" s="264">
        <f t="shared" si="1"/>
        <v>326.94600000000003</v>
      </c>
      <c r="S7" s="264">
        <f t="shared" si="1"/>
        <v>296.59099999999995</v>
      </c>
      <c r="T7" s="264">
        <f t="shared" si="1"/>
        <v>341.82699999999994</v>
      </c>
      <c r="U7" s="264">
        <f t="shared" si="1"/>
        <v>327.12</v>
      </c>
      <c r="V7" s="264">
        <f t="shared" si="1"/>
        <v>316.03899999999999</v>
      </c>
      <c r="W7" s="264">
        <f t="shared" si="1"/>
        <v>293.09399999999999</v>
      </c>
      <c r="X7" s="264">
        <f t="shared" si="1"/>
        <v>321.53599999999994</v>
      </c>
      <c r="Y7" s="264">
        <f t="shared" si="1"/>
        <v>282.89500000000004</v>
      </c>
      <c r="Z7" s="264">
        <f t="shared" si="1"/>
        <v>283.483</v>
      </c>
      <c r="AA7" s="264">
        <f t="shared" si="1"/>
        <v>295.15999999999997</v>
      </c>
      <c r="AB7" s="264">
        <f t="shared" si="1"/>
        <v>300.14017944360478</v>
      </c>
      <c r="AC7" s="264">
        <f t="shared" si="1"/>
        <v>292.75991725085464</v>
      </c>
      <c r="AD7" s="264">
        <f t="shared" si="1"/>
        <v>311.89534348184571</v>
      </c>
      <c r="AE7" s="264">
        <f t="shared" si="1"/>
        <v>316.48442315824479</v>
      </c>
      <c r="AF7" s="264">
        <f t="shared" si="1"/>
        <v>309.20777925019098</v>
      </c>
      <c r="AG7" s="264">
        <f t="shared" si="1"/>
        <v>285.44772733471831</v>
      </c>
      <c r="AH7" s="264">
        <f t="shared" si="1"/>
        <v>305.87998880596734</v>
      </c>
      <c r="AI7" s="264">
        <f t="shared" si="1"/>
        <v>305.1434539957047</v>
      </c>
      <c r="AJ7" s="264">
        <f t="shared" si="1"/>
        <v>300.99093705596169</v>
      </c>
      <c r="AK7" s="264">
        <f t="shared" si="1"/>
        <v>316.07703982148269</v>
      </c>
      <c r="AL7" s="264">
        <f t="shared" si="1"/>
        <v>306.92213281396721</v>
      </c>
      <c r="AM7" s="264">
        <f t="shared" si="1"/>
        <v>302.6554507933626</v>
      </c>
      <c r="AN7" s="689" t="s">
        <v>5</v>
      </c>
      <c r="AO7" s="579" t="s">
        <v>3</v>
      </c>
      <c r="AP7" s="534" t="s">
        <v>102</v>
      </c>
    </row>
    <row r="8" spans="1:42" s="238" customFormat="1">
      <c r="A8" s="244" t="s">
        <v>103</v>
      </c>
      <c r="B8" s="245" t="s">
        <v>1</v>
      </c>
      <c r="C8" s="265">
        <v>127.133</v>
      </c>
      <c r="D8" s="265">
        <f>[7]C3LPG!M170</f>
        <v>109.81</v>
      </c>
      <c r="E8" s="265">
        <f>[7]C3LPG!N170</f>
        <v>84.705999999999989</v>
      </c>
      <c r="F8" s="265">
        <f>[7]C3LPG!O170</f>
        <v>119.328</v>
      </c>
      <c r="G8" s="265">
        <f>[7]C3LPG!P170</f>
        <v>121.05</v>
      </c>
      <c r="H8" s="265">
        <f>[7]C3LPG!Q170</f>
        <v>73.457999999999998</v>
      </c>
      <c r="I8" s="265">
        <f>[7]C3LPG!R170</f>
        <v>99.144000000000005</v>
      </c>
      <c r="J8" s="265">
        <f>[7]C3LPG!S170</f>
        <v>95.72999999999999</v>
      </c>
      <c r="K8" s="265">
        <f>[7]C3LPG!T170</f>
        <v>108.71236263736263</v>
      </c>
      <c r="L8" s="265">
        <f>[7]C3LPG!U170</f>
        <v>94.41</v>
      </c>
      <c r="M8" s="265">
        <f>[7]C3LPG!V170</f>
        <v>97.06</v>
      </c>
      <c r="N8" s="265">
        <f>[7]C3LPG!W170</f>
        <v>100.8</v>
      </c>
      <c r="O8" s="265">
        <f>[7]C3LPG!X170</f>
        <v>112.874</v>
      </c>
      <c r="P8" s="265">
        <f>[7]C3LPG!Y170</f>
        <v>114.867</v>
      </c>
      <c r="Q8" s="265">
        <f>[7]C3LPG!Z170</f>
        <v>120.536</v>
      </c>
      <c r="R8" s="265">
        <f>[7]C3LPG!AA170</f>
        <v>128.65600000000001</v>
      </c>
      <c r="S8" s="265">
        <f>[7]C3LPG!AB170</f>
        <v>128.49099999999999</v>
      </c>
      <c r="T8" s="265">
        <f>[7]C3LPG!AC170</f>
        <v>171.02699999999999</v>
      </c>
      <c r="U8" s="265">
        <f>[7]C3LPG!AD170</f>
        <v>148.04000000000002</v>
      </c>
      <c r="V8" s="265">
        <f>[7]C3LPG!AE170</f>
        <v>131.059</v>
      </c>
      <c r="W8" s="265">
        <f>[7]C3LPG!AF170</f>
        <v>123.10399999999998</v>
      </c>
      <c r="X8" s="265">
        <f>[7]C3LPG!AG170</f>
        <v>147.90600000000001</v>
      </c>
      <c r="Y8" s="265">
        <f>[7]C3LPG!AH170</f>
        <v>107.60600000000001</v>
      </c>
      <c r="Z8" s="265">
        <f>[7]C3LPG!AI170</f>
        <v>109.64300000000001</v>
      </c>
      <c r="AA8" s="265">
        <f>[7]C3LPG!AJ170</f>
        <v>114.94999999999999</v>
      </c>
      <c r="AB8" s="265">
        <f>[7]C3LPG!AK170</f>
        <v>116.13017944360473</v>
      </c>
      <c r="AC8" s="265">
        <f>[7]C3LPG!AL170</f>
        <v>121.8099172508546</v>
      </c>
      <c r="AD8" s="265">
        <f>[7]C3LPG!AM170</f>
        <v>129.49534348184571</v>
      </c>
      <c r="AE8" s="265">
        <f>[7]C3LPG!AN170</f>
        <v>135.42442315824482</v>
      </c>
      <c r="AF8" s="265">
        <f>[7]C3LPG!AO170</f>
        <v>128.38777925019099</v>
      </c>
      <c r="AG8" s="265">
        <f>[7]C3LPG!AP170</f>
        <v>106.34772733471829</v>
      </c>
      <c r="AH8" s="265">
        <f>[7]C3LPG!AQ170</f>
        <v>109.73998880596733</v>
      </c>
      <c r="AI8" s="265">
        <f>[7]C3LPG!AR170</f>
        <v>109.41345399570474</v>
      </c>
      <c r="AJ8" s="265">
        <f>[7]C3LPG!AS170</f>
        <v>102.85093705596174</v>
      </c>
      <c r="AK8" s="265">
        <f>[7]C3LPG!AT170</f>
        <v>114.79703982148268</v>
      </c>
      <c r="AL8" s="265">
        <f>[7]C3LPG!AU170</f>
        <v>111.8421328139672</v>
      </c>
      <c r="AM8" s="265">
        <f>[7]C3LPG!AV170</f>
        <v>104.68545079336262</v>
      </c>
      <c r="AN8" s="688" t="s">
        <v>159</v>
      </c>
      <c r="AO8" s="579" t="s">
        <v>3</v>
      </c>
      <c r="AP8" s="534" t="s">
        <v>104</v>
      </c>
    </row>
    <row r="9" spans="1:42" s="238" customFormat="1">
      <c r="A9" s="244" t="s">
        <v>105</v>
      </c>
      <c r="B9" s="245" t="s">
        <v>1</v>
      </c>
      <c r="C9" s="266">
        <f t="shared" ref="C9:AM9" si="2">+C10+C11+C12</f>
        <v>216.92812309999997</v>
      </c>
      <c r="D9" s="266">
        <f t="shared" si="2"/>
        <v>205.60329082000001</v>
      </c>
      <c r="E9" s="266">
        <f t="shared" si="2"/>
        <v>195.24545953000001</v>
      </c>
      <c r="F9" s="266">
        <f t="shared" si="2"/>
        <v>180</v>
      </c>
      <c r="G9" s="266">
        <f t="shared" si="2"/>
        <v>145.19</v>
      </c>
      <c r="H9" s="266">
        <f t="shared" si="2"/>
        <v>146.91859381</v>
      </c>
      <c r="I9" s="266">
        <f t="shared" si="2"/>
        <v>160.44617381999998</v>
      </c>
      <c r="J9" s="266">
        <f t="shared" si="2"/>
        <v>180.83</v>
      </c>
      <c r="K9" s="266">
        <f t="shared" si="2"/>
        <v>192.9</v>
      </c>
      <c r="L9" s="266">
        <f t="shared" si="2"/>
        <v>188.49</v>
      </c>
      <c r="M9" s="266">
        <f t="shared" si="2"/>
        <v>199.85999999999999</v>
      </c>
      <c r="N9" s="266">
        <f t="shared" si="2"/>
        <v>194.30240770999998</v>
      </c>
      <c r="O9" s="266">
        <f t="shared" si="2"/>
        <v>194.69</v>
      </c>
      <c r="P9" s="266">
        <f t="shared" si="2"/>
        <v>184.08</v>
      </c>
      <c r="Q9" s="266">
        <f t="shared" si="2"/>
        <v>182.24743945</v>
      </c>
      <c r="R9" s="266">
        <f t="shared" si="2"/>
        <v>198.29</v>
      </c>
      <c r="S9" s="266">
        <f t="shared" si="2"/>
        <v>168.09999999999997</v>
      </c>
      <c r="T9" s="266">
        <f t="shared" si="2"/>
        <v>170.79999999999995</v>
      </c>
      <c r="U9" s="266">
        <f t="shared" si="2"/>
        <v>179.07999999999998</v>
      </c>
      <c r="V9" s="266">
        <f t="shared" si="2"/>
        <v>184.97999999999996</v>
      </c>
      <c r="W9" s="266">
        <f t="shared" si="2"/>
        <v>171.99</v>
      </c>
      <c r="X9" s="266">
        <f t="shared" si="2"/>
        <v>173.62999999999997</v>
      </c>
      <c r="Y9" s="266">
        <f t="shared" si="2"/>
        <v>175.28900000000002</v>
      </c>
      <c r="Z9" s="266">
        <f t="shared" si="2"/>
        <v>173.83999999999997</v>
      </c>
      <c r="AA9" s="266">
        <f t="shared" si="2"/>
        <v>180.21</v>
      </c>
      <c r="AB9" s="266">
        <f t="shared" si="2"/>
        <v>184.01000000000002</v>
      </c>
      <c r="AC9" s="266">
        <f t="shared" si="2"/>
        <v>170.95000000000002</v>
      </c>
      <c r="AD9" s="266">
        <f t="shared" si="2"/>
        <v>182.4</v>
      </c>
      <c r="AE9" s="266">
        <f t="shared" si="2"/>
        <v>181.06</v>
      </c>
      <c r="AF9" s="266">
        <f t="shared" si="2"/>
        <v>180.82</v>
      </c>
      <c r="AG9" s="266">
        <f t="shared" si="2"/>
        <v>179.10000000000002</v>
      </c>
      <c r="AH9" s="266">
        <f t="shared" si="2"/>
        <v>196.14000000000001</v>
      </c>
      <c r="AI9" s="266">
        <f t="shared" si="2"/>
        <v>195.73</v>
      </c>
      <c r="AJ9" s="266">
        <f t="shared" si="2"/>
        <v>198.14</v>
      </c>
      <c r="AK9" s="266">
        <f t="shared" si="2"/>
        <v>201.28</v>
      </c>
      <c r="AL9" s="266">
        <f t="shared" si="2"/>
        <v>195.08</v>
      </c>
      <c r="AM9" s="266">
        <f t="shared" si="2"/>
        <v>197.97</v>
      </c>
      <c r="AN9" s="689" t="s">
        <v>5</v>
      </c>
      <c r="AO9" s="579" t="s">
        <v>3</v>
      </c>
      <c r="AP9" s="534" t="s">
        <v>106</v>
      </c>
    </row>
    <row r="10" spans="1:42" s="238" customFormat="1">
      <c r="A10" s="246" t="s">
        <v>107</v>
      </c>
      <c r="B10" s="247" t="s">
        <v>1</v>
      </c>
      <c r="C10" s="265">
        <v>24.62</v>
      </c>
      <c r="D10" s="265">
        <f>[7]C3LPG!M174</f>
        <v>22.66</v>
      </c>
      <c r="E10" s="265">
        <f>[7]C3LPG!N174</f>
        <v>18.09</v>
      </c>
      <c r="F10" s="265">
        <f>[7]C3LPG!O174</f>
        <v>17.23</v>
      </c>
      <c r="G10" s="265">
        <f>[7]C3LPG!P174</f>
        <v>11.25</v>
      </c>
      <c r="H10" s="265">
        <f>[7]C3LPG!Q174</f>
        <v>12.100000000000001</v>
      </c>
      <c r="I10" s="265">
        <f>[7]C3LPG!R174</f>
        <v>17.88</v>
      </c>
      <c r="J10" s="265">
        <f>[7]C3LPG!S174</f>
        <v>23.200000000000003</v>
      </c>
      <c r="K10" s="265">
        <f>[7]C3LPG!T174</f>
        <v>31.1</v>
      </c>
      <c r="L10" s="265">
        <f>[7]C3LPG!U174</f>
        <v>28.200000000000003</v>
      </c>
      <c r="M10" s="265">
        <f>[7]C3LPG!V174</f>
        <v>31.5</v>
      </c>
      <c r="N10" s="265">
        <f>[7]C3LPG!W174</f>
        <v>32.200000000000003</v>
      </c>
      <c r="O10" s="265">
        <f>[7]C3LPG!X174</f>
        <v>30.77</v>
      </c>
      <c r="P10" s="265">
        <f>[7]C3LPG!Y174</f>
        <v>26.55</v>
      </c>
      <c r="Q10" s="265">
        <f>[7]C3LPG!Z174</f>
        <v>32.519999999999996</v>
      </c>
      <c r="R10" s="265">
        <f>[7]C3LPG!AA174</f>
        <v>34.83</v>
      </c>
      <c r="S10" s="265">
        <f>[7]C3LPG!AB174</f>
        <v>29.07</v>
      </c>
      <c r="T10" s="265">
        <f>[7]C3LPG!AC174</f>
        <v>28.519999999999996</v>
      </c>
      <c r="U10" s="265">
        <f>[7]C3LPG!AD174</f>
        <v>36.29</v>
      </c>
      <c r="V10" s="265">
        <f>[7]C3LPG!AE174</f>
        <v>38.450000000000003</v>
      </c>
      <c r="W10" s="265">
        <f>[7]C3LPG!AF174</f>
        <v>32.43</v>
      </c>
      <c r="X10" s="265">
        <f>[7]C3LPG!AG174</f>
        <v>33.450000000000003</v>
      </c>
      <c r="Y10" s="265">
        <f>[7]C3LPG!AH174</f>
        <v>29.48</v>
      </c>
      <c r="Z10" s="265">
        <f>[7]C3LPG!AI174</f>
        <v>31.700000000000003</v>
      </c>
      <c r="AA10" s="265">
        <f>[7]C3LPG!AJ174</f>
        <v>30.200000000000003</v>
      </c>
      <c r="AB10" s="265">
        <f>[7]C3LPG!AK174</f>
        <v>30.68</v>
      </c>
      <c r="AC10" s="265">
        <f>[7]C3LPG!AL174</f>
        <v>30.68</v>
      </c>
      <c r="AD10" s="265">
        <f>[7]C3LPG!AM174</f>
        <v>42.68</v>
      </c>
      <c r="AE10" s="265">
        <f>[7]C3LPG!AN174</f>
        <v>33.68</v>
      </c>
      <c r="AF10" s="265">
        <f>[7]C3LPG!AO174</f>
        <v>30.68</v>
      </c>
      <c r="AG10" s="265">
        <f>[7]C3LPG!AP174</f>
        <v>30.68</v>
      </c>
      <c r="AH10" s="265">
        <f>[7]C3LPG!AQ174</f>
        <v>39.480000000000004</v>
      </c>
      <c r="AI10" s="265">
        <f>[7]C3LPG!AR174</f>
        <v>37.619999999999997</v>
      </c>
      <c r="AJ10" s="265">
        <f>[7]C3LPG!AS174</f>
        <v>44.120000000000005</v>
      </c>
      <c r="AK10" s="265">
        <f>[7]C3LPG!AT174</f>
        <v>45.320000000000007</v>
      </c>
      <c r="AL10" s="265">
        <f>[7]C3LPG!AU174</f>
        <v>43.480000000000004</v>
      </c>
      <c r="AM10" s="265">
        <f>[7]C3LPG!AV174</f>
        <v>44.080000000000005</v>
      </c>
      <c r="AN10" s="688" t="s">
        <v>159</v>
      </c>
      <c r="AO10" s="579" t="s">
        <v>3</v>
      </c>
      <c r="AP10" s="534" t="s">
        <v>108</v>
      </c>
    </row>
    <row r="11" spans="1:42" s="238" customFormat="1">
      <c r="A11" s="246" t="s">
        <v>109</v>
      </c>
      <c r="B11" s="247" t="s">
        <v>1</v>
      </c>
      <c r="C11" s="265">
        <v>191.20567744999997</v>
      </c>
      <c r="D11" s="265">
        <f>[7]C3LPG!M175</f>
        <v>181.64329082</v>
      </c>
      <c r="E11" s="265">
        <f>[7]C3LPG!N175</f>
        <v>175.59545953</v>
      </c>
      <c r="F11" s="265">
        <f>[7]C3LPG!O175</f>
        <v>161.47</v>
      </c>
      <c r="G11" s="265">
        <f>[7]C3LPG!P175</f>
        <v>132.49</v>
      </c>
      <c r="H11" s="265">
        <f>[7]C3LPG!Q175</f>
        <v>133.46</v>
      </c>
      <c r="I11" s="265">
        <f>[7]C3LPG!R175</f>
        <v>141.44</v>
      </c>
      <c r="J11" s="265">
        <f>[7]C3LPG!S175</f>
        <v>156.22999999999999</v>
      </c>
      <c r="K11" s="265">
        <f>[7]C3LPG!T175</f>
        <v>160.78</v>
      </c>
      <c r="L11" s="265">
        <f>[7]C3LPG!U175</f>
        <v>158.84</v>
      </c>
      <c r="M11" s="265">
        <f>[7]C3LPG!V175</f>
        <v>166.91</v>
      </c>
      <c r="N11" s="265">
        <f>[7]C3LPG!W175</f>
        <v>160.70240770999999</v>
      </c>
      <c r="O11" s="265">
        <f>[7]C3LPG!X175</f>
        <v>162.72</v>
      </c>
      <c r="P11" s="265">
        <f>[7]C3LPG!Y175</f>
        <v>156.13</v>
      </c>
      <c r="Q11" s="265">
        <f>[7]C3LPG!Z175</f>
        <v>148.42743945000001</v>
      </c>
      <c r="R11" s="265">
        <f>[7]C3LPG!AA175</f>
        <v>162.11000000000001</v>
      </c>
      <c r="S11" s="265">
        <f>[7]C3LPG!AB175</f>
        <v>137.82999999999998</v>
      </c>
      <c r="T11" s="265">
        <f>[7]C3LPG!AC175</f>
        <v>140.82999999999998</v>
      </c>
      <c r="U11" s="265">
        <f>[7]C3LPG!AD175</f>
        <v>141.32</v>
      </c>
      <c r="V11" s="265">
        <f>[7]C3LPG!AE175</f>
        <v>145.26999999999998</v>
      </c>
      <c r="W11" s="265">
        <f>[7]C3LPG!AF175</f>
        <v>138.22999999999999</v>
      </c>
      <c r="X11" s="265">
        <f>[7]C3LPG!AG175</f>
        <v>138.94999999999999</v>
      </c>
      <c r="Y11" s="265">
        <f>[7]C3LPG!AH175</f>
        <v>144.75900000000001</v>
      </c>
      <c r="Z11" s="265">
        <f>[7]C3LPG!AI175</f>
        <v>140.63999999999999</v>
      </c>
      <c r="AA11" s="265">
        <f>[7]C3LPG!AJ175</f>
        <v>148.66</v>
      </c>
      <c r="AB11" s="265">
        <f>[7]C3LPG!AK175</f>
        <v>152.48000000000002</v>
      </c>
      <c r="AC11" s="265">
        <f>[7]C3LPG!AL175</f>
        <v>139.37</v>
      </c>
      <c r="AD11" s="265">
        <f>[7]C3LPG!AM175</f>
        <v>138.82</v>
      </c>
      <c r="AE11" s="265">
        <f>[7]C3LPG!AN175</f>
        <v>146.43</v>
      </c>
      <c r="AF11" s="265">
        <f>[7]C3LPG!AO175</f>
        <v>149.19</v>
      </c>
      <c r="AG11" s="265">
        <f>[7]C3LPG!AP175</f>
        <v>147.52000000000001</v>
      </c>
      <c r="AH11" s="265">
        <f>[7]C3LPG!AQ175</f>
        <v>155.56</v>
      </c>
      <c r="AI11" s="265">
        <f>[7]C3LPG!AR175</f>
        <v>157.01</v>
      </c>
      <c r="AJ11" s="265">
        <f>[7]C3LPG!AS175</f>
        <v>152.91999999999999</v>
      </c>
      <c r="AK11" s="265">
        <f>[7]C3LPG!AT175</f>
        <v>154.86000000000001</v>
      </c>
      <c r="AL11" s="265">
        <f>[7]C3LPG!AU175</f>
        <v>150.5</v>
      </c>
      <c r="AM11" s="265">
        <f>[7]C3LPG!AV175</f>
        <v>152.79</v>
      </c>
      <c r="AN11" s="688" t="s">
        <v>159</v>
      </c>
      <c r="AO11" s="579" t="s">
        <v>3</v>
      </c>
      <c r="AP11" s="534" t="s">
        <v>110</v>
      </c>
    </row>
    <row r="12" spans="1:42" s="238" customFormat="1">
      <c r="A12" s="246" t="s">
        <v>111</v>
      </c>
      <c r="B12" s="247" t="s">
        <v>1</v>
      </c>
      <c r="C12" s="265">
        <v>1.1024456499999999</v>
      </c>
      <c r="D12" s="265">
        <f>[7]C3LPG!M176</f>
        <v>1.3</v>
      </c>
      <c r="E12" s="265">
        <f>[7]C3LPG!N176</f>
        <v>1.56</v>
      </c>
      <c r="F12" s="265">
        <f>[7]C3LPG!O176</f>
        <v>1.3</v>
      </c>
      <c r="G12" s="265">
        <f>[7]C3LPG!P176</f>
        <v>1.45</v>
      </c>
      <c r="H12" s="265">
        <f>[7]C3LPG!Q176</f>
        <v>1.3585938099999999</v>
      </c>
      <c r="I12" s="265">
        <f>[7]C3LPG!R176</f>
        <v>1.12617382</v>
      </c>
      <c r="J12" s="265">
        <f>[7]C3LPG!S176</f>
        <v>1.4</v>
      </c>
      <c r="K12" s="265">
        <f>[7]C3LPG!T176</f>
        <v>1.02</v>
      </c>
      <c r="L12" s="265">
        <f>[7]C3LPG!U176</f>
        <v>1.45</v>
      </c>
      <c r="M12" s="265">
        <f>[7]C3LPG!V176</f>
        <v>1.4500000000000002</v>
      </c>
      <c r="N12" s="265">
        <f>[7]C3LPG!W176</f>
        <v>1.4</v>
      </c>
      <c r="O12" s="265">
        <f>[7]C3LPG!X176</f>
        <v>1.2</v>
      </c>
      <c r="P12" s="265">
        <f>[7]C3LPG!Y176</f>
        <v>1.4</v>
      </c>
      <c r="Q12" s="265">
        <f>[7]C3LPG!Z176</f>
        <v>1.2999999999999998</v>
      </c>
      <c r="R12" s="265">
        <f>[7]C3LPG!AA176</f>
        <v>1.35</v>
      </c>
      <c r="S12" s="265">
        <f>[7]C3LPG!AB176</f>
        <v>1.2</v>
      </c>
      <c r="T12" s="265">
        <f>[7]C3LPG!AC176</f>
        <v>1.45</v>
      </c>
      <c r="U12" s="265">
        <f>[7]C3LPG!AD176</f>
        <v>1.47</v>
      </c>
      <c r="V12" s="265">
        <f>[7]C3LPG!AE176</f>
        <v>1.26</v>
      </c>
      <c r="W12" s="265">
        <f>[7]C3LPG!AF176</f>
        <v>1.33</v>
      </c>
      <c r="X12" s="265">
        <f>[7]C3LPG!AG176</f>
        <v>1.23</v>
      </c>
      <c r="Y12" s="265">
        <f>[7]C3LPG!AH176</f>
        <v>1.05</v>
      </c>
      <c r="Z12" s="265">
        <f>[7]C3LPG!AI176</f>
        <v>1.5</v>
      </c>
      <c r="AA12" s="265">
        <f>[7]C3LPG!AJ176</f>
        <v>1.35</v>
      </c>
      <c r="AB12" s="265">
        <f>[7]C3LPG!AK176</f>
        <v>0.85</v>
      </c>
      <c r="AC12" s="265">
        <f>[7]C3LPG!AL176</f>
        <v>0.9</v>
      </c>
      <c r="AD12" s="265">
        <f>[7]C3LPG!AM176</f>
        <v>0.9</v>
      </c>
      <c r="AE12" s="265">
        <f>[7]C3LPG!AN176</f>
        <v>0.95</v>
      </c>
      <c r="AF12" s="265">
        <f>[7]C3LPG!AO176</f>
        <v>0.95</v>
      </c>
      <c r="AG12" s="265">
        <f>[7]C3LPG!AP176</f>
        <v>0.9</v>
      </c>
      <c r="AH12" s="265">
        <f>[7]C3LPG!AQ176</f>
        <v>1.1000000000000001</v>
      </c>
      <c r="AI12" s="265">
        <f>[7]C3LPG!AR176</f>
        <v>1.1000000000000001</v>
      </c>
      <c r="AJ12" s="265">
        <f>[7]C3LPG!AS176</f>
        <v>1.1000000000000001</v>
      </c>
      <c r="AK12" s="265">
        <f>[7]C3LPG!AT176</f>
        <v>1.1000000000000001</v>
      </c>
      <c r="AL12" s="265">
        <f>[7]C3LPG!AU176</f>
        <v>1.1000000000000001</v>
      </c>
      <c r="AM12" s="265">
        <f>[7]C3LPG!AV176</f>
        <v>1.1000000000000001</v>
      </c>
      <c r="AN12" s="688" t="s">
        <v>159</v>
      </c>
      <c r="AO12" s="579" t="s">
        <v>3</v>
      </c>
      <c r="AP12" s="534" t="s">
        <v>112</v>
      </c>
    </row>
    <row r="13" spans="1:42" s="238" customFormat="1">
      <c r="A13" s="244" t="s">
        <v>113</v>
      </c>
      <c r="B13" s="245" t="s">
        <v>1</v>
      </c>
      <c r="C13" s="265"/>
      <c r="D13" s="265">
        <f>[7]C3LPG!M9</f>
        <v>0</v>
      </c>
      <c r="E13" s="265">
        <f>[7]C3LPG!N9</f>
        <v>-5.97</v>
      </c>
      <c r="F13" s="265">
        <f>[7]C3LPG!O9</f>
        <v>5.85</v>
      </c>
      <c r="G13" s="265">
        <f>[7]C3LPG!P9</f>
        <v>0</v>
      </c>
      <c r="H13" s="265">
        <f>[7]C3LPG!Q9</f>
        <v>0</v>
      </c>
      <c r="I13" s="265">
        <f>[7]C3LPG!R9</f>
        <v>0</v>
      </c>
      <c r="J13" s="265">
        <f>[7]C3LPG!S9</f>
        <v>0</v>
      </c>
      <c r="K13" s="265">
        <f>[7]C3LPG!T9</f>
        <v>0</v>
      </c>
      <c r="L13" s="265">
        <f>[7]C3LPG!U9</f>
        <v>-5</v>
      </c>
      <c r="M13" s="265">
        <f>[7]C3LPG!V9</f>
        <v>0</v>
      </c>
      <c r="N13" s="265">
        <f>[7]C3LPG!W9</f>
        <v>0</v>
      </c>
      <c r="O13" s="265">
        <f>[7]C3LPG!X9</f>
        <v>0</v>
      </c>
      <c r="P13" s="265">
        <f>[7]C3LPG!Y9</f>
        <v>0</v>
      </c>
      <c r="Q13" s="265">
        <f>[7]C3LPG!Z9</f>
        <v>0</v>
      </c>
      <c r="R13" s="265">
        <f>[7]C3LPG!AA9</f>
        <v>0</v>
      </c>
      <c r="S13" s="265">
        <f>[7]C3LPG!AB9</f>
        <v>0</v>
      </c>
      <c r="T13" s="265">
        <f>[7]C3LPG!AC9</f>
        <v>0</v>
      </c>
      <c r="U13" s="265">
        <f>[7]C3LPG!AD9</f>
        <v>0</v>
      </c>
      <c r="V13" s="265">
        <f>[7]C3LPG!AE9</f>
        <v>0</v>
      </c>
      <c r="W13" s="265">
        <f>[7]C3LPG!AF9</f>
        <v>-2</v>
      </c>
      <c r="X13" s="265">
        <f>[7]C3LPG!AG9</f>
        <v>0</v>
      </c>
      <c r="Y13" s="265">
        <f>[7]C3LPG!AH9</f>
        <v>0</v>
      </c>
      <c r="Z13" s="265">
        <f>[7]C3LPG!AI9</f>
        <v>0</v>
      </c>
      <c r="AA13" s="265">
        <f>[7]C3LPG!AJ9</f>
        <v>0</v>
      </c>
      <c r="AB13" s="265">
        <f>[7]C3LPG!AK9</f>
        <v>0</v>
      </c>
      <c r="AC13" s="265">
        <f>[7]C3LPG!AL9</f>
        <v>0</v>
      </c>
      <c r="AD13" s="265">
        <f>[7]C3LPG!AM9</f>
        <v>0</v>
      </c>
      <c r="AE13" s="265">
        <f>[7]C3LPG!AN9</f>
        <v>0</v>
      </c>
      <c r="AF13" s="265">
        <f>[7]C3LPG!AO9</f>
        <v>0</v>
      </c>
      <c r="AG13" s="265">
        <f>[7]C3LPG!AP9</f>
        <v>0</v>
      </c>
      <c r="AH13" s="265">
        <f>[7]C3LPG!AQ9</f>
        <v>0</v>
      </c>
      <c r="AI13" s="265">
        <f>[7]C3LPG!AR9</f>
        <v>0</v>
      </c>
      <c r="AJ13" s="265">
        <f>[7]C3LPG!AS9</f>
        <v>0</v>
      </c>
      <c r="AK13" s="265">
        <f>[7]C3LPG!AT9</f>
        <v>0</v>
      </c>
      <c r="AL13" s="265">
        <f>[7]C3LPG!AU9</f>
        <v>0</v>
      </c>
      <c r="AM13" s="265">
        <f>[7]C3LPG!AV9</f>
        <v>0</v>
      </c>
      <c r="AN13" s="688" t="s">
        <v>160</v>
      </c>
      <c r="AO13" s="579" t="s">
        <v>3</v>
      </c>
      <c r="AP13" s="534" t="s">
        <v>114</v>
      </c>
    </row>
    <row r="14" spans="1:42" s="238" customFormat="1">
      <c r="A14" s="248" t="s">
        <v>115</v>
      </c>
      <c r="B14" s="249" t="s">
        <v>1</v>
      </c>
      <c r="C14" s="267">
        <v>31.888097230590823</v>
      </c>
      <c r="D14" s="267">
        <f>[7]C3LPG!M2</f>
        <v>16.827883907470703</v>
      </c>
      <c r="E14" s="267">
        <f>[7]C3LPG!N2</f>
        <v>36.020527630224606</v>
      </c>
      <c r="F14" s="267">
        <f>[7]C3LPG!O2</f>
        <v>33.684161457519529</v>
      </c>
      <c r="G14" s="267">
        <f>[7]C3LPG!P2</f>
        <v>18.635842199999999</v>
      </c>
      <c r="H14" s="267">
        <f>[7]C3LPG!Q2</f>
        <v>29.542833899999998</v>
      </c>
      <c r="I14" s="267">
        <f>[7]C3LPG!R2</f>
        <v>14.458839999999999</v>
      </c>
      <c r="J14" s="267">
        <f>[7]C3LPG!S2</f>
        <v>18.007720000000003</v>
      </c>
      <c r="K14" s="267">
        <f>[7]C3LPG!T2</f>
        <v>15.124660000000002</v>
      </c>
      <c r="L14" s="267">
        <f>[7]C3LPG!U2</f>
        <v>26.696860000000001</v>
      </c>
      <c r="M14" s="267">
        <f>[7]C3LPG!V2</f>
        <v>14.437240000000001</v>
      </c>
      <c r="N14" s="267">
        <f>[7]C3LPG!W2</f>
        <v>22.420850699999999</v>
      </c>
      <c r="O14" s="267">
        <f>[7]C3LPG!X2</f>
        <v>18.055042360000002</v>
      </c>
      <c r="P14" s="267">
        <f>[7]C3LPG!Y2</f>
        <v>24.4024</v>
      </c>
      <c r="Q14" s="267">
        <f>[7]C3LPG!Z2</f>
        <v>28.877920000000003</v>
      </c>
      <c r="R14" s="267">
        <f>[7]C3LPG!AA2</f>
        <v>23.042922528000002</v>
      </c>
      <c r="S14" s="267">
        <f>[7]C3LPG!AB2</f>
        <v>33.906688200000005</v>
      </c>
      <c r="T14" s="267">
        <f>[7]C3LPG!AC2</f>
        <v>33.714913788000004</v>
      </c>
      <c r="U14" s="267">
        <f>[7]C3LPG!AD2</f>
        <v>20.090257854000004</v>
      </c>
      <c r="V14" s="267">
        <f>[7]C3LPG!AE2</f>
        <v>18.548406900000003</v>
      </c>
      <c r="W14" s="267">
        <f>[7]C3LPG!AF2</f>
        <v>27.909638357999999</v>
      </c>
      <c r="X14" s="267">
        <f>[7]C3LPG!AG2</f>
        <v>13.881282000000002</v>
      </c>
      <c r="Y14" s="267">
        <f>[7]C3LPG!AH2</f>
        <v>16.226553841220454</v>
      </c>
      <c r="Z14" s="267">
        <f>[7]C3LPG!AI2</f>
        <v>19.721832014121993</v>
      </c>
      <c r="AA14" s="267">
        <f>[7]C3LPG!AJ2</f>
        <v>23.631931302899027</v>
      </c>
      <c r="AB14" s="267">
        <f>[7]C3LPG!AK2</f>
        <v>28.86563116963908</v>
      </c>
      <c r="AC14" s="267">
        <f>[7]C3LPG!AL2</f>
        <v>28.845369091198258</v>
      </c>
      <c r="AD14" s="267">
        <f>[7]C3LPG!AM2</f>
        <v>27.733215264525022</v>
      </c>
      <c r="AE14" s="267">
        <f>[7]C3LPG!AN2</f>
        <v>29.18413693386649</v>
      </c>
      <c r="AF14" s="267">
        <f>[7]C3LPG!AO2</f>
        <v>29.092866304365124</v>
      </c>
      <c r="AG14" s="267">
        <f>[7]C3LPG!AP2</f>
        <v>29.136518279991613</v>
      </c>
      <c r="AH14" s="267">
        <f>[7]C3LPG!AQ2</f>
        <v>29.264288094713912</v>
      </c>
      <c r="AI14" s="267">
        <f>[7]C3LPG!AR2</f>
        <v>29.329023754181627</v>
      </c>
      <c r="AJ14" s="267">
        <f>[7]C3LPG!AS2</f>
        <v>29.023431525806195</v>
      </c>
      <c r="AK14" s="267">
        <f>[7]C3LPG!AT2</f>
        <v>29.154581359495914</v>
      </c>
      <c r="AL14" s="267">
        <f>[7]C3LPG!AU2</f>
        <v>29.021241648976989</v>
      </c>
      <c r="AM14" s="267">
        <f>[7]C3LPG!AV2</f>
        <v>29.270621631560353</v>
      </c>
      <c r="AN14" s="688" t="s">
        <v>159</v>
      </c>
      <c r="AO14" s="579" t="s">
        <v>3</v>
      </c>
      <c r="AP14" s="534" t="s">
        <v>116</v>
      </c>
    </row>
    <row r="15" spans="1:42" s="238" customFormat="1">
      <c r="A15" s="239" t="s">
        <v>117</v>
      </c>
      <c r="B15" s="240"/>
      <c r="C15" s="268"/>
      <c r="D15" s="268"/>
      <c r="E15" s="269"/>
      <c r="F15" s="269"/>
      <c r="G15" s="269"/>
      <c r="H15" s="269"/>
      <c r="I15" s="269"/>
      <c r="J15" s="269"/>
      <c r="K15" s="269"/>
      <c r="L15" s="269"/>
      <c r="M15" s="269"/>
      <c r="N15" s="269"/>
      <c r="O15" s="269"/>
      <c r="P15" s="269"/>
      <c r="Q15" s="269"/>
      <c r="R15" s="269"/>
      <c r="S15" s="269"/>
      <c r="T15" s="269"/>
      <c r="U15" s="269"/>
      <c r="V15" s="269"/>
      <c r="W15" s="269"/>
      <c r="X15" s="269"/>
      <c r="Y15" s="269"/>
      <c r="Z15" s="269"/>
      <c r="AA15" s="269"/>
      <c r="AB15" s="269"/>
      <c r="AC15" s="269"/>
      <c r="AD15" s="269"/>
      <c r="AE15" s="269"/>
      <c r="AF15" s="269"/>
      <c r="AG15" s="269"/>
      <c r="AH15" s="269"/>
      <c r="AI15" s="269"/>
      <c r="AJ15" s="269"/>
      <c r="AK15" s="269"/>
      <c r="AL15" s="269"/>
      <c r="AM15" s="269"/>
    </row>
    <row r="16" spans="1:42" s="238" customFormat="1">
      <c r="A16" s="242" t="s">
        <v>93</v>
      </c>
      <c r="B16" s="251" t="s">
        <v>1</v>
      </c>
      <c r="C16" s="270">
        <f>+C17+C18</f>
        <v>223.30567744999996</v>
      </c>
      <c r="D16" s="270">
        <f>+D17+D18</f>
        <v>200.24329082</v>
      </c>
      <c r="E16" s="270">
        <f t="shared" ref="E16:AM16" si="3">+E17+E18</f>
        <v>192.49545953000001</v>
      </c>
      <c r="F16" s="270">
        <f t="shared" si="3"/>
        <v>165.27</v>
      </c>
      <c r="G16" s="270">
        <f t="shared" si="3"/>
        <v>146.49</v>
      </c>
      <c r="H16" s="270">
        <f t="shared" si="3"/>
        <v>143.36000000000001</v>
      </c>
      <c r="I16" s="270">
        <f t="shared" si="3"/>
        <v>157.91999999999999</v>
      </c>
      <c r="J16" s="270">
        <f t="shared" si="3"/>
        <v>192.73</v>
      </c>
      <c r="K16" s="270">
        <f t="shared" si="3"/>
        <v>201.28</v>
      </c>
      <c r="L16" s="270">
        <f t="shared" si="3"/>
        <v>182.34</v>
      </c>
      <c r="M16" s="270">
        <f t="shared" si="3"/>
        <v>184.81</v>
      </c>
      <c r="N16" s="270">
        <f t="shared" si="3"/>
        <v>203.20240770999999</v>
      </c>
      <c r="O16" s="270">
        <f t="shared" si="3"/>
        <v>193.09700000000001</v>
      </c>
      <c r="P16" s="270">
        <f t="shared" si="3"/>
        <v>168.63</v>
      </c>
      <c r="Q16" s="270">
        <f t="shared" si="3"/>
        <v>193.92743945000001</v>
      </c>
      <c r="R16" s="270">
        <f t="shared" si="3"/>
        <v>202.96</v>
      </c>
      <c r="S16" s="270">
        <f t="shared" si="3"/>
        <v>170.82999999999998</v>
      </c>
      <c r="T16" s="270">
        <f t="shared" si="3"/>
        <v>176.88</v>
      </c>
      <c r="U16" s="270">
        <f t="shared" si="3"/>
        <v>176.32</v>
      </c>
      <c r="V16" s="270">
        <f t="shared" si="3"/>
        <v>248.67</v>
      </c>
      <c r="W16" s="270">
        <f t="shared" si="3"/>
        <v>170.13</v>
      </c>
      <c r="X16" s="270">
        <f t="shared" si="3"/>
        <v>195.1</v>
      </c>
      <c r="Y16" s="270">
        <f t="shared" si="3"/>
        <v>191.75900000000001</v>
      </c>
      <c r="Z16" s="270">
        <f t="shared" si="3"/>
        <v>175.33999999999997</v>
      </c>
      <c r="AA16" s="270">
        <f t="shared" si="3"/>
        <v>183.36</v>
      </c>
      <c r="AB16" s="270">
        <f t="shared" si="3"/>
        <v>165.78000000000003</v>
      </c>
      <c r="AC16" s="270">
        <f t="shared" si="3"/>
        <v>173.67000000000002</v>
      </c>
      <c r="AD16" s="270">
        <f t="shared" si="3"/>
        <v>163.12</v>
      </c>
      <c r="AE16" s="270">
        <f t="shared" si="3"/>
        <v>200.73000000000002</v>
      </c>
      <c r="AF16" s="270">
        <f t="shared" si="3"/>
        <v>196.49</v>
      </c>
      <c r="AG16" s="270">
        <f t="shared" si="3"/>
        <v>180.82</v>
      </c>
      <c r="AH16" s="270">
        <f t="shared" si="3"/>
        <v>200.86</v>
      </c>
      <c r="AI16" s="270">
        <f t="shared" si="3"/>
        <v>201.31</v>
      </c>
      <c r="AJ16" s="270">
        <f t="shared" si="3"/>
        <v>201.21999999999997</v>
      </c>
      <c r="AK16" s="270">
        <f t="shared" si="3"/>
        <v>210.16000000000003</v>
      </c>
      <c r="AL16" s="270">
        <f t="shared" si="3"/>
        <v>210.8</v>
      </c>
      <c r="AM16" s="270">
        <f t="shared" si="3"/>
        <v>216.08999999999997</v>
      </c>
      <c r="AN16" s="689" t="s">
        <v>5</v>
      </c>
      <c r="AO16" s="579" t="s">
        <v>3</v>
      </c>
      <c r="AP16" s="534" t="s">
        <v>118</v>
      </c>
    </row>
    <row r="17" spans="1:46" s="238" customFormat="1">
      <c r="A17" s="244" t="s">
        <v>119</v>
      </c>
      <c r="B17" s="245" t="s">
        <v>1</v>
      </c>
      <c r="C17" s="266">
        <f>+C11</f>
        <v>191.20567744999997</v>
      </c>
      <c r="D17" s="266">
        <f t="shared" ref="D17:AM17" si="4">+D11</f>
        <v>181.64329082</v>
      </c>
      <c r="E17" s="266">
        <f t="shared" si="4"/>
        <v>175.59545953</v>
      </c>
      <c r="F17" s="266">
        <f t="shared" si="4"/>
        <v>161.47</v>
      </c>
      <c r="G17" s="266">
        <f t="shared" si="4"/>
        <v>132.49</v>
      </c>
      <c r="H17" s="266">
        <f t="shared" si="4"/>
        <v>133.46</v>
      </c>
      <c r="I17" s="266">
        <f t="shared" si="4"/>
        <v>141.44</v>
      </c>
      <c r="J17" s="266">
        <f t="shared" si="4"/>
        <v>156.22999999999999</v>
      </c>
      <c r="K17" s="266">
        <f t="shared" si="4"/>
        <v>160.78</v>
      </c>
      <c r="L17" s="266">
        <f t="shared" si="4"/>
        <v>158.84</v>
      </c>
      <c r="M17" s="266">
        <f t="shared" si="4"/>
        <v>166.91</v>
      </c>
      <c r="N17" s="266">
        <f t="shared" si="4"/>
        <v>160.70240770999999</v>
      </c>
      <c r="O17" s="266">
        <f t="shared" si="4"/>
        <v>162.72</v>
      </c>
      <c r="P17" s="266">
        <f t="shared" si="4"/>
        <v>156.13</v>
      </c>
      <c r="Q17" s="266">
        <f t="shared" si="4"/>
        <v>148.42743945000001</v>
      </c>
      <c r="R17" s="266">
        <f t="shared" si="4"/>
        <v>162.11000000000001</v>
      </c>
      <c r="S17" s="266">
        <f t="shared" si="4"/>
        <v>137.82999999999998</v>
      </c>
      <c r="T17" s="266">
        <f t="shared" si="4"/>
        <v>140.82999999999998</v>
      </c>
      <c r="U17" s="266">
        <f t="shared" si="4"/>
        <v>141.32</v>
      </c>
      <c r="V17" s="266">
        <f t="shared" si="4"/>
        <v>145.26999999999998</v>
      </c>
      <c r="W17" s="266">
        <f t="shared" si="4"/>
        <v>138.22999999999999</v>
      </c>
      <c r="X17" s="266">
        <f t="shared" si="4"/>
        <v>138.94999999999999</v>
      </c>
      <c r="Y17" s="266">
        <f t="shared" si="4"/>
        <v>144.75900000000001</v>
      </c>
      <c r="Z17" s="266">
        <f t="shared" si="4"/>
        <v>140.63999999999999</v>
      </c>
      <c r="AA17" s="266">
        <f t="shared" si="4"/>
        <v>148.66</v>
      </c>
      <c r="AB17" s="266">
        <f t="shared" si="4"/>
        <v>152.48000000000002</v>
      </c>
      <c r="AC17" s="266">
        <f t="shared" si="4"/>
        <v>139.37</v>
      </c>
      <c r="AD17" s="266">
        <f t="shared" si="4"/>
        <v>138.82</v>
      </c>
      <c r="AE17" s="266">
        <f t="shared" si="4"/>
        <v>146.43</v>
      </c>
      <c r="AF17" s="266">
        <f t="shared" si="4"/>
        <v>149.19</v>
      </c>
      <c r="AG17" s="266">
        <f t="shared" si="4"/>
        <v>147.52000000000001</v>
      </c>
      <c r="AH17" s="266">
        <f t="shared" si="4"/>
        <v>155.56</v>
      </c>
      <c r="AI17" s="266">
        <f t="shared" si="4"/>
        <v>157.01</v>
      </c>
      <c r="AJ17" s="266">
        <f t="shared" si="4"/>
        <v>152.91999999999999</v>
      </c>
      <c r="AK17" s="266">
        <f t="shared" si="4"/>
        <v>154.86000000000001</v>
      </c>
      <c r="AL17" s="266">
        <f t="shared" si="4"/>
        <v>150.5</v>
      </c>
      <c r="AM17" s="266">
        <f t="shared" si="4"/>
        <v>152.79</v>
      </c>
      <c r="AN17" s="689" t="s">
        <v>5</v>
      </c>
      <c r="AO17" s="579" t="s">
        <v>3</v>
      </c>
      <c r="AP17" s="534" t="s">
        <v>120</v>
      </c>
    </row>
    <row r="18" spans="1:46" s="238" customFormat="1">
      <c r="A18" s="244" t="s">
        <v>99</v>
      </c>
      <c r="B18" s="245" t="s">
        <v>1</v>
      </c>
      <c r="C18" s="266">
        <f>+C19+C20</f>
        <v>32.1</v>
      </c>
      <c r="D18" s="266">
        <f t="shared" ref="D18:AM18" si="5">+D19+D20</f>
        <v>18.600000000000001</v>
      </c>
      <c r="E18" s="266">
        <f t="shared" si="5"/>
        <v>16.899999999999999</v>
      </c>
      <c r="F18" s="266">
        <f t="shared" si="5"/>
        <v>3.8</v>
      </c>
      <c r="G18" s="266">
        <f t="shared" si="5"/>
        <v>14</v>
      </c>
      <c r="H18" s="266">
        <f t="shared" si="5"/>
        <v>9.9</v>
      </c>
      <c r="I18" s="266">
        <f t="shared" si="5"/>
        <v>16.48</v>
      </c>
      <c r="J18" s="266">
        <f t="shared" si="5"/>
        <v>36.5</v>
      </c>
      <c r="K18" s="266">
        <f t="shared" si="5"/>
        <v>40.5</v>
      </c>
      <c r="L18" s="266">
        <f t="shared" si="5"/>
        <v>23.5</v>
      </c>
      <c r="M18" s="266">
        <f t="shared" si="5"/>
        <v>17.899999999999999</v>
      </c>
      <c r="N18" s="266">
        <f t="shared" si="5"/>
        <v>42.5</v>
      </c>
      <c r="O18" s="266">
        <f t="shared" si="5"/>
        <v>30.376999999999999</v>
      </c>
      <c r="P18" s="266">
        <f t="shared" si="5"/>
        <v>12.5</v>
      </c>
      <c r="Q18" s="266">
        <f t="shared" si="5"/>
        <v>45.5</v>
      </c>
      <c r="R18" s="266">
        <f t="shared" si="5"/>
        <v>40.85</v>
      </c>
      <c r="S18" s="266">
        <f t="shared" si="5"/>
        <v>33</v>
      </c>
      <c r="T18" s="266">
        <f t="shared" si="5"/>
        <v>36.049999999999997</v>
      </c>
      <c r="U18" s="266">
        <f t="shared" si="5"/>
        <v>35</v>
      </c>
      <c r="V18" s="266">
        <f t="shared" si="5"/>
        <v>103.4</v>
      </c>
      <c r="W18" s="266">
        <f t="shared" si="5"/>
        <v>31.9</v>
      </c>
      <c r="X18" s="266">
        <f t="shared" si="5"/>
        <v>56.15</v>
      </c>
      <c r="Y18" s="266">
        <f t="shared" si="5"/>
        <v>47</v>
      </c>
      <c r="Z18" s="266">
        <f t="shared" si="5"/>
        <v>34.700000000000003</v>
      </c>
      <c r="AA18" s="266">
        <f t="shared" si="5"/>
        <v>34.700000000000003</v>
      </c>
      <c r="AB18" s="266">
        <f t="shared" si="5"/>
        <v>13.3</v>
      </c>
      <c r="AC18" s="266">
        <f t="shared" si="5"/>
        <v>34.299999999999997</v>
      </c>
      <c r="AD18" s="266">
        <f t="shared" si="5"/>
        <v>24.3</v>
      </c>
      <c r="AE18" s="266">
        <f t="shared" si="5"/>
        <v>54.3</v>
      </c>
      <c r="AF18" s="266">
        <f t="shared" si="5"/>
        <v>47.3</v>
      </c>
      <c r="AG18" s="266">
        <f t="shared" si="5"/>
        <v>33.299999999999997</v>
      </c>
      <c r="AH18" s="266">
        <f t="shared" si="5"/>
        <v>45.3</v>
      </c>
      <c r="AI18" s="266">
        <f t="shared" si="5"/>
        <v>44.3</v>
      </c>
      <c r="AJ18" s="266">
        <f t="shared" si="5"/>
        <v>48.3</v>
      </c>
      <c r="AK18" s="266">
        <f t="shared" si="5"/>
        <v>55.3</v>
      </c>
      <c r="AL18" s="266">
        <f t="shared" si="5"/>
        <v>60.3</v>
      </c>
      <c r="AM18" s="266">
        <f t="shared" si="5"/>
        <v>63.3</v>
      </c>
      <c r="AN18" s="689" t="s">
        <v>5</v>
      </c>
      <c r="AO18" s="579" t="s">
        <v>3</v>
      </c>
      <c r="AP18" s="534" t="s">
        <v>121</v>
      </c>
    </row>
    <row r="19" spans="1:46" s="238" customFormat="1">
      <c r="A19" s="246" t="s">
        <v>122</v>
      </c>
      <c r="B19" s="247" t="s">
        <v>1</v>
      </c>
      <c r="C19" s="271">
        <f t="shared" ref="C19:AL19" si="6">C6</f>
        <v>14.1</v>
      </c>
      <c r="D19" s="271">
        <f t="shared" si="6"/>
        <v>0</v>
      </c>
      <c r="E19" s="271">
        <f t="shared" si="6"/>
        <v>3.4</v>
      </c>
      <c r="F19" s="271">
        <f t="shared" si="6"/>
        <v>0</v>
      </c>
      <c r="G19" s="271">
        <f t="shared" si="6"/>
        <v>0</v>
      </c>
      <c r="H19" s="271">
        <f t="shared" si="6"/>
        <v>2</v>
      </c>
      <c r="I19" s="271">
        <f t="shared" si="6"/>
        <v>3.58</v>
      </c>
      <c r="J19" s="271">
        <f t="shared" si="6"/>
        <v>23</v>
      </c>
      <c r="K19" s="271">
        <f t="shared" si="6"/>
        <v>27</v>
      </c>
      <c r="L19" s="271">
        <f t="shared" si="6"/>
        <v>13</v>
      </c>
      <c r="M19" s="271">
        <f t="shared" si="6"/>
        <v>7</v>
      </c>
      <c r="N19" s="271">
        <f t="shared" si="6"/>
        <v>32</v>
      </c>
      <c r="O19" s="271">
        <f t="shared" si="6"/>
        <v>20.677</v>
      </c>
      <c r="P19" s="271">
        <f t="shared" si="6"/>
        <v>6</v>
      </c>
      <c r="Q19" s="271">
        <f t="shared" si="6"/>
        <v>39</v>
      </c>
      <c r="R19" s="271">
        <f t="shared" si="6"/>
        <v>37</v>
      </c>
      <c r="S19" s="271">
        <f t="shared" si="6"/>
        <v>29.5</v>
      </c>
      <c r="T19" s="271">
        <f t="shared" si="6"/>
        <v>35</v>
      </c>
      <c r="U19" s="271">
        <f t="shared" si="6"/>
        <v>31.5</v>
      </c>
      <c r="V19" s="271">
        <f t="shared" si="6"/>
        <v>100</v>
      </c>
      <c r="W19" s="271">
        <f t="shared" si="6"/>
        <v>26</v>
      </c>
      <c r="X19" s="271">
        <f t="shared" si="6"/>
        <v>51</v>
      </c>
      <c r="Y19" s="271">
        <f t="shared" si="6"/>
        <v>42</v>
      </c>
      <c r="Z19" s="271">
        <f t="shared" si="6"/>
        <v>29</v>
      </c>
      <c r="AA19" s="271">
        <f t="shared" si="6"/>
        <v>28</v>
      </c>
      <c r="AB19" s="271">
        <f t="shared" si="6"/>
        <v>10</v>
      </c>
      <c r="AC19" s="271">
        <f t="shared" si="6"/>
        <v>31</v>
      </c>
      <c r="AD19" s="271">
        <f t="shared" si="6"/>
        <v>21</v>
      </c>
      <c r="AE19" s="271">
        <f t="shared" si="6"/>
        <v>51</v>
      </c>
      <c r="AF19" s="271">
        <f t="shared" si="6"/>
        <v>44</v>
      </c>
      <c r="AG19" s="271">
        <f t="shared" si="6"/>
        <v>30</v>
      </c>
      <c r="AH19" s="271">
        <f t="shared" si="6"/>
        <v>42</v>
      </c>
      <c r="AI19" s="271">
        <f t="shared" si="6"/>
        <v>41</v>
      </c>
      <c r="AJ19" s="271">
        <f t="shared" si="6"/>
        <v>45</v>
      </c>
      <c r="AK19" s="271">
        <f t="shared" si="6"/>
        <v>52</v>
      </c>
      <c r="AL19" s="271">
        <f t="shared" si="6"/>
        <v>57</v>
      </c>
      <c r="AM19" s="271">
        <f>AM6</f>
        <v>60</v>
      </c>
      <c r="AN19" s="688" t="s">
        <v>159</v>
      </c>
      <c r="AO19" s="579" t="s">
        <v>3</v>
      </c>
      <c r="AP19" s="534" t="s">
        <v>123</v>
      </c>
    </row>
    <row r="20" spans="1:46" s="238" customFormat="1">
      <c r="A20" s="246" t="s">
        <v>124</v>
      </c>
      <c r="B20" s="247" t="s">
        <v>1</v>
      </c>
      <c r="C20" s="266">
        <f>+C24+C25+C26</f>
        <v>18</v>
      </c>
      <c r="D20" s="266">
        <f>+D24+D25+D26</f>
        <v>18.600000000000001</v>
      </c>
      <c r="E20" s="266">
        <f t="shared" ref="E20:AM20" si="7">+E24+E25+E26</f>
        <v>13.5</v>
      </c>
      <c r="F20" s="266">
        <f t="shared" si="7"/>
        <v>3.8</v>
      </c>
      <c r="G20" s="266">
        <f t="shared" si="7"/>
        <v>14</v>
      </c>
      <c r="H20" s="266">
        <f t="shared" si="7"/>
        <v>7.9</v>
      </c>
      <c r="I20" s="266">
        <f t="shared" si="7"/>
        <v>12.9</v>
      </c>
      <c r="J20" s="266">
        <f t="shared" si="7"/>
        <v>13.5</v>
      </c>
      <c r="K20" s="266">
        <f t="shared" si="7"/>
        <v>13.5</v>
      </c>
      <c r="L20" s="266">
        <f t="shared" si="7"/>
        <v>10.5</v>
      </c>
      <c r="M20" s="266">
        <f t="shared" si="7"/>
        <v>10.9</v>
      </c>
      <c r="N20" s="266">
        <f t="shared" si="7"/>
        <v>10.5</v>
      </c>
      <c r="O20" s="266">
        <f t="shared" si="7"/>
        <v>9.6999999999999993</v>
      </c>
      <c r="P20" s="266">
        <f t="shared" si="7"/>
        <v>6.5</v>
      </c>
      <c r="Q20" s="266">
        <f t="shared" si="7"/>
        <v>6.5</v>
      </c>
      <c r="R20" s="266">
        <f t="shared" si="7"/>
        <v>3.85</v>
      </c>
      <c r="S20" s="266">
        <f t="shared" si="7"/>
        <v>3.5</v>
      </c>
      <c r="T20" s="266">
        <f t="shared" si="7"/>
        <v>1.05</v>
      </c>
      <c r="U20" s="266">
        <f t="shared" si="7"/>
        <v>3.5</v>
      </c>
      <c r="V20" s="266">
        <f t="shared" si="7"/>
        <v>3.4000000000000004</v>
      </c>
      <c r="W20" s="266">
        <f t="shared" si="7"/>
        <v>5.9</v>
      </c>
      <c r="X20" s="266">
        <f t="shared" si="7"/>
        <v>5.15</v>
      </c>
      <c r="Y20" s="266">
        <f t="shared" si="7"/>
        <v>5</v>
      </c>
      <c r="Z20" s="266">
        <f t="shared" si="7"/>
        <v>5.7</v>
      </c>
      <c r="AA20" s="266">
        <f t="shared" si="7"/>
        <v>6.7</v>
      </c>
      <c r="AB20" s="266">
        <f t="shared" si="7"/>
        <v>3.3</v>
      </c>
      <c r="AC20" s="266">
        <f t="shared" si="7"/>
        <v>3.3</v>
      </c>
      <c r="AD20" s="266">
        <f t="shared" si="7"/>
        <v>3.3</v>
      </c>
      <c r="AE20" s="266">
        <f t="shared" si="7"/>
        <v>3.3</v>
      </c>
      <c r="AF20" s="266">
        <f t="shared" si="7"/>
        <v>3.3</v>
      </c>
      <c r="AG20" s="266">
        <f t="shared" si="7"/>
        <v>3.3</v>
      </c>
      <c r="AH20" s="266">
        <f t="shared" si="7"/>
        <v>3.3</v>
      </c>
      <c r="AI20" s="266">
        <f t="shared" si="7"/>
        <v>3.3</v>
      </c>
      <c r="AJ20" s="266">
        <f t="shared" si="7"/>
        <v>3.3</v>
      </c>
      <c r="AK20" s="266">
        <f t="shared" si="7"/>
        <v>3.3</v>
      </c>
      <c r="AL20" s="266">
        <f>+AL24+AL25+AL26</f>
        <v>3.3</v>
      </c>
      <c r="AM20" s="266">
        <f t="shared" si="7"/>
        <v>3.3</v>
      </c>
      <c r="AN20" s="689" t="s">
        <v>5</v>
      </c>
      <c r="AO20" s="579" t="s">
        <v>3</v>
      </c>
      <c r="AP20" s="534" t="s">
        <v>125</v>
      </c>
    </row>
    <row r="21" spans="1:46" s="238" customFormat="1">
      <c r="A21" s="252" t="s">
        <v>101</v>
      </c>
      <c r="B21" s="253" t="s">
        <v>1</v>
      </c>
      <c r="C21" s="272">
        <f>+C22+C23</f>
        <v>209.20567744999997</v>
      </c>
      <c r="D21" s="272">
        <f>+D22+D23</f>
        <v>200.24329082</v>
      </c>
      <c r="E21" s="272">
        <f t="shared" ref="E21:AL21" si="8">+E22+E23</f>
        <v>189.09545953</v>
      </c>
      <c r="F21" s="272">
        <f t="shared" si="8"/>
        <v>165.27</v>
      </c>
      <c r="G21" s="272">
        <f t="shared" si="8"/>
        <v>146.49</v>
      </c>
      <c r="H21" s="272">
        <f t="shared" si="8"/>
        <v>141.36000000000001</v>
      </c>
      <c r="I21" s="272">
        <f t="shared" si="8"/>
        <v>154.34</v>
      </c>
      <c r="J21" s="272">
        <f t="shared" si="8"/>
        <v>169.73</v>
      </c>
      <c r="K21" s="272">
        <f t="shared" si="8"/>
        <v>174.28</v>
      </c>
      <c r="L21" s="272">
        <f t="shared" si="8"/>
        <v>169.34</v>
      </c>
      <c r="M21" s="272">
        <f t="shared" si="8"/>
        <v>177.81</v>
      </c>
      <c r="N21" s="272">
        <f t="shared" si="8"/>
        <v>171.20240770999999</v>
      </c>
      <c r="O21" s="272">
        <f t="shared" si="8"/>
        <v>172.42</v>
      </c>
      <c r="P21" s="272">
        <f t="shared" si="8"/>
        <v>162.63</v>
      </c>
      <c r="Q21" s="272">
        <f t="shared" si="8"/>
        <v>154.92743945000001</v>
      </c>
      <c r="R21" s="272">
        <f t="shared" si="8"/>
        <v>165.96</v>
      </c>
      <c r="S21" s="272">
        <f t="shared" si="8"/>
        <v>141.32999999999998</v>
      </c>
      <c r="T21" s="272">
        <f t="shared" si="8"/>
        <v>141.88</v>
      </c>
      <c r="U21" s="272">
        <f t="shared" si="8"/>
        <v>144.82</v>
      </c>
      <c r="V21" s="272">
        <f t="shared" si="8"/>
        <v>148.66999999999999</v>
      </c>
      <c r="W21" s="272">
        <f t="shared" si="8"/>
        <v>144.13</v>
      </c>
      <c r="X21" s="272">
        <f t="shared" si="8"/>
        <v>144.1</v>
      </c>
      <c r="Y21" s="272">
        <f t="shared" si="8"/>
        <v>149.75900000000001</v>
      </c>
      <c r="Z21" s="272">
        <f t="shared" si="8"/>
        <v>146.33999999999997</v>
      </c>
      <c r="AA21" s="272">
        <f t="shared" si="8"/>
        <v>155.35999999999999</v>
      </c>
      <c r="AB21" s="272">
        <f t="shared" si="8"/>
        <v>155.78000000000003</v>
      </c>
      <c r="AC21" s="272">
        <f t="shared" si="8"/>
        <v>142.67000000000002</v>
      </c>
      <c r="AD21" s="272">
        <f t="shared" si="8"/>
        <v>142.12</v>
      </c>
      <c r="AE21" s="272">
        <f t="shared" si="8"/>
        <v>149.73000000000002</v>
      </c>
      <c r="AF21" s="272">
        <f t="shared" si="8"/>
        <v>152.49</v>
      </c>
      <c r="AG21" s="272">
        <f t="shared" si="8"/>
        <v>150.82000000000002</v>
      </c>
      <c r="AH21" s="272">
        <f t="shared" si="8"/>
        <v>158.86000000000001</v>
      </c>
      <c r="AI21" s="272">
        <f t="shared" si="8"/>
        <v>160.31</v>
      </c>
      <c r="AJ21" s="272">
        <f t="shared" si="8"/>
        <v>156.22</v>
      </c>
      <c r="AK21" s="272">
        <f t="shared" si="8"/>
        <v>158.16000000000003</v>
      </c>
      <c r="AL21" s="272">
        <f t="shared" si="8"/>
        <v>153.80000000000001</v>
      </c>
      <c r="AM21" s="272">
        <f>+AM22+AM23</f>
        <v>156.09</v>
      </c>
      <c r="AN21" s="689" t="s">
        <v>5</v>
      </c>
      <c r="AO21" s="579" t="s">
        <v>3</v>
      </c>
      <c r="AP21" s="534" t="s">
        <v>126</v>
      </c>
    </row>
    <row r="22" spans="1:46" s="238" customFormat="1">
      <c r="A22" s="244" t="s">
        <v>127</v>
      </c>
      <c r="B22" s="245" t="s">
        <v>1</v>
      </c>
      <c r="C22" s="266">
        <f>C11</f>
        <v>191.20567744999997</v>
      </c>
      <c r="D22" s="266">
        <f t="shared" ref="D22:AL22" si="9">D11</f>
        <v>181.64329082</v>
      </c>
      <c r="E22" s="266">
        <f t="shared" si="9"/>
        <v>175.59545953</v>
      </c>
      <c r="F22" s="266">
        <f t="shared" si="9"/>
        <v>161.47</v>
      </c>
      <c r="G22" s="266">
        <f t="shared" si="9"/>
        <v>132.49</v>
      </c>
      <c r="H22" s="266">
        <f t="shared" si="9"/>
        <v>133.46</v>
      </c>
      <c r="I22" s="266">
        <f t="shared" si="9"/>
        <v>141.44</v>
      </c>
      <c r="J22" s="266">
        <f t="shared" si="9"/>
        <v>156.22999999999999</v>
      </c>
      <c r="K22" s="266">
        <f t="shared" si="9"/>
        <v>160.78</v>
      </c>
      <c r="L22" s="266">
        <f t="shared" si="9"/>
        <v>158.84</v>
      </c>
      <c r="M22" s="266">
        <f t="shared" si="9"/>
        <v>166.91</v>
      </c>
      <c r="N22" s="266">
        <f t="shared" si="9"/>
        <v>160.70240770999999</v>
      </c>
      <c r="O22" s="266">
        <f t="shared" si="9"/>
        <v>162.72</v>
      </c>
      <c r="P22" s="266">
        <f t="shared" si="9"/>
        <v>156.13</v>
      </c>
      <c r="Q22" s="266">
        <f t="shared" si="9"/>
        <v>148.42743945000001</v>
      </c>
      <c r="R22" s="266">
        <f t="shared" si="9"/>
        <v>162.11000000000001</v>
      </c>
      <c r="S22" s="266">
        <f t="shared" si="9"/>
        <v>137.82999999999998</v>
      </c>
      <c r="T22" s="266">
        <f t="shared" si="9"/>
        <v>140.82999999999998</v>
      </c>
      <c r="U22" s="266">
        <f t="shared" si="9"/>
        <v>141.32</v>
      </c>
      <c r="V22" s="266">
        <f t="shared" si="9"/>
        <v>145.26999999999998</v>
      </c>
      <c r="W22" s="266">
        <f t="shared" si="9"/>
        <v>138.22999999999999</v>
      </c>
      <c r="X22" s="266">
        <f t="shared" si="9"/>
        <v>138.94999999999999</v>
      </c>
      <c r="Y22" s="266">
        <f t="shared" si="9"/>
        <v>144.75900000000001</v>
      </c>
      <c r="Z22" s="266">
        <f t="shared" si="9"/>
        <v>140.63999999999999</v>
      </c>
      <c r="AA22" s="266">
        <f t="shared" si="9"/>
        <v>148.66</v>
      </c>
      <c r="AB22" s="266">
        <f t="shared" si="9"/>
        <v>152.48000000000002</v>
      </c>
      <c r="AC22" s="266">
        <f t="shared" si="9"/>
        <v>139.37</v>
      </c>
      <c r="AD22" s="266">
        <f t="shared" si="9"/>
        <v>138.82</v>
      </c>
      <c r="AE22" s="266">
        <f t="shared" si="9"/>
        <v>146.43</v>
      </c>
      <c r="AF22" s="266">
        <f t="shared" si="9"/>
        <v>149.19</v>
      </c>
      <c r="AG22" s="266">
        <f t="shared" si="9"/>
        <v>147.52000000000001</v>
      </c>
      <c r="AH22" s="266">
        <f t="shared" si="9"/>
        <v>155.56</v>
      </c>
      <c r="AI22" s="266">
        <f t="shared" si="9"/>
        <v>157.01</v>
      </c>
      <c r="AJ22" s="266">
        <f t="shared" si="9"/>
        <v>152.91999999999999</v>
      </c>
      <c r="AK22" s="266">
        <f t="shared" si="9"/>
        <v>154.86000000000001</v>
      </c>
      <c r="AL22" s="266">
        <f t="shared" si="9"/>
        <v>150.5</v>
      </c>
      <c r="AM22" s="266">
        <f>AM11</f>
        <v>152.79</v>
      </c>
      <c r="AN22" s="688" t="s">
        <v>159</v>
      </c>
      <c r="AO22" s="579" t="s">
        <v>3</v>
      </c>
      <c r="AP22" s="534" t="s">
        <v>128</v>
      </c>
    </row>
    <row r="23" spans="1:46" s="238" customFormat="1">
      <c r="A23" s="244" t="s">
        <v>129</v>
      </c>
      <c r="B23" s="245" t="s">
        <v>1</v>
      </c>
      <c r="C23" s="266">
        <f>+C24+C25+C26</f>
        <v>18</v>
      </c>
      <c r="D23" s="266">
        <f>+D24+D25+D26</f>
        <v>18.600000000000001</v>
      </c>
      <c r="E23" s="266">
        <f t="shared" ref="E23:AL23" si="10">+E24+E25+E26</f>
        <v>13.5</v>
      </c>
      <c r="F23" s="266">
        <f t="shared" si="10"/>
        <v>3.8</v>
      </c>
      <c r="G23" s="266">
        <f t="shared" si="10"/>
        <v>14</v>
      </c>
      <c r="H23" s="266">
        <f t="shared" si="10"/>
        <v>7.9</v>
      </c>
      <c r="I23" s="266">
        <f t="shared" si="10"/>
        <v>12.9</v>
      </c>
      <c r="J23" s="266">
        <f t="shared" si="10"/>
        <v>13.5</v>
      </c>
      <c r="K23" s="266">
        <f t="shared" si="10"/>
        <v>13.5</v>
      </c>
      <c r="L23" s="266">
        <f t="shared" si="10"/>
        <v>10.5</v>
      </c>
      <c r="M23" s="266">
        <f t="shared" si="10"/>
        <v>10.9</v>
      </c>
      <c r="N23" s="266">
        <f t="shared" si="10"/>
        <v>10.5</v>
      </c>
      <c r="O23" s="266">
        <f t="shared" si="10"/>
        <v>9.6999999999999993</v>
      </c>
      <c r="P23" s="266">
        <f t="shared" si="10"/>
        <v>6.5</v>
      </c>
      <c r="Q23" s="266">
        <f t="shared" si="10"/>
        <v>6.5</v>
      </c>
      <c r="R23" s="266">
        <f t="shared" si="10"/>
        <v>3.85</v>
      </c>
      <c r="S23" s="266">
        <f t="shared" si="10"/>
        <v>3.5</v>
      </c>
      <c r="T23" s="266">
        <f t="shared" si="10"/>
        <v>1.05</v>
      </c>
      <c r="U23" s="266">
        <f t="shared" si="10"/>
        <v>3.5</v>
      </c>
      <c r="V23" s="266">
        <f t="shared" si="10"/>
        <v>3.4000000000000004</v>
      </c>
      <c r="W23" s="266">
        <f t="shared" si="10"/>
        <v>5.9</v>
      </c>
      <c r="X23" s="266">
        <f t="shared" si="10"/>
        <v>5.15</v>
      </c>
      <c r="Y23" s="266">
        <f t="shared" si="10"/>
        <v>5</v>
      </c>
      <c r="Z23" s="266">
        <f>+Z24+Z25+Z26</f>
        <v>5.7</v>
      </c>
      <c r="AA23" s="266">
        <f t="shared" si="10"/>
        <v>6.7</v>
      </c>
      <c r="AB23" s="266">
        <f t="shared" si="10"/>
        <v>3.3</v>
      </c>
      <c r="AC23" s="266">
        <f t="shared" si="10"/>
        <v>3.3</v>
      </c>
      <c r="AD23" s="266">
        <f t="shared" si="10"/>
        <v>3.3</v>
      </c>
      <c r="AE23" s="266">
        <f t="shared" si="10"/>
        <v>3.3</v>
      </c>
      <c r="AF23" s="266">
        <f t="shared" si="10"/>
        <v>3.3</v>
      </c>
      <c r="AG23" s="266">
        <f t="shared" si="10"/>
        <v>3.3</v>
      </c>
      <c r="AH23" s="266">
        <f t="shared" si="10"/>
        <v>3.3</v>
      </c>
      <c r="AI23" s="266">
        <f t="shared" si="10"/>
        <v>3.3</v>
      </c>
      <c r="AJ23" s="266">
        <f t="shared" si="10"/>
        <v>3.3</v>
      </c>
      <c r="AK23" s="266">
        <f t="shared" si="10"/>
        <v>3.3</v>
      </c>
      <c r="AL23" s="266">
        <f t="shared" si="10"/>
        <v>3.3</v>
      </c>
      <c r="AM23" s="266">
        <f>+AM24+AM25+AM26</f>
        <v>3.3</v>
      </c>
      <c r="AN23" s="689" t="s">
        <v>5</v>
      </c>
      <c r="AO23" s="579" t="s">
        <v>3</v>
      </c>
      <c r="AP23" s="534" t="s">
        <v>125</v>
      </c>
    </row>
    <row r="24" spans="1:46" s="238" customFormat="1">
      <c r="A24" s="246" t="s">
        <v>130</v>
      </c>
      <c r="B24" s="247" t="s">
        <v>1</v>
      </c>
      <c r="C24" s="265">
        <v>15</v>
      </c>
      <c r="D24" s="265">
        <v>15</v>
      </c>
      <c r="E24" s="265">
        <v>11</v>
      </c>
      <c r="F24" s="281">
        <v>1.8</v>
      </c>
      <c r="G24" s="265">
        <v>11</v>
      </c>
      <c r="H24" s="265">
        <v>6</v>
      </c>
      <c r="I24" s="265">
        <v>11</v>
      </c>
      <c r="J24" s="265">
        <v>11</v>
      </c>
      <c r="K24" s="265">
        <v>11</v>
      </c>
      <c r="L24" s="281">
        <v>9.5</v>
      </c>
      <c r="M24" s="281">
        <v>9.5</v>
      </c>
      <c r="N24" s="281">
        <v>9.5</v>
      </c>
      <c r="O24" s="281">
        <v>8.5</v>
      </c>
      <c r="P24" s="281">
        <v>5</v>
      </c>
      <c r="Q24" s="281">
        <v>5</v>
      </c>
      <c r="R24" s="281">
        <v>3.35</v>
      </c>
      <c r="S24" s="281">
        <v>3</v>
      </c>
      <c r="T24" s="281">
        <v>0.55000000000000004</v>
      </c>
      <c r="U24" s="281">
        <v>2</v>
      </c>
      <c r="V24" s="504">
        <v>2.7</v>
      </c>
      <c r="W24" s="281">
        <f>1.5+3.5-0.5</f>
        <v>4.5</v>
      </c>
      <c r="X24" s="281">
        <f>5-0.5-1</f>
        <v>3.5</v>
      </c>
      <c r="Y24" s="281">
        <f>4-0.7+0.7</f>
        <v>4</v>
      </c>
      <c r="Z24" s="281">
        <f>1.5+2.5</f>
        <v>4</v>
      </c>
      <c r="AA24" s="281">
        <f>1.5+3.5</f>
        <v>5</v>
      </c>
      <c r="AB24" s="281">
        <v>1.5</v>
      </c>
      <c r="AC24" s="281">
        <v>1.5</v>
      </c>
      <c r="AD24" s="281">
        <v>1.5</v>
      </c>
      <c r="AE24" s="281">
        <v>1.5</v>
      </c>
      <c r="AF24" s="281">
        <v>1.5</v>
      </c>
      <c r="AG24" s="281">
        <v>1.5</v>
      </c>
      <c r="AH24" s="281">
        <v>1.5</v>
      </c>
      <c r="AI24" s="281">
        <v>1.5</v>
      </c>
      <c r="AJ24" s="281">
        <v>1.5</v>
      </c>
      <c r="AK24" s="281">
        <v>1.5</v>
      </c>
      <c r="AL24" s="281">
        <v>1.5</v>
      </c>
      <c r="AM24" s="281">
        <v>1.5</v>
      </c>
      <c r="AN24" s="710" t="s">
        <v>161</v>
      </c>
      <c r="AO24" s="579" t="s">
        <v>3</v>
      </c>
      <c r="AP24" s="535" t="s">
        <v>139</v>
      </c>
    </row>
    <row r="25" spans="1:46" s="238" customFormat="1">
      <c r="A25" s="246" t="s">
        <v>131</v>
      </c>
      <c r="B25" s="247" t="s">
        <v>1</v>
      </c>
      <c r="C25" s="265"/>
      <c r="D25" s="265">
        <v>0.6</v>
      </c>
      <c r="E25" s="265"/>
      <c r="F25" s="265"/>
      <c r="G25" s="265"/>
      <c r="H25" s="265"/>
      <c r="I25" s="265"/>
      <c r="J25" s="265"/>
      <c r="K25" s="265"/>
      <c r="L25" s="265"/>
      <c r="M25" s="265"/>
      <c r="N25" s="265"/>
      <c r="O25" s="265"/>
      <c r="P25" s="265"/>
      <c r="Q25" s="265"/>
      <c r="R25" s="265"/>
      <c r="S25" s="265"/>
      <c r="T25" s="265"/>
      <c r="U25" s="265"/>
      <c r="V25" s="265"/>
      <c r="W25" s="265"/>
      <c r="X25" s="265"/>
      <c r="Y25" s="265"/>
      <c r="Z25" s="265"/>
      <c r="AA25" s="265"/>
      <c r="AB25" s="265"/>
      <c r="AC25" s="265"/>
      <c r="AD25" s="265"/>
      <c r="AE25" s="265"/>
      <c r="AF25" s="265"/>
      <c r="AG25" s="265"/>
      <c r="AH25" s="265"/>
      <c r="AI25" s="265"/>
      <c r="AJ25" s="265"/>
      <c r="AK25" s="265"/>
      <c r="AL25" s="265"/>
      <c r="AM25" s="265"/>
      <c r="AN25" s="710" t="s">
        <v>83</v>
      </c>
      <c r="AO25" s="579" t="s">
        <v>3</v>
      </c>
      <c r="AP25" s="535" t="s">
        <v>139</v>
      </c>
      <c r="AS25" s="846" t="s">
        <v>162</v>
      </c>
      <c r="AT25" s="847" t="s">
        <v>163</v>
      </c>
    </row>
    <row r="26" spans="1:46" s="238" customFormat="1">
      <c r="A26" s="246" t="s">
        <v>132</v>
      </c>
      <c r="B26" s="247" t="s">
        <v>1</v>
      </c>
      <c r="C26" s="265">
        <v>3</v>
      </c>
      <c r="D26" s="265">
        <v>3</v>
      </c>
      <c r="E26" s="265">
        <v>2.5</v>
      </c>
      <c r="F26" s="265">
        <v>2</v>
      </c>
      <c r="G26" s="265">
        <v>3</v>
      </c>
      <c r="H26" s="265">
        <v>1.9</v>
      </c>
      <c r="I26" s="281">
        <v>1.9</v>
      </c>
      <c r="J26" s="281">
        <v>2.5</v>
      </c>
      <c r="K26" s="281">
        <v>2.5</v>
      </c>
      <c r="L26" s="281">
        <v>1</v>
      </c>
      <c r="M26" s="281">
        <v>1.4</v>
      </c>
      <c r="N26" s="281">
        <v>1</v>
      </c>
      <c r="O26" s="281">
        <v>1.2</v>
      </c>
      <c r="P26" s="281">
        <v>1.5</v>
      </c>
      <c r="Q26" s="281">
        <v>1.5</v>
      </c>
      <c r="R26" s="281">
        <v>0.5</v>
      </c>
      <c r="S26" s="281">
        <v>0.5</v>
      </c>
      <c r="T26" s="281">
        <v>0.5</v>
      </c>
      <c r="U26" s="281">
        <f>1+0.5</f>
        <v>1.5</v>
      </c>
      <c r="V26" s="281">
        <v>0.7</v>
      </c>
      <c r="W26" s="504">
        <f>1.05+0.35</f>
        <v>1.4</v>
      </c>
      <c r="X26" s="504">
        <f>1.05+0.6</f>
        <v>1.65</v>
      </c>
      <c r="Y26" s="504">
        <f>0.88+0.12</f>
        <v>1</v>
      </c>
      <c r="Z26" s="504">
        <v>1.7</v>
      </c>
      <c r="AA26" s="504">
        <v>1.7</v>
      </c>
      <c r="AB26" s="504">
        <v>1.8</v>
      </c>
      <c r="AC26" s="504">
        <v>1.8</v>
      </c>
      <c r="AD26" s="504">
        <v>1.8</v>
      </c>
      <c r="AE26" s="504">
        <v>1.8</v>
      </c>
      <c r="AF26" s="504">
        <v>1.8</v>
      </c>
      <c r="AG26" s="504">
        <v>1.8</v>
      </c>
      <c r="AH26" s="504">
        <v>1.8</v>
      </c>
      <c r="AI26" s="504">
        <v>1.8</v>
      </c>
      <c r="AJ26" s="504">
        <v>1.8</v>
      </c>
      <c r="AK26" s="504">
        <v>1.8</v>
      </c>
      <c r="AL26" s="504">
        <v>1.8</v>
      </c>
      <c r="AM26" s="504">
        <v>1.8</v>
      </c>
      <c r="AN26" s="710" t="s">
        <v>164</v>
      </c>
      <c r="AO26" s="579" t="s">
        <v>3</v>
      </c>
      <c r="AP26" s="535" t="s">
        <v>139</v>
      </c>
      <c r="AS26" s="846"/>
      <c r="AT26" s="847"/>
    </row>
    <row r="27" spans="1:46" s="238" customFormat="1">
      <c r="A27" s="248" t="s">
        <v>133</v>
      </c>
      <c r="B27" s="249" t="s">
        <v>1</v>
      </c>
      <c r="C27" s="273">
        <v>4.3630100000000001</v>
      </c>
      <c r="D27" s="273">
        <v>4.8184300000000002</v>
      </c>
      <c r="E27" s="273">
        <v>4.7113100000000001</v>
      </c>
      <c r="F27" s="273">
        <v>4.8537400000000002</v>
      </c>
      <c r="G27" s="273">
        <v>4.01729</v>
      </c>
      <c r="H27" s="273">
        <v>4.1034899999999999</v>
      </c>
      <c r="I27" s="273">
        <v>3.9801899999999999</v>
      </c>
      <c r="J27" s="273">
        <v>3.1403699999999999</v>
      </c>
      <c r="K27" s="273">
        <v>4.1078799999999998</v>
      </c>
      <c r="L27" s="273">
        <v>4.1213299999999995</v>
      </c>
      <c r="M27" s="273">
        <v>4.4393100000000008</v>
      </c>
      <c r="N27" s="273">
        <v>4.7826300000000002</v>
      </c>
      <c r="O27" s="273">
        <v>4.9286300000000001</v>
      </c>
      <c r="P27" s="273">
        <v>4.9282299999999992</v>
      </c>
      <c r="Q27" s="273">
        <v>5.0398900000000006</v>
      </c>
      <c r="R27" s="273">
        <v>5.0159700000000003</v>
      </c>
      <c r="S27" s="273">
        <v>4.9056199999999999</v>
      </c>
      <c r="T27" s="273">
        <v>4.2280699999999998</v>
      </c>
      <c r="U27" s="273">
        <v>3.8584399999999999</v>
      </c>
      <c r="V27" s="273">
        <v>4.84267</v>
      </c>
      <c r="W27" s="273">
        <v>2.2034699999999998</v>
      </c>
      <c r="X27" s="273">
        <v>1.84476</v>
      </c>
      <c r="Y27" s="806">
        <f t="shared" ref="Y27:AM30" si="11">X27</f>
        <v>1.84476</v>
      </c>
      <c r="Z27" s="806">
        <f t="shared" si="11"/>
        <v>1.84476</v>
      </c>
      <c r="AA27" s="806">
        <f t="shared" si="11"/>
        <v>1.84476</v>
      </c>
      <c r="AB27" s="806">
        <f t="shared" si="11"/>
        <v>1.84476</v>
      </c>
      <c r="AC27" s="806">
        <f t="shared" si="11"/>
        <v>1.84476</v>
      </c>
      <c r="AD27" s="806">
        <f t="shared" si="11"/>
        <v>1.84476</v>
      </c>
      <c r="AE27" s="806">
        <f t="shared" si="11"/>
        <v>1.84476</v>
      </c>
      <c r="AF27" s="806">
        <f>AE27</f>
        <v>1.84476</v>
      </c>
      <c r="AG27" s="806">
        <f t="shared" si="11"/>
        <v>1.84476</v>
      </c>
      <c r="AH27" s="806">
        <f t="shared" ref="AH27:AM27" si="12">AG27</f>
        <v>1.84476</v>
      </c>
      <c r="AI27" s="806">
        <f t="shared" si="12"/>
        <v>1.84476</v>
      </c>
      <c r="AJ27" s="806">
        <f t="shared" si="12"/>
        <v>1.84476</v>
      </c>
      <c r="AK27" s="806">
        <f t="shared" si="12"/>
        <v>1.84476</v>
      </c>
      <c r="AL27" s="806">
        <f t="shared" si="12"/>
        <v>1.84476</v>
      </c>
      <c r="AM27" s="806">
        <f t="shared" si="12"/>
        <v>1.84476</v>
      </c>
      <c r="AN27" s="710" t="s">
        <v>165</v>
      </c>
      <c r="AO27" s="579" t="s">
        <v>3</v>
      </c>
      <c r="AP27" s="535" t="s">
        <v>134</v>
      </c>
      <c r="AS27" s="276">
        <v>1844.76</v>
      </c>
      <c r="AT27" s="300">
        <f t="shared" ref="AT27:AT32" si="13">AS27/1000</f>
        <v>1.84476</v>
      </c>
    </row>
    <row r="28" spans="1:46" s="238" customFormat="1">
      <c r="A28" s="248" t="s">
        <v>135</v>
      </c>
      <c r="B28" s="249" t="s">
        <v>1</v>
      </c>
      <c r="C28" s="273">
        <v>12.485040000000001</v>
      </c>
      <c r="D28" s="273">
        <v>9.6427199999999988</v>
      </c>
      <c r="E28" s="273">
        <v>5.1455200000000003</v>
      </c>
      <c r="F28" s="273">
        <v>8.9106900000000007</v>
      </c>
      <c r="G28" s="273">
        <v>10.6479</v>
      </c>
      <c r="H28" s="273">
        <v>11.268190000000001</v>
      </c>
      <c r="I28" s="273">
        <v>9.0518400000000003</v>
      </c>
      <c r="J28" s="273">
        <v>11.33426</v>
      </c>
      <c r="K28" s="273">
        <v>7.3439199999999998</v>
      </c>
      <c r="L28" s="273">
        <v>7.4108900000000002</v>
      </c>
      <c r="M28" s="273">
        <v>6.3707500000000001</v>
      </c>
      <c r="N28" s="273">
        <v>7.9856099999999994</v>
      </c>
      <c r="O28" s="273">
        <v>8.8895</v>
      </c>
      <c r="P28" s="273">
        <v>9.9887499999999996</v>
      </c>
      <c r="Q28" s="273">
        <v>7.2515400000000003</v>
      </c>
      <c r="R28" s="273">
        <v>9.6531599999999997</v>
      </c>
      <c r="S28" s="273">
        <v>9.087159999999999</v>
      </c>
      <c r="T28" s="273">
        <v>10.34149</v>
      </c>
      <c r="U28" s="273">
        <v>10.659940000000001</v>
      </c>
      <c r="V28" s="273">
        <v>7.6978299999999997</v>
      </c>
      <c r="W28" s="273">
        <v>9.9850400000000015</v>
      </c>
      <c r="X28" s="273">
        <v>8.6645099999999999</v>
      </c>
      <c r="Y28" s="806">
        <f t="shared" si="11"/>
        <v>8.6645099999999999</v>
      </c>
      <c r="Z28" s="806">
        <f t="shared" si="11"/>
        <v>8.6645099999999999</v>
      </c>
      <c r="AA28" s="806">
        <f t="shared" si="11"/>
        <v>8.6645099999999999</v>
      </c>
      <c r="AB28" s="806">
        <f t="shared" si="11"/>
        <v>8.6645099999999999</v>
      </c>
      <c r="AC28" s="806">
        <f t="shared" si="11"/>
        <v>8.6645099999999999</v>
      </c>
      <c r="AD28" s="806">
        <f t="shared" si="11"/>
        <v>8.6645099999999999</v>
      </c>
      <c r="AE28" s="806">
        <f>AD28</f>
        <v>8.6645099999999999</v>
      </c>
      <c r="AF28" s="806">
        <f t="shared" si="11"/>
        <v>8.6645099999999999</v>
      </c>
      <c r="AG28" s="806">
        <f t="shared" si="11"/>
        <v>8.6645099999999999</v>
      </c>
      <c r="AH28" s="806">
        <f t="shared" si="11"/>
        <v>8.6645099999999999</v>
      </c>
      <c r="AI28" s="806">
        <f t="shared" si="11"/>
        <v>8.6645099999999999</v>
      </c>
      <c r="AJ28" s="806">
        <f t="shared" si="11"/>
        <v>8.6645099999999999</v>
      </c>
      <c r="AK28" s="806">
        <f t="shared" si="11"/>
        <v>8.6645099999999999</v>
      </c>
      <c r="AL28" s="806">
        <f t="shared" si="11"/>
        <v>8.6645099999999999</v>
      </c>
      <c r="AM28" s="806">
        <f>AL28</f>
        <v>8.6645099999999999</v>
      </c>
      <c r="AN28" s="710" t="s">
        <v>165</v>
      </c>
      <c r="AO28" s="579" t="s">
        <v>3</v>
      </c>
      <c r="AP28" s="535" t="s">
        <v>134</v>
      </c>
      <c r="AS28" s="276">
        <v>8664.51</v>
      </c>
      <c r="AT28" s="300">
        <f t="shared" si="13"/>
        <v>8.6645099999999999</v>
      </c>
    </row>
    <row r="29" spans="1:46" s="238" customFormat="1">
      <c r="A29" s="248" t="s">
        <v>136</v>
      </c>
      <c r="B29" s="249" t="s">
        <v>1</v>
      </c>
      <c r="C29" s="273">
        <v>1.74675</v>
      </c>
      <c r="D29" s="273">
        <v>1.7093</v>
      </c>
      <c r="E29" s="273">
        <v>1.74495</v>
      </c>
      <c r="F29" s="273">
        <v>1.73674</v>
      </c>
      <c r="G29" s="273">
        <v>1.7336099999999999</v>
      </c>
      <c r="H29" s="273">
        <v>1.7284000000000002</v>
      </c>
      <c r="I29" s="273">
        <v>1.6542000000000001</v>
      </c>
      <c r="J29" s="273">
        <v>1.5305799999999998</v>
      </c>
      <c r="K29" s="273">
        <v>1.2746300000000002</v>
      </c>
      <c r="L29" s="273">
        <v>8.58765</v>
      </c>
      <c r="M29" s="273">
        <v>8.5851000000000006</v>
      </c>
      <c r="N29" s="273">
        <v>6.1211599999999997</v>
      </c>
      <c r="O29" s="273">
        <v>6.1287600000000007</v>
      </c>
      <c r="P29" s="273">
        <v>6.1342299999999996</v>
      </c>
      <c r="Q29" s="273">
        <v>6.0019999999999998</v>
      </c>
      <c r="R29" s="273">
        <v>8.2162900000000008</v>
      </c>
      <c r="S29" s="273">
        <v>3.9404299999999997</v>
      </c>
      <c r="T29" s="273">
        <v>3.4487199999999998</v>
      </c>
      <c r="U29" s="273">
        <v>3.4514</v>
      </c>
      <c r="V29" s="273">
        <v>0.92852000000000001</v>
      </c>
      <c r="W29" s="273">
        <v>3.8965100000000001</v>
      </c>
      <c r="X29" s="273">
        <v>1.51406</v>
      </c>
      <c r="Y29" s="806">
        <f>X29</f>
        <v>1.51406</v>
      </c>
      <c r="Z29" s="806">
        <f t="shared" si="11"/>
        <v>1.51406</v>
      </c>
      <c r="AA29" s="806">
        <f t="shared" si="11"/>
        <v>1.51406</v>
      </c>
      <c r="AB29" s="806">
        <f t="shared" si="11"/>
        <v>1.51406</v>
      </c>
      <c r="AC29" s="806">
        <f t="shared" si="11"/>
        <v>1.51406</v>
      </c>
      <c r="AD29" s="806">
        <f t="shared" si="11"/>
        <v>1.51406</v>
      </c>
      <c r="AE29" s="806">
        <f>AD29</f>
        <v>1.51406</v>
      </c>
      <c r="AF29" s="806">
        <f>AE29</f>
        <v>1.51406</v>
      </c>
      <c r="AG29" s="806">
        <f t="shared" si="11"/>
        <v>1.51406</v>
      </c>
      <c r="AH29" s="806">
        <f t="shared" si="11"/>
        <v>1.51406</v>
      </c>
      <c r="AI29" s="806">
        <f t="shared" si="11"/>
        <v>1.51406</v>
      </c>
      <c r="AJ29" s="806">
        <f t="shared" si="11"/>
        <v>1.51406</v>
      </c>
      <c r="AK29" s="806">
        <f t="shared" si="11"/>
        <v>1.51406</v>
      </c>
      <c r="AL29" s="806">
        <f t="shared" si="11"/>
        <v>1.51406</v>
      </c>
      <c r="AM29" s="806">
        <f t="shared" si="11"/>
        <v>1.51406</v>
      </c>
      <c r="AN29" s="710" t="s">
        <v>165</v>
      </c>
      <c r="AO29" s="579" t="s">
        <v>3</v>
      </c>
      <c r="AP29" s="535" t="s">
        <v>134</v>
      </c>
      <c r="AS29" s="276">
        <v>1514.06</v>
      </c>
      <c r="AT29" s="300">
        <f t="shared" si="13"/>
        <v>1.51406</v>
      </c>
    </row>
    <row r="30" spans="1:46" s="238" customFormat="1">
      <c r="A30" s="248" t="s">
        <v>137</v>
      </c>
      <c r="B30" s="249" t="s">
        <v>1</v>
      </c>
      <c r="C30" s="273">
        <v>2.8454800000000002</v>
      </c>
      <c r="D30" s="273">
        <v>2.8450900000000003</v>
      </c>
      <c r="E30" s="273">
        <v>0.10045999999999999</v>
      </c>
      <c r="F30" s="273">
        <v>9.6069999999999989E-2</v>
      </c>
      <c r="G30" s="273">
        <v>0</v>
      </c>
      <c r="H30" s="273">
        <v>0</v>
      </c>
      <c r="I30" s="273">
        <v>4.0060000000000005E-2</v>
      </c>
      <c r="J30" s="273">
        <v>0.12368000000000001</v>
      </c>
      <c r="K30" s="273">
        <v>0.87017999999999995</v>
      </c>
      <c r="L30" s="273">
        <v>5.4668900000000002</v>
      </c>
      <c r="M30" s="273">
        <v>5.4723000000000006</v>
      </c>
      <c r="N30" s="273">
        <v>5.4638800000000005</v>
      </c>
      <c r="O30" s="273">
        <v>5.4652799999999999</v>
      </c>
      <c r="P30" s="273">
        <v>5.4606000000000003</v>
      </c>
      <c r="Q30" s="273">
        <v>5.4509300000000005</v>
      </c>
      <c r="R30" s="273">
        <v>6.7955200000000007</v>
      </c>
      <c r="S30" s="273">
        <v>6.7940100000000001</v>
      </c>
      <c r="T30" s="273">
        <v>6.7880200000000004</v>
      </c>
      <c r="U30" s="273">
        <v>6.7672700000000008</v>
      </c>
      <c r="V30" s="273">
        <v>2.4862800000000003</v>
      </c>
      <c r="W30" s="273">
        <v>8.710049999999999</v>
      </c>
      <c r="X30" s="273">
        <v>5.8685299999999998</v>
      </c>
      <c r="Y30" s="806">
        <f>X30</f>
        <v>5.8685299999999998</v>
      </c>
      <c r="Z30" s="806">
        <f t="shared" si="11"/>
        <v>5.8685299999999998</v>
      </c>
      <c r="AA30" s="806">
        <f t="shared" si="11"/>
        <v>5.8685299999999998</v>
      </c>
      <c r="AB30" s="806">
        <f t="shared" si="11"/>
        <v>5.8685299999999998</v>
      </c>
      <c r="AC30" s="806">
        <f t="shared" si="11"/>
        <v>5.8685299999999998</v>
      </c>
      <c r="AD30" s="806">
        <f t="shared" si="11"/>
        <v>5.8685299999999998</v>
      </c>
      <c r="AE30" s="806">
        <f t="shared" si="11"/>
        <v>5.8685299999999998</v>
      </c>
      <c r="AF30" s="806">
        <f t="shared" si="11"/>
        <v>5.8685299999999998</v>
      </c>
      <c r="AG30" s="806">
        <f t="shared" si="11"/>
        <v>5.8685299999999998</v>
      </c>
      <c r="AH30" s="806">
        <f t="shared" si="11"/>
        <v>5.8685299999999998</v>
      </c>
      <c r="AI30" s="806">
        <f t="shared" si="11"/>
        <v>5.8685299999999998</v>
      </c>
      <c r="AJ30" s="806">
        <f t="shared" si="11"/>
        <v>5.8685299999999998</v>
      </c>
      <c r="AK30" s="806">
        <f t="shared" si="11"/>
        <v>5.8685299999999998</v>
      </c>
      <c r="AL30" s="806">
        <f t="shared" si="11"/>
        <v>5.8685299999999998</v>
      </c>
      <c r="AM30" s="806">
        <f>AL30</f>
        <v>5.8685299999999998</v>
      </c>
      <c r="AN30" s="710" t="s">
        <v>165</v>
      </c>
      <c r="AO30" s="579" t="s">
        <v>3</v>
      </c>
      <c r="AP30" s="535" t="s">
        <v>139</v>
      </c>
      <c r="AS30" s="276">
        <v>5868.53</v>
      </c>
      <c r="AT30" s="300">
        <f t="shared" si="13"/>
        <v>5.8685299999999998</v>
      </c>
    </row>
    <row r="31" spans="1:46" s="238" customFormat="1">
      <c r="A31" s="248" t="s">
        <v>138</v>
      </c>
      <c r="B31" s="249" t="s">
        <v>1</v>
      </c>
      <c r="C31" s="273">
        <v>20.697040000000001</v>
      </c>
      <c r="D31" s="273">
        <v>13.78134</v>
      </c>
      <c r="E31" s="273">
        <v>7.7362799999999998</v>
      </c>
      <c r="F31" s="273">
        <v>4.9186300000000003</v>
      </c>
      <c r="G31" s="273">
        <v>13.089840000000001</v>
      </c>
      <c r="H31" s="273">
        <v>8.2105800000000002</v>
      </c>
      <c r="I31" s="273">
        <v>3.6063800000000001</v>
      </c>
      <c r="J31" s="273">
        <v>7.9523100000000007</v>
      </c>
      <c r="K31" s="273">
        <v>14.077450000000001</v>
      </c>
      <c r="L31" s="273">
        <v>20.986369999999997</v>
      </c>
      <c r="M31" s="273">
        <v>8.0376300000000001</v>
      </c>
      <c r="N31" s="273">
        <v>15.845660000000001</v>
      </c>
      <c r="O31" s="273">
        <v>4.99397</v>
      </c>
      <c r="P31" s="273">
        <v>18.02657</v>
      </c>
      <c r="Q31" s="273">
        <v>11.229280000000001</v>
      </c>
      <c r="R31" s="273">
        <v>12.113440000000001</v>
      </c>
      <c r="S31" s="273">
        <v>21.480130000000003</v>
      </c>
      <c r="T31" s="273">
        <v>17.01482</v>
      </c>
      <c r="U31" s="273">
        <v>14.103429999999999</v>
      </c>
      <c r="V31" s="273">
        <v>2.2935500000000002</v>
      </c>
      <c r="W31" s="273">
        <v>8.1916799999999999</v>
      </c>
      <c r="X31" s="273">
        <v>2.8309099999999998</v>
      </c>
      <c r="Y31" s="806"/>
      <c r="Z31" s="806"/>
      <c r="AA31" s="806"/>
      <c r="AB31" s="806"/>
      <c r="AC31" s="806"/>
      <c r="AD31" s="806"/>
      <c r="AE31" s="806"/>
      <c r="AF31" s="806"/>
      <c r="AG31" s="806"/>
      <c r="AH31" s="806"/>
      <c r="AI31" s="806"/>
      <c r="AJ31" s="806"/>
      <c r="AK31" s="806"/>
      <c r="AL31" s="806"/>
      <c r="AM31" s="806"/>
      <c r="AN31" s="710" t="s">
        <v>166</v>
      </c>
      <c r="AO31" s="579" t="s">
        <v>3</v>
      </c>
      <c r="AP31" s="535" t="s">
        <v>139</v>
      </c>
      <c r="AS31" s="276">
        <v>2830.91</v>
      </c>
      <c r="AT31" s="300">
        <f t="shared" si="13"/>
        <v>2.8309099999999998</v>
      </c>
    </row>
    <row r="32" spans="1:46" s="238" customFormat="1" ht="15" thickBot="1">
      <c r="A32" s="248" t="s">
        <v>140</v>
      </c>
      <c r="B32" s="249" t="s">
        <v>1</v>
      </c>
      <c r="C32" s="273">
        <v>21.019130000000001</v>
      </c>
      <c r="D32" s="273">
        <v>15.081700000000001</v>
      </c>
      <c r="E32" s="273">
        <v>12.372590000000001</v>
      </c>
      <c r="F32" s="273">
        <v>9.5060699999999994</v>
      </c>
      <c r="G32" s="273">
        <v>18.52337</v>
      </c>
      <c r="H32" s="273">
        <v>10.627790000000001</v>
      </c>
      <c r="I32" s="273">
        <v>2.1879599999999999</v>
      </c>
      <c r="J32" s="273">
        <v>6.5095000000000001</v>
      </c>
      <c r="K32" s="273">
        <v>13.483370000000001</v>
      </c>
      <c r="L32" s="273">
        <v>14.53547</v>
      </c>
      <c r="M32" s="273">
        <v>12.915569999999999</v>
      </c>
      <c r="N32" s="273">
        <v>14.74959</v>
      </c>
      <c r="O32" s="273">
        <v>4.77651</v>
      </c>
      <c r="P32" s="273">
        <v>20.466369999999998</v>
      </c>
      <c r="Q32" s="273">
        <v>11.72532</v>
      </c>
      <c r="R32" s="273">
        <v>13.922360000000001</v>
      </c>
      <c r="S32" s="273">
        <v>21.769310000000001</v>
      </c>
      <c r="T32" s="273">
        <v>21.638180000000002</v>
      </c>
      <c r="U32" s="273">
        <v>16.56108</v>
      </c>
      <c r="V32" s="273">
        <v>4.6611199999999995</v>
      </c>
      <c r="W32" s="273">
        <v>4.3384099999999997</v>
      </c>
      <c r="X32" s="273">
        <v>4.7323500000000003</v>
      </c>
      <c r="Y32" s="806">
        <f>X31+X32+Y33-Y23-Y19</f>
        <v>4.5632599999999996</v>
      </c>
      <c r="Z32" s="806">
        <f>Y31+Y32+Z33-Z23-Z19</f>
        <v>13.863259999999997</v>
      </c>
      <c r="AA32" s="806">
        <f t="shared" ref="AA32:AM32" si="14">Z31+Z32+AA33-AA23-AA19</f>
        <v>1.1632599999999975</v>
      </c>
      <c r="AB32" s="806">
        <f>AA31+AA32+AB33-AB23-AB19</f>
        <v>-3.316740000000002</v>
      </c>
      <c r="AC32" s="806">
        <f>AB31+AB32+AC33-AC23-AC19</f>
        <v>6.3832599999999999</v>
      </c>
      <c r="AD32" s="806">
        <f>AC31+AC32+AD33-AD23-AD19</f>
        <v>26.083260000000003</v>
      </c>
      <c r="AE32" s="806">
        <f>AD31+AD32+AE33-AE23-AE19</f>
        <v>5.7832600000000056</v>
      </c>
      <c r="AF32" s="806">
        <f t="shared" si="14"/>
        <v>11.002260000000007</v>
      </c>
      <c r="AG32" s="806">
        <f>AF31+AF32+AG33-AG23-AG19</f>
        <v>30.65626000000001</v>
      </c>
      <c r="AH32" s="806">
        <f t="shared" si="14"/>
        <v>15.875260000000011</v>
      </c>
      <c r="AI32" s="806">
        <f t="shared" si="14"/>
        <v>7.0942600000000127</v>
      </c>
      <c r="AJ32" s="806">
        <f t="shared" si="14"/>
        <v>33.74826000000003</v>
      </c>
      <c r="AK32" s="806">
        <f t="shared" si="14"/>
        <v>11.648260000000036</v>
      </c>
      <c r="AL32" s="806">
        <f t="shared" si="14"/>
        <v>28.548260000000042</v>
      </c>
      <c r="AM32" s="806">
        <f t="shared" si="14"/>
        <v>-1.5517399999999526</v>
      </c>
      <c r="AN32" s="710" t="s">
        <v>165</v>
      </c>
      <c r="AO32" s="579" t="s">
        <v>3</v>
      </c>
      <c r="AP32" s="534" t="s">
        <v>141</v>
      </c>
      <c r="AS32" s="276">
        <v>4732.3500000000004</v>
      </c>
      <c r="AT32" s="300">
        <f t="shared" si="13"/>
        <v>4.7323500000000003</v>
      </c>
    </row>
    <row r="33" spans="1:42" s="259" customFormat="1" ht="15.75" thickBot="1">
      <c r="A33" s="259" t="s">
        <v>167</v>
      </c>
      <c r="B33" s="260" t="s">
        <v>1</v>
      </c>
      <c r="C33" s="261">
        <v>44</v>
      </c>
      <c r="D33" s="262"/>
      <c r="E33" s="262"/>
      <c r="F33" s="262"/>
      <c r="G33" s="262">
        <v>23</v>
      </c>
      <c r="H33" s="262">
        <v>0</v>
      </c>
      <c r="I33" s="262"/>
      <c r="J33" s="262">
        <v>44</v>
      </c>
      <c r="K33" s="262">
        <v>44</v>
      </c>
      <c r="L33" s="262">
        <v>47</v>
      </c>
      <c r="M33" s="262"/>
      <c r="N33" s="262">
        <v>47.5</v>
      </c>
      <c r="O33" s="262">
        <f>4+4+0.5</f>
        <v>8.5</v>
      </c>
      <c r="P33" s="262">
        <v>45.58</v>
      </c>
      <c r="Q33" s="262">
        <v>22</v>
      </c>
      <c r="R33" s="262">
        <v>44</v>
      </c>
      <c r="S33" s="262">
        <f>44</f>
        <v>44</v>
      </c>
      <c r="T33" s="488">
        <f>46-[7]C3LPG!AC96</f>
        <v>29</v>
      </c>
      <c r="U33" s="488">
        <f>44-[7]C3LPG!AD96</f>
        <v>26</v>
      </c>
      <c r="V33" s="262">
        <f>V47-[7]C3LPG!AE96</f>
        <v>66</v>
      </c>
      <c r="W33" s="262">
        <f>W47-[7]C3LPG!AF96</f>
        <v>44</v>
      </c>
      <c r="X33" s="262">
        <f>X47-[7]C3LPG!AG96</f>
        <v>46</v>
      </c>
      <c r="Y33" s="262">
        <f>Y47-[7]C3LPG!AH96</f>
        <v>44</v>
      </c>
      <c r="Z33" s="262">
        <f>Z47-[7]C3LPG!AI96</f>
        <v>44</v>
      </c>
      <c r="AA33" s="262">
        <f>AA47-[7]C3LPG!AJ96</f>
        <v>22</v>
      </c>
      <c r="AB33" s="262">
        <f>AB47-[7]C3LPG!AK96</f>
        <v>8.82</v>
      </c>
      <c r="AC33" s="262">
        <f>AC47-[7]C3LPG!AL96</f>
        <v>44</v>
      </c>
      <c r="AD33" s="262">
        <f>AD47-[7]C3LPG!AM96</f>
        <v>44</v>
      </c>
      <c r="AE33" s="262">
        <f>AE47-[7]C3LPG!AN96</f>
        <v>34</v>
      </c>
      <c r="AF33" s="807">
        <f>AF47-[7]C3LPG!AO97</f>
        <v>52.518999999999998</v>
      </c>
      <c r="AG33" s="808">
        <f>AG47-[7]C3LPG!AP97</f>
        <v>52.954000000000001</v>
      </c>
      <c r="AH33" s="808">
        <f>AH47-[7]C3LPG!AQ97</f>
        <v>30.518999999999998</v>
      </c>
      <c r="AI33" s="808">
        <f>AI47-[7]C3LPG!AR97</f>
        <v>35.518999999999998</v>
      </c>
      <c r="AJ33" s="808">
        <f>AJ47-[7]C3LPG!AS97</f>
        <v>74.954000000000008</v>
      </c>
      <c r="AK33" s="809">
        <f>AK47-[7]C3LPG!AT97</f>
        <v>33.200000000000003</v>
      </c>
      <c r="AL33" s="809">
        <f>AL47-[7]C3LPG!AU97</f>
        <v>77.2</v>
      </c>
      <c r="AM33" s="809">
        <f>AM47-[7]C3LPG!AV97</f>
        <v>33.200000000000003</v>
      </c>
      <c r="AN33" s="259" t="s">
        <v>168</v>
      </c>
      <c r="AO33" s="579" t="s">
        <v>3</v>
      </c>
      <c r="AP33" s="535" t="s">
        <v>139</v>
      </c>
    </row>
    <row r="34" spans="1:42" s="259" customFormat="1" ht="26.45" customHeight="1">
      <c r="A34" s="810" t="s">
        <v>169</v>
      </c>
      <c r="B34" s="258" t="s">
        <v>1</v>
      </c>
      <c r="C34" s="263"/>
      <c r="D34" s="263">
        <f t="shared" ref="D34:T34" si="15">+SUM(D27:D32)+D14</f>
        <v>64.706463907470706</v>
      </c>
      <c r="E34" s="263">
        <f t="shared" si="15"/>
        <v>67.831637630224606</v>
      </c>
      <c r="F34" s="263">
        <f t="shared" si="15"/>
        <v>63.70610145751953</v>
      </c>
      <c r="G34" s="263">
        <f t="shared" si="15"/>
        <v>66.647852199999988</v>
      </c>
      <c r="H34" s="263">
        <f t="shared" si="15"/>
        <v>65.481283899999994</v>
      </c>
      <c r="I34" s="263">
        <f t="shared" si="15"/>
        <v>34.979469999999999</v>
      </c>
      <c r="J34" s="263">
        <f t="shared" si="15"/>
        <v>48.598420000000004</v>
      </c>
      <c r="K34" s="263">
        <f t="shared" si="15"/>
        <v>56.282089999999997</v>
      </c>
      <c r="L34" s="263">
        <f t="shared" si="15"/>
        <v>87.805459999999997</v>
      </c>
      <c r="M34" s="263">
        <f t="shared" si="15"/>
        <v>60.257900000000006</v>
      </c>
      <c r="N34" s="263">
        <f t="shared" si="15"/>
        <v>77.369380699999994</v>
      </c>
      <c r="O34" s="263">
        <f t="shared" si="15"/>
        <v>53.237692360000004</v>
      </c>
      <c r="P34" s="263">
        <f t="shared" si="15"/>
        <v>89.407150000000001</v>
      </c>
      <c r="Q34" s="263">
        <f t="shared" si="15"/>
        <v>75.576880000000003</v>
      </c>
      <c r="R34" s="263">
        <f t="shared" si="15"/>
        <v>78.759662528000007</v>
      </c>
      <c r="S34" s="263">
        <f t="shared" si="15"/>
        <v>101.88334820000001</v>
      </c>
      <c r="T34" s="263">
        <f t="shared" si="15"/>
        <v>97.174213788000003</v>
      </c>
      <c r="U34" s="263">
        <f t="shared" ref="U34:AB34" si="16">+SUM(U27:U32)+U14</f>
        <v>75.491817854000004</v>
      </c>
      <c r="V34" s="263">
        <f t="shared" si="16"/>
        <v>41.458376900000005</v>
      </c>
      <c r="W34" s="263">
        <f t="shared" si="16"/>
        <v>65.234798357999992</v>
      </c>
      <c r="X34" s="263">
        <f>+SUM(X27:X32)+X14</f>
        <v>39.336402000000007</v>
      </c>
      <c r="Y34" s="263">
        <f>+SUM(Y27:Y32)+Y14</f>
        <v>38.681673841220459</v>
      </c>
      <c r="Z34" s="263">
        <f t="shared" si="16"/>
        <v>51.476952014121991</v>
      </c>
      <c r="AA34" s="263">
        <f t="shared" si="16"/>
        <v>42.687051302899022</v>
      </c>
      <c r="AB34" s="811">
        <f t="shared" si="16"/>
        <v>43.440751169639078</v>
      </c>
      <c r="AC34" s="811">
        <f t="shared" ref="AC34:AD34" si="17">+SUM(AC27:AC32)+AC14</f>
        <v>53.120489091198259</v>
      </c>
      <c r="AD34" s="811">
        <f t="shared" si="17"/>
        <v>71.708335264525033</v>
      </c>
      <c r="AE34" s="811">
        <f>+SUM(AE27:AE32)+AE14</f>
        <v>52.859256933866497</v>
      </c>
      <c r="AF34" s="811">
        <f t="shared" ref="AF34:AL34" si="18">+SUM(AF27:AF32)+AF14</f>
        <v>57.986986304365132</v>
      </c>
      <c r="AG34" s="811">
        <f t="shared" si="18"/>
        <v>77.684638279991617</v>
      </c>
      <c r="AH34" s="811">
        <f t="shared" si="18"/>
        <v>63.031408094713925</v>
      </c>
      <c r="AI34" s="811">
        <f t="shared" si="18"/>
        <v>54.315143754181641</v>
      </c>
      <c r="AJ34" s="811">
        <f t="shared" si="18"/>
        <v>80.663551525806227</v>
      </c>
      <c r="AK34" s="811">
        <f t="shared" si="18"/>
        <v>58.694701359495951</v>
      </c>
      <c r="AL34" s="811">
        <f t="shared" si="18"/>
        <v>75.461361648977032</v>
      </c>
      <c r="AM34" s="811">
        <f>+SUM(AM27:AM32)+AM14</f>
        <v>45.610741631560401</v>
      </c>
      <c r="AN34" s="689" t="s">
        <v>5</v>
      </c>
      <c r="AO34" s="579" t="s">
        <v>3</v>
      </c>
      <c r="AP34" s="536" t="s">
        <v>144</v>
      </c>
    </row>
    <row r="35" spans="1:42" s="238" customFormat="1">
      <c r="C35" s="276"/>
      <c r="D35" s="250"/>
      <c r="AP35" s="532" t="s">
        <v>23</v>
      </c>
    </row>
    <row r="36" spans="1:42" s="238" customFormat="1">
      <c r="B36" s="394" t="s">
        <v>145</v>
      </c>
      <c r="C36" s="254"/>
      <c r="D36" s="250"/>
      <c r="P36" s="393">
        <v>22</v>
      </c>
      <c r="Q36" s="393">
        <v>33</v>
      </c>
      <c r="R36" s="393">
        <v>33</v>
      </c>
      <c r="S36" s="393">
        <v>13</v>
      </c>
      <c r="T36" s="393">
        <v>33</v>
      </c>
      <c r="U36" s="393">
        <v>23</v>
      </c>
      <c r="V36" s="393">
        <v>55</v>
      </c>
      <c r="W36" s="393">
        <v>11</v>
      </c>
      <c r="X36" s="393">
        <v>33</v>
      </c>
      <c r="Y36" s="393">
        <v>33</v>
      </c>
      <c r="Z36" s="393" t="s">
        <v>146</v>
      </c>
      <c r="AA36" s="393">
        <v>11</v>
      </c>
      <c r="AB36" s="393">
        <v>11</v>
      </c>
      <c r="AC36" s="393">
        <v>11</v>
      </c>
      <c r="AD36" s="393">
        <v>11</v>
      </c>
      <c r="AE36" s="393">
        <v>11</v>
      </c>
      <c r="AF36" s="393">
        <v>11</v>
      </c>
      <c r="AG36" s="393">
        <v>11</v>
      </c>
      <c r="AH36" s="393">
        <v>11</v>
      </c>
      <c r="AI36" s="393">
        <v>11</v>
      </c>
      <c r="AJ36" s="393">
        <v>11</v>
      </c>
      <c r="AK36" s="393">
        <v>11</v>
      </c>
      <c r="AL36" s="393">
        <v>11</v>
      </c>
      <c r="AM36" s="393">
        <v>11</v>
      </c>
      <c r="AN36" s="710" t="s">
        <v>83</v>
      </c>
      <c r="AO36" s="580" t="s">
        <v>158</v>
      </c>
      <c r="AP36" s="535" t="s">
        <v>139</v>
      </c>
    </row>
    <row r="37" spans="1:42">
      <c r="B37" s="451" t="s">
        <v>147</v>
      </c>
      <c r="C37" s="616"/>
      <c r="D37" s="250"/>
      <c r="P37" s="262">
        <f t="shared" ref="P37:AL37" si="19">P33-P24</f>
        <v>40.58</v>
      </c>
      <c r="Q37" s="262">
        <f t="shared" si="19"/>
        <v>17</v>
      </c>
      <c r="R37" s="262">
        <f t="shared" si="19"/>
        <v>40.65</v>
      </c>
      <c r="S37" s="262">
        <f t="shared" si="19"/>
        <v>41</v>
      </c>
      <c r="T37" s="262">
        <f t="shared" si="19"/>
        <v>28.45</v>
      </c>
      <c r="U37" s="262">
        <f t="shared" si="19"/>
        <v>24</v>
      </c>
      <c r="V37" s="262">
        <f t="shared" si="19"/>
        <v>63.3</v>
      </c>
      <c r="W37" s="262">
        <f t="shared" si="19"/>
        <v>39.5</v>
      </c>
      <c r="X37" s="262">
        <f t="shared" si="19"/>
        <v>42.5</v>
      </c>
      <c r="Y37" s="262">
        <f t="shared" si="19"/>
        <v>40</v>
      </c>
      <c r="Z37" s="262">
        <f t="shared" si="19"/>
        <v>40</v>
      </c>
      <c r="AA37" s="262">
        <f t="shared" si="19"/>
        <v>17</v>
      </c>
      <c r="AB37" s="262">
        <f t="shared" si="19"/>
        <v>7.32</v>
      </c>
      <c r="AC37" s="262">
        <f t="shared" si="19"/>
        <v>42.5</v>
      </c>
      <c r="AD37" s="262">
        <f t="shared" si="19"/>
        <v>42.5</v>
      </c>
      <c r="AE37" s="262">
        <f t="shared" si="19"/>
        <v>32.5</v>
      </c>
      <c r="AF37" s="262">
        <f t="shared" si="19"/>
        <v>51.018999999999998</v>
      </c>
      <c r="AG37" s="262">
        <f t="shared" si="19"/>
        <v>51.454000000000001</v>
      </c>
      <c r="AH37" s="262">
        <f t="shared" si="19"/>
        <v>29.018999999999998</v>
      </c>
      <c r="AI37" s="262">
        <f t="shared" si="19"/>
        <v>34.018999999999998</v>
      </c>
      <c r="AJ37" s="262">
        <f t="shared" si="19"/>
        <v>73.454000000000008</v>
      </c>
      <c r="AK37" s="262">
        <f>AK33-AK24</f>
        <v>31.700000000000003</v>
      </c>
      <c r="AL37" s="262">
        <f t="shared" si="19"/>
        <v>75.7</v>
      </c>
      <c r="AM37" s="262">
        <f>AM33-AM24</f>
        <v>31.700000000000003</v>
      </c>
      <c r="AN37" s="689" t="s">
        <v>5</v>
      </c>
      <c r="AO37" s="580" t="s">
        <v>158</v>
      </c>
      <c r="AP37" s="534" t="s">
        <v>148</v>
      </c>
    </row>
    <row r="38" spans="1:42">
      <c r="R38" s="618"/>
      <c r="AP38" s="532" t="s">
        <v>23</v>
      </c>
    </row>
    <row r="39" spans="1:42">
      <c r="C39" s="619"/>
      <c r="D39" s="275">
        <f t="shared" ref="D39:AM39" si="20">D1</f>
        <v>43832</v>
      </c>
      <c r="E39" s="275">
        <f t="shared" si="20"/>
        <v>43863</v>
      </c>
      <c r="F39" s="275">
        <f t="shared" si="20"/>
        <v>43892</v>
      </c>
      <c r="G39" s="275">
        <f t="shared" si="20"/>
        <v>43923</v>
      </c>
      <c r="H39" s="275">
        <f t="shared" si="20"/>
        <v>43953</v>
      </c>
      <c r="I39" s="275">
        <f t="shared" si="20"/>
        <v>43984</v>
      </c>
      <c r="J39" s="275">
        <f t="shared" si="20"/>
        <v>44014</v>
      </c>
      <c r="K39" s="275">
        <f t="shared" si="20"/>
        <v>44045</v>
      </c>
      <c r="L39" s="275">
        <f t="shared" si="20"/>
        <v>44076</v>
      </c>
      <c r="M39" s="275">
        <f t="shared" si="20"/>
        <v>44106</v>
      </c>
      <c r="N39" s="275">
        <f t="shared" si="20"/>
        <v>44137</v>
      </c>
      <c r="O39" s="275">
        <f t="shared" si="20"/>
        <v>44167</v>
      </c>
      <c r="P39" s="275">
        <f t="shared" si="20"/>
        <v>44198</v>
      </c>
      <c r="Q39" s="275">
        <f t="shared" si="20"/>
        <v>44229</v>
      </c>
      <c r="R39" s="275">
        <f t="shared" si="20"/>
        <v>44257</v>
      </c>
      <c r="S39" s="275">
        <f t="shared" si="20"/>
        <v>44288</v>
      </c>
      <c r="T39" s="275">
        <f t="shared" si="20"/>
        <v>44318</v>
      </c>
      <c r="U39" s="275">
        <f t="shared" si="20"/>
        <v>44349</v>
      </c>
      <c r="V39" s="275">
        <f t="shared" si="20"/>
        <v>44379</v>
      </c>
      <c r="W39" s="275">
        <f t="shared" si="20"/>
        <v>44410</v>
      </c>
      <c r="X39" s="275">
        <f t="shared" si="20"/>
        <v>44441</v>
      </c>
      <c r="Y39" s="275">
        <f t="shared" si="20"/>
        <v>44471</v>
      </c>
      <c r="Z39" s="275">
        <f t="shared" si="20"/>
        <v>44502</v>
      </c>
      <c r="AA39" s="275">
        <f t="shared" si="20"/>
        <v>44532</v>
      </c>
      <c r="AB39" s="275">
        <f t="shared" si="20"/>
        <v>44563</v>
      </c>
      <c r="AC39" s="275">
        <f t="shared" si="20"/>
        <v>44594</v>
      </c>
      <c r="AD39" s="275">
        <f t="shared" si="20"/>
        <v>44622</v>
      </c>
      <c r="AE39" s="275">
        <f t="shared" si="20"/>
        <v>44653</v>
      </c>
      <c r="AF39" s="275">
        <f t="shared" si="20"/>
        <v>44683</v>
      </c>
      <c r="AG39" s="275">
        <f t="shared" si="20"/>
        <v>44714</v>
      </c>
      <c r="AH39" s="275">
        <f t="shared" si="20"/>
        <v>44744</v>
      </c>
      <c r="AI39" s="275">
        <f t="shared" si="20"/>
        <v>44775</v>
      </c>
      <c r="AJ39" s="275">
        <f t="shared" si="20"/>
        <v>44806</v>
      </c>
      <c r="AK39" s="275">
        <f t="shared" si="20"/>
        <v>44836</v>
      </c>
      <c r="AL39" s="275">
        <f t="shared" si="20"/>
        <v>44867</v>
      </c>
      <c r="AM39" s="275">
        <f t="shared" si="20"/>
        <v>44897</v>
      </c>
      <c r="AP39" s="537"/>
    </row>
    <row r="40" spans="1:42">
      <c r="A40" s="537" t="s">
        <v>149</v>
      </c>
      <c r="C40" s="619"/>
      <c r="D40" s="620">
        <f t="shared" ref="D40:AL40" si="21">D34</f>
        <v>64.706463907470706</v>
      </c>
      <c r="E40" s="620">
        <f t="shared" si="21"/>
        <v>67.831637630224606</v>
      </c>
      <c r="F40" s="620">
        <f t="shared" si="21"/>
        <v>63.70610145751953</v>
      </c>
      <c r="G40" s="620">
        <f t="shared" si="21"/>
        <v>66.647852199999988</v>
      </c>
      <c r="H40" s="620">
        <f t="shared" si="21"/>
        <v>65.481283899999994</v>
      </c>
      <c r="I40" s="620">
        <f t="shared" si="21"/>
        <v>34.979469999999999</v>
      </c>
      <c r="J40" s="620">
        <f t="shared" si="21"/>
        <v>48.598420000000004</v>
      </c>
      <c r="K40" s="620">
        <f t="shared" si="21"/>
        <v>56.282089999999997</v>
      </c>
      <c r="L40" s="620">
        <f t="shared" si="21"/>
        <v>87.805459999999997</v>
      </c>
      <c r="M40" s="620">
        <f t="shared" si="21"/>
        <v>60.257900000000006</v>
      </c>
      <c r="N40" s="620">
        <f t="shared" si="21"/>
        <v>77.369380699999994</v>
      </c>
      <c r="O40" s="620">
        <f t="shared" si="21"/>
        <v>53.237692360000004</v>
      </c>
      <c r="P40" s="620">
        <f t="shared" si="21"/>
        <v>89.407150000000001</v>
      </c>
      <c r="Q40" s="620">
        <f t="shared" si="21"/>
        <v>75.576880000000003</v>
      </c>
      <c r="R40" s="620">
        <f t="shared" si="21"/>
        <v>78.759662528000007</v>
      </c>
      <c r="S40" s="620">
        <f t="shared" si="21"/>
        <v>101.88334820000001</v>
      </c>
      <c r="T40" s="620">
        <f t="shared" si="21"/>
        <v>97.174213788000003</v>
      </c>
      <c r="U40" s="620">
        <f t="shared" si="21"/>
        <v>75.491817854000004</v>
      </c>
      <c r="V40" s="620">
        <f t="shared" si="21"/>
        <v>41.458376900000005</v>
      </c>
      <c r="W40" s="620">
        <f t="shared" si="21"/>
        <v>65.234798357999992</v>
      </c>
      <c r="X40" s="620">
        <f t="shared" si="21"/>
        <v>39.336402000000007</v>
      </c>
      <c r="Y40" s="620">
        <f t="shared" si="21"/>
        <v>38.681673841220459</v>
      </c>
      <c r="Z40" s="620">
        <f t="shared" si="21"/>
        <v>51.476952014121991</v>
      </c>
      <c r="AA40" s="620">
        <f t="shared" si="21"/>
        <v>42.687051302899022</v>
      </c>
      <c r="AB40" s="620">
        <f t="shared" si="21"/>
        <v>43.440751169639078</v>
      </c>
      <c r="AC40" s="620">
        <f t="shared" si="21"/>
        <v>53.120489091198259</v>
      </c>
      <c r="AD40" s="620">
        <f t="shared" si="21"/>
        <v>71.708335264525033</v>
      </c>
      <c r="AE40" s="620">
        <f t="shared" si="21"/>
        <v>52.859256933866497</v>
      </c>
      <c r="AF40" s="620">
        <f t="shared" si="21"/>
        <v>57.986986304365132</v>
      </c>
      <c r="AG40" s="620">
        <f t="shared" si="21"/>
        <v>77.684638279991617</v>
      </c>
      <c r="AH40" s="620">
        <f t="shared" si="21"/>
        <v>63.031408094713925</v>
      </c>
      <c r="AI40" s="620">
        <f t="shared" si="21"/>
        <v>54.315143754181641</v>
      </c>
      <c r="AJ40" s="620">
        <f t="shared" si="21"/>
        <v>80.663551525806227</v>
      </c>
      <c r="AK40" s="620">
        <f t="shared" si="21"/>
        <v>58.694701359495951</v>
      </c>
      <c r="AL40" s="620">
        <f t="shared" si="21"/>
        <v>75.461361648977032</v>
      </c>
      <c r="AM40" s="620">
        <f>AM34</f>
        <v>45.610741631560401</v>
      </c>
      <c r="AN40" s="688" t="s">
        <v>159</v>
      </c>
      <c r="AO40" s="579" t="s">
        <v>3</v>
      </c>
      <c r="AP40" s="534" t="s">
        <v>150</v>
      </c>
    </row>
    <row r="41" spans="1:42">
      <c r="A41" s="537" t="s">
        <v>151</v>
      </c>
      <c r="D41" s="620">
        <f>D40-D42</f>
        <v>64.706463907470706</v>
      </c>
      <c r="E41" s="620">
        <f t="shared" ref="E41:AM41" si="22">E40-E42</f>
        <v>67.831637630224606</v>
      </c>
      <c r="F41" s="620">
        <f t="shared" si="22"/>
        <v>63.70610145751953</v>
      </c>
      <c r="G41" s="620">
        <f t="shared" si="22"/>
        <v>43.647852199999988</v>
      </c>
      <c r="H41" s="620">
        <f t="shared" si="22"/>
        <v>65.481283899999994</v>
      </c>
      <c r="I41" s="620">
        <f t="shared" si="22"/>
        <v>34.979469999999999</v>
      </c>
      <c r="J41" s="620">
        <f t="shared" si="22"/>
        <v>4.5984200000000044</v>
      </c>
      <c r="K41" s="620">
        <f t="shared" si="22"/>
        <v>12.282089999999997</v>
      </c>
      <c r="L41" s="620">
        <f t="shared" si="22"/>
        <v>40.805459999999997</v>
      </c>
      <c r="M41" s="620">
        <f t="shared" si="22"/>
        <v>60.257900000000006</v>
      </c>
      <c r="N41" s="620">
        <f t="shared" si="22"/>
        <v>29.869380699999994</v>
      </c>
      <c r="O41" s="620">
        <f t="shared" si="22"/>
        <v>44.737692360000004</v>
      </c>
      <c r="P41" s="620">
        <f t="shared" si="22"/>
        <v>43.827150000000003</v>
      </c>
      <c r="Q41" s="620">
        <f t="shared" si="22"/>
        <v>53.576880000000003</v>
      </c>
      <c r="R41" s="620">
        <f t="shared" si="22"/>
        <v>34.759662528000007</v>
      </c>
      <c r="S41" s="620">
        <f t="shared" si="22"/>
        <v>57.883348200000015</v>
      </c>
      <c r="T41" s="620">
        <f t="shared" si="22"/>
        <v>68.174213788000003</v>
      </c>
      <c r="U41" s="620">
        <f t="shared" si="22"/>
        <v>49.491817854000004</v>
      </c>
      <c r="V41" s="620">
        <f t="shared" si="22"/>
        <v>-24.541623099999995</v>
      </c>
      <c r="W41" s="620">
        <f t="shared" si="22"/>
        <v>21.234798357999992</v>
      </c>
      <c r="X41" s="620">
        <f t="shared" si="22"/>
        <v>-6.6635979999999932</v>
      </c>
      <c r="Y41" s="620">
        <f t="shared" si="22"/>
        <v>-5.3183261587795414</v>
      </c>
      <c r="Z41" s="620">
        <f t="shared" si="22"/>
        <v>7.4769520141219914</v>
      </c>
      <c r="AA41" s="620">
        <f t="shared" si="22"/>
        <v>20.687051302899022</v>
      </c>
      <c r="AB41" s="620">
        <f t="shared" si="22"/>
        <v>34.620751169639078</v>
      </c>
      <c r="AC41" s="620">
        <f t="shared" si="22"/>
        <v>9.1204890911982588</v>
      </c>
      <c r="AD41" s="620">
        <f t="shared" si="22"/>
        <v>27.708335264525033</v>
      </c>
      <c r="AE41" s="620">
        <f t="shared" si="22"/>
        <v>18.859256933866497</v>
      </c>
      <c r="AF41" s="620">
        <f t="shared" si="22"/>
        <v>5.4679863043651338</v>
      </c>
      <c r="AG41" s="620">
        <f t="shared" si="22"/>
        <v>24.730638279991616</v>
      </c>
      <c r="AH41" s="620">
        <f t="shared" si="22"/>
        <v>32.512408094713926</v>
      </c>
      <c r="AI41" s="620">
        <f t="shared" si="22"/>
        <v>18.796143754181642</v>
      </c>
      <c r="AJ41" s="620">
        <f t="shared" si="22"/>
        <v>5.7095515258062193</v>
      </c>
      <c r="AK41" s="620">
        <f t="shared" si="22"/>
        <v>25.494701359495949</v>
      </c>
      <c r="AL41" s="620">
        <f t="shared" si="22"/>
        <v>-1.7386383510229706</v>
      </c>
      <c r="AM41" s="620">
        <f t="shared" si="22"/>
        <v>12.410741631560398</v>
      </c>
      <c r="AN41" s="689" t="s">
        <v>5</v>
      </c>
      <c r="AO41" s="579" t="s">
        <v>3</v>
      </c>
      <c r="AP41" s="534" t="s">
        <v>152</v>
      </c>
    </row>
    <row r="42" spans="1:42">
      <c r="A42" s="537" t="s">
        <v>142</v>
      </c>
      <c r="D42" s="620">
        <f>D33</f>
        <v>0</v>
      </c>
      <c r="E42" s="620">
        <f t="shared" ref="E42:AD42" si="23">E33</f>
        <v>0</v>
      </c>
      <c r="F42" s="620">
        <f t="shared" si="23"/>
        <v>0</v>
      </c>
      <c r="G42" s="620">
        <f t="shared" si="23"/>
        <v>23</v>
      </c>
      <c r="H42" s="620">
        <f t="shared" si="23"/>
        <v>0</v>
      </c>
      <c r="I42" s="620">
        <f t="shared" si="23"/>
        <v>0</v>
      </c>
      <c r="J42" s="620">
        <f t="shared" si="23"/>
        <v>44</v>
      </c>
      <c r="K42" s="620">
        <f t="shared" si="23"/>
        <v>44</v>
      </c>
      <c r="L42" s="620">
        <f t="shared" si="23"/>
        <v>47</v>
      </c>
      <c r="M42" s="620">
        <f t="shared" si="23"/>
        <v>0</v>
      </c>
      <c r="N42" s="620">
        <f t="shared" si="23"/>
        <v>47.5</v>
      </c>
      <c r="O42" s="620">
        <f t="shared" si="23"/>
        <v>8.5</v>
      </c>
      <c r="P42" s="620">
        <f t="shared" si="23"/>
        <v>45.58</v>
      </c>
      <c r="Q42" s="620">
        <f t="shared" si="23"/>
        <v>22</v>
      </c>
      <c r="R42" s="620">
        <f t="shared" si="23"/>
        <v>44</v>
      </c>
      <c r="S42" s="620">
        <f t="shared" si="23"/>
        <v>44</v>
      </c>
      <c r="T42" s="620">
        <f t="shared" si="23"/>
        <v>29</v>
      </c>
      <c r="U42" s="620">
        <f>U33</f>
        <v>26</v>
      </c>
      <c r="V42" s="620">
        <f t="shared" si="23"/>
        <v>66</v>
      </c>
      <c r="W42" s="620">
        <f>W33</f>
        <v>44</v>
      </c>
      <c r="X42" s="620">
        <f t="shared" si="23"/>
        <v>46</v>
      </c>
      <c r="Y42" s="620">
        <f t="shared" si="23"/>
        <v>44</v>
      </c>
      <c r="Z42" s="620">
        <f>Z33</f>
        <v>44</v>
      </c>
      <c r="AA42" s="620">
        <f t="shared" si="23"/>
        <v>22</v>
      </c>
      <c r="AB42" s="620">
        <f t="shared" si="23"/>
        <v>8.82</v>
      </c>
      <c r="AC42" s="620">
        <f t="shared" si="23"/>
        <v>44</v>
      </c>
      <c r="AD42" s="620">
        <f t="shared" si="23"/>
        <v>44</v>
      </c>
      <c r="AE42" s="812">
        <f>AE33</f>
        <v>34</v>
      </c>
      <c r="AF42" s="812">
        <f>AF33</f>
        <v>52.518999999999998</v>
      </c>
      <c r="AG42" s="812">
        <f t="shared" ref="AG42:AL42" si="24">AG33</f>
        <v>52.954000000000001</v>
      </c>
      <c r="AH42" s="812">
        <f t="shared" si="24"/>
        <v>30.518999999999998</v>
      </c>
      <c r="AI42" s="812">
        <f t="shared" si="24"/>
        <v>35.518999999999998</v>
      </c>
      <c r="AJ42" s="812">
        <f t="shared" si="24"/>
        <v>74.954000000000008</v>
      </c>
      <c r="AK42" s="812">
        <f t="shared" si="24"/>
        <v>33.200000000000003</v>
      </c>
      <c r="AL42" s="812">
        <f t="shared" si="24"/>
        <v>77.2</v>
      </c>
      <c r="AM42" s="812">
        <f>AM33</f>
        <v>33.200000000000003</v>
      </c>
      <c r="AN42" s="823" t="s">
        <v>170</v>
      </c>
      <c r="AO42" s="579" t="s">
        <v>3</v>
      </c>
      <c r="AP42" s="534" t="s">
        <v>153</v>
      </c>
    </row>
    <row r="43" spans="1:42">
      <c r="A43" s="537" t="s">
        <v>154</v>
      </c>
      <c r="D43" s="537">
        <v>25.57</v>
      </c>
      <c r="E43" s="537">
        <v>25.57</v>
      </c>
      <c r="F43" s="537">
        <v>25.57</v>
      </c>
      <c r="G43" s="537">
        <v>25.57</v>
      </c>
      <c r="H43" s="537">
        <v>25.57</v>
      </c>
      <c r="I43" s="537">
        <v>25.57</v>
      </c>
      <c r="J43" s="537">
        <v>25.57</v>
      </c>
      <c r="K43" s="537">
        <v>25.57</v>
      </c>
      <c r="L43" s="537">
        <v>25.57</v>
      </c>
      <c r="M43" s="537">
        <v>25.57</v>
      </c>
      <c r="N43" s="537">
        <v>25.57</v>
      </c>
      <c r="O43" s="537">
        <v>25.57</v>
      </c>
      <c r="P43" s="537">
        <f>5+14</f>
        <v>19</v>
      </c>
      <c r="Q43" s="537">
        <f t="shared" ref="Q43:U43" si="25">5+14</f>
        <v>19</v>
      </c>
      <c r="R43" s="537">
        <f t="shared" si="25"/>
        <v>19</v>
      </c>
      <c r="S43" s="537">
        <f t="shared" si="25"/>
        <v>19</v>
      </c>
      <c r="T43" s="537">
        <f t="shared" si="25"/>
        <v>19</v>
      </c>
      <c r="U43" s="537">
        <f t="shared" si="25"/>
        <v>19</v>
      </c>
      <c r="V43" s="813">
        <v>22.03</v>
      </c>
      <c r="W43" s="813">
        <v>22.03</v>
      </c>
      <c r="X43" s="813">
        <v>22.03</v>
      </c>
      <c r="Y43" s="813">
        <v>22.03</v>
      </c>
      <c r="Z43" s="813">
        <v>22.03</v>
      </c>
      <c r="AA43" s="813">
        <v>22.03</v>
      </c>
      <c r="AB43" s="813">
        <v>37.6</v>
      </c>
      <c r="AC43" s="813">
        <v>37.6</v>
      </c>
      <c r="AD43" s="813">
        <v>37.6</v>
      </c>
      <c r="AE43" s="813">
        <v>37.6</v>
      </c>
      <c r="AF43" s="813">
        <v>37.6</v>
      </c>
      <c r="AG43" s="813">
        <v>37.6</v>
      </c>
      <c r="AH43" s="813">
        <v>37.6</v>
      </c>
      <c r="AI43" s="813">
        <v>37.6</v>
      </c>
      <c r="AJ43" s="813">
        <v>37.6</v>
      </c>
      <c r="AK43" s="813">
        <v>37.6</v>
      </c>
      <c r="AL43" s="813">
        <v>37.6</v>
      </c>
      <c r="AM43" s="813">
        <v>37.6</v>
      </c>
      <c r="AN43" s="823" t="s">
        <v>170</v>
      </c>
      <c r="AO43" s="579" t="s">
        <v>3</v>
      </c>
      <c r="AP43" s="535" t="s">
        <v>155</v>
      </c>
    </row>
    <row r="44" spans="1:42">
      <c r="A44" s="537" t="s">
        <v>156</v>
      </c>
      <c r="D44" s="537">
        <v>41.7</v>
      </c>
      <c r="E44" s="537">
        <v>41.7</v>
      </c>
      <c r="F44" s="537">
        <v>41.7</v>
      </c>
      <c r="G44" s="537">
        <v>41.7</v>
      </c>
      <c r="H44" s="537">
        <v>41.7</v>
      </c>
      <c r="I44" s="537">
        <v>41.7</v>
      </c>
      <c r="J44" s="537">
        <v>41.7</v>
      </c>
      <c r="K44" s="537">
        <v>41.7</v>
      </c>
      <c r="L44" s="537">
        <v>41.7</v>
      </c>
      <c r="M44" s="537">
        <v>41.7</v>
      </c>
      <c r="N44" s="537">
        <v>41.7</v>
      </c>
      <c r="O44" s="537">
        <v>41.7</v>
      </c>
      <c r="P44" s="537">
        <f>19+17</f>
        <v>36</v>
      </c>
      <c r="Q44" s="537">
        <f t="shared" ref="Q44:U44" si="26">19+17</f>
        <v>36</v>
      </c>
      <c r="R44" s="537">
        <f t="shared" si="26"/>
        <v>36</v>
      </c>
      <c r="S44" s="537">
        <f t="shared" si="26"/>
        <v>36</v>
      </c>
      <c r="T44" s="537">
        <f t="shared" si="26"/>
        <v>36</v>
      </c>
      <c r="U44" s="537">
        <f t="shared" si="26"/>
        <v>36</v>
      </c>
      <c r="V44" s="813">
        <v>39.03</v>
      </c>
      <c r="W44" s="813">
        <v>39.03</v>
      </c>
      <c r="X44" s="813">
        <v>39.03</v>
      </c>
      <c r="Y44" s="813">
        <v>39.03</v>
      </c>
      <c r="Z44" s="813">
        <v>39.03</v>
      </c>
      <c r="AA44" s="813">
        <v>39.03</v>
      </c>
      <c r="AB44" s="813">
        <v>54.6</v>
      </c>
      <c r="AC44" s="813">
        <v>54.6</v>
      </c>
      <c r="AD44" s="813">
        <v>54.6</v>
      </c>
      <c r="AE44" s="813">
        <v>54.6</v>
      </c>
      <c r="AF44" s="813">
        <v>54.6</v>
      </c>
      <c r="AG44" s="813">
        <v>54.6</v>
      </c>
      <c r="AH44" s="813">
        <v>54.6</v>
      </c>
      <c r="AI44" s="813">
        <v>54.6</v>
      </c>
      <c r="AJ44" s="813">
        <v>54.6</v>
      </c>
      <c r="AK44" s="813">
        <v>54.6</v>
      </c>
      <c r="AL44" s="813">
        <v>54.6</v>
      </c>
      <c r="AM44" s="813">
        <v>54.6</v>
      </c>
      <c r="AN44" s="823" t="s">
        <v>170</v>
      </c>
      <c r="AO44" s="579" t="s">
        <v>3</v>
      </c>
      <c r="AP44" s="535" t="s">
        <v>157</v>
      </c>
    </row>
    <row r="47" spans="1:42">
      <c r="A47" s="259" t="s">
        <v>171</v>
      </c>
      <c r="V47" s="814">
        <v>66</v>
      </c>
      <c r="W47" s="814">
        <v>44</v>
      </c>
      <c r="X47" s="814">
        <v>46</v>
      </c>
      <c r="Y47" s="814">
        <v>44</v>
      </c>
      <c r="Z47" s="814">
        <v>44</v>
      </c>
      <c r="AA47" s="815">
        <v>22</v>
      </c>
      <c r="AB47" s="814">
        <v>22</v>
      </c>
      <c r="AC47" s="814">
        <v>44</v>
      </c>
      <c r="AD47" s="814">
        <v>44</v>
      </c>
      <c r="AE47" s="814">
        <v>44</v>
      </c>
      <c r="AF47" s="814">
        <v>66</v>
      </c>
      <c r="AG47" s="814">
        <v>66</v>
      </c>
      <c r="AH47" s="814">
        <v>44</v>
      </c>
      <c r="AI47" s="814">
        <v>44</v>
      </c>
      <c r="AJ47" s="814">
        <v>88</v>
      </c>
      <c r="AK47" s="814">
        <v>44</v>
      </c>
      <c r="AL47" s="814">
        <v>88</v>
      </c>
      <c r="AM47" s="814">
        <v>44</v>
      </c>
      <c r="AN47" s="689" t="s">
        <v>5</v>
      </c>
      <c r="AO47" s="579" t="s">
        <v>3</v>
      </c>
      <c r="AP47" s="535" t="s">
        <v>172</v>
      </c>
    </row>
    <row r="48" spans="1:42">
      <c r="Z48" s="816" t="s">
        <v>173</v>
      </c>
      <c r="AA48" s="817" t="s">
        <v>174</v>
      </c>
      <c r="AB48" s="816">
        <v>22</v>
      </c>
      <c r="AN48" s="537" t="s">
        <v>175</v>
      </c>
      <c r="AP48" s="537"/>
    </row>
    <row r="49" spans="1:41">
      <c r="A49" s="537" t="s">
        <v>176</v>
      </c>
      <c r="X49" s="818">
        <f>[7]C3LPG!AG96</f>
        <v>0</v>
      </c>
      <c r="Y49" s="818">
        <f>[7]C3LPG!AH96</f>
        <v>0</v>
      </c>
      <c r="Z49" s="818">
        <f>[7]C3LPG!AI96</f>
        <v>0</v>
      </c>
      <c r="AA49" s="818">
        <f>[7]C3LPG!AJ96</f>
        <v>0</v>
      </c>
      <c r="AB49" s="818">
        <f>[7]C3LPG!AK96</f>
        <v>13.18</v>
      </c>
      <c r="AC49" s="818">
        <f>[7]C3LPG!AL96</f>
        <v>0</v>
      </c>
      <c r="AD49" s="818">
        <f>[7]C3LPG!AM96</f>
        <v>0</v>
      </c>
      <c r="AE49" s="818">
        <f>[7]C3LPG!AN96</f>
        <v>10</v>
      </c>
      <c r="AF49" s="818">
        <f>[7]C3LPG!AO97</f>
        <v>13.481</v>
      </c>
      <c r="AG49" s="818">
        <f>[7]C3LPG!AP97</f>
        <v>13.045999999999999</v>
      </c>
      <c r="AH49" s="818">
        <f>[7]C3LPG!AQ97</f>
        <v>13.481</v>
      </c>
      <c r="AI49" s="818">
        <f>[7]C3LPG!AR97</f>
        <v>8.4809999999999999</v>
      </c>
      <c r="AJ49" s="818">
        <f>[7]C3LPG!AS97</f>
        <v>13.045999999999999</v>
      </c>
      <c r="AK49" s="818">
        <f>[7]C3LPG!AT97</f>
        <v>10.8</v>
      </c>
      <c r="AL49" s="818">
        <f>[7]C3LPG!AU97</f>
        <v>10.8</v>
      </c>
      <c r="AM49" s="818">
        <f>[7]C3LPG!AV97</f>
        <v>10.8</v>
      </c>
      <c r="AN49" s="823" t="s">
        <v>170</v>
      </c>
      <c r="AO49" s="579" t="s">
        <v>3</v>
      </c>
    </row>
    <row r="50" spans="1:41">
      <c r="A50" s="537" t="s">
        <v>177</v>
      </c>
      <c r="X50" s="818"/>
      <c r="Y50" s="818"/>
      <c r="Z50" s="819"/>
      <c r="AA50" s="819"/>
      <c r="AB50" s="819"/>
      <c r="AC50" s="818"/>
      <c r="AD50" s="818"/>
      <c r="AE50" s="818"/>
      <c r="AF50" s="818">
        <f>[7]C3LPG!AO98</f>
        <v>0</v>
      </c>
      <c r="AG50" s="818">
        <f>[7]C3LPG!AP98</f>
        <v>34.861799729561781</v>
      </c>
      <c r="AH50" s="818">
        <f>[7]C3LPG!AQ98</f>
        <v>47.748060573613706</v>
      </c>
      <c r="AI50" s="818">
        <f>[7]C3LPG!AR98</f>
        <v>47.748059323430049</v>
      </c>
      <c r="AJ50" s="818">
        <f>[7]C3LPG!AS98</f>
        <v>19.89204045832156</v>
      </c>
      <c r="AK50" s="818">
        <f>[7]C3LPG!AT98</f>
        <v>43.545179998576657</v>
      </c>
      <c r="AL50" s="818">
        <f>[7]C3LPG!AU98</f>
        <v>42.982199800729759</v>
      </c>
      <c r="AM50" s="818">
        <f>[7]C3LPG!AV98</f>
        <v>17.454420186460034</v>
      </c>
      <c r="AN50" s="823" t="s">
        <v>170</v>
      </c>
      <c r="AO50" s="579" t="s">
        <v>3</v>
      </c>
    </row>
    <row r="52" spans="1:41">
      <c r="A52" s="248" t="s">
        <v>133</v>
      </c>
    </row>
    <row r="53" spans="1:41">
      <c r="A53" s="248" t="s">
        <v>135</v>
      </c>
    </row>
    <row r="54" spans="1:41">
      <c r="A54" s="248" t="s">
        <v>136</v>
      </c>
    </row>
    <row r="55" spans="1:41">
      <c r="A55" s="248" t="s">
        <v>137</v>
      </c>
    </row>
    <row r="56" spans="1:41">
      <c r="A56" s="248" t="s">
        <v>138</v>
      </c>
    </row>
    <row r="57" spans="1:41">
      <c r="A57" s="248" t="s">
        <v>140</v>
      </c>
    </row>
  </sheetData>
  <mergeCells count="2">
    <mergeCell ref="AS25:AS26"/>
    <mergeCell ref="AT25:AT26"/>
  </mergeCells>
  <conditionalFormatting sqref="V33">
    <cfRule type="cellIs" dxfId="26" priority="13" operator="equal">
      <formula>$V$47</formula>
    </cfRule>
  </conditionalFormatting>
  <conditionalFormatting sqref="W33">
    <cfRule type="cellIs" dxfId="25" priority="12" operator="equal">
      <formula>$W$47</formula>
    </cfRule>
  </conditionalFormatting>
  <conditionalFormatting sqref="X33">
    <cfRule type="cellIs" dxfId="24" priority="11" operator="equal">
      <formula>$X$47</formula>
    </cfRule>
  </conditionalFormatting>
  <conditionalFormatting sqref="Y33">
    <cfRule type="cellIs" dxfId="23" priority="10" operator="equal">
      <formula>$Y$47</formula>
    </cfRule>
  </conditionalFormatting>
  <conditionalFormatting sqref="Z33">
    <cfRule type="cellIs" dxfId="22" priority="9" operator="equal">
      <formula>$Z$47</formula>
    </cfRule>
  </conditionalFormatting>
  <conditionalFormatting sqref="AA33">
    <cfRule type="cellIs" dxfId="21" priority="8" operator="equal">
      <formula>$AA$47</formula>
    </cfRule>
  </conditionalFormatting>
  <conditionalFormatting sqref="AB33">
    <cfRule type="cellIs" dxfId="20" priority="7" operator="equal">
      <formula>$AB$47</formula>
    </cfRule>
  </conditionalFormatting>
  <conditionalFormatting sqref="AC33">
    <cfRule type="cellIs" dxfId="19" priority="6" operator="equal">
      <formula>$AC$47</formula>
    </cfRule>
  </conditionalFormatting>
  <conditionalFormatting sqref="AD33">
    <cfRule type="cellIs" dxfId="18" priority="5" operator="equal">
      <formula>$AD$47</formula>
    </cfRule>
  </conditionalFormatting>
  <conditionalFormatting sqref="AE33">
    <cfRule type="cellIs" dxfId="17" priority="4" operator="equal">
      <formula>$AE$47</formula>
    </cfRule>
  </conditionalFormatting>
  <conditionalFormatting sqref="AF33:AK33">
    <cfRule type="cellIs" dxfId="16" priority="3" operator="equal">
      <formula>$AF$47</formula>
    </cfRule>
  </conditionalFormatting>
  <conditionalFormatting sqref="AL33">
    <cfRule type="cellIs" dxfId="15" priority="2" operator="equal">
      <formula>$AF$47</formula>
    </cfRule>
  </conditionalFormatting>
  <conditionalFormatting sqref="AM33">
    <cfRule type="cellIs" dxfId="14" priority="1" operator="equal">
      <formula>$AF$47</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87E5E-0313-D645-B320-4C4E328091FE}">
  <dimension ref="A1:BR292"/>
  <sheetViews>
    <sheetView tabSelected="1" topLeftCell="AT1" zoomScale="125" workbookViewId="0">
      <selection activeCell="AY24" sqref="AY24"/>
    </sheetView>
  </sheetViews>
  <sheetFormatPr defaultColWidth="8.875" defaultRowHeight="14.25" outlineLevelRow="1"/>
  <cols>
    <col min="1" max="1" width="22.125" style="1" customWidth="1"/>
    <col min="2" max="2" width="9.625" style="2" customWidth="1"/>
    <col min="3" max="3" width="22.375" customWidth="1"/>
    <col min="4" max="4" width="17" customWidth="1"/>
    <col min="5" max="17" width="10.125" hidden="1" customWidth="1"/>
    <col min="18" max="18" width="9.875" hidden="1" customWidth="1"/>
    <col min="19" max="24" width="10.125" hidden="1" customWidth="1"/>
    <col min="25" max="27" width="10" hidden="1" customWidth="1"/>
    <col min="28" max="31" width="10.125" hidden="1" customWidth="1"/>
    <col min="32" max="32" width="11" customWidth="1"/>
    <col min="33" max="33" width="10.625" customWidth="1"/>
    <col min="34" max="45" width="10.125" bestFit="1" customWidth="1"/>
    <col min="46" max="48" width="10.375" customWidth="1"/>
    <col min="49" max="49" width="51.625" customWidth="1"/>
    <col min="50" max="50" width="26" bestFit="1" customWidth="1"/>
    <col min="51" max="51" width="10.625" customWidth="1"/>
    <col min="52" max="52" width="11.375" customWidth="1"/>
    <col min="53" max="53" width="9.125" bestFit="1" customWidth="1"/>
    <col min="57" max="57" width="9.125" bestFit="1" customWidth="1"/>
  </cols>
  <sheetData>
    <row r="1" spans="1:70" s="19" customFormat="1" ht="15.6" customHeight="1">
      <c r="A1" s="3"/>
      <c r="B1" s="18"/>
      <c r="C1" s="34">
        <f>38+34+19</f>
        <v>91</v>
      </c>
      <c r="D1" s="449" t="s">
        <v>178</v>
      </c>
      <c r="R1" s="19">
        <v>30</v>
      </c>
      <c r="S1" s="19">
        <v>31</v>
      </c>
      <c r="T1" s="19">
        <v>31</v>
      </c>
      <c r="U1" s="19">
        <v>30</v>
      </c>
      <c r="V1" s="19">
        <v>31</v>
      </c>
      <c r="W1" s="19">
        <v>30</v>
      </c>
      <c r="X1" s="19">
        <v>31</v>
      </c>
      <c r="Y1" s="19">
        <v>31</v>
      </c>
      <c r="Z1" s="448">
        <v>28</v>
      </c>
      <c r="AA1" s="448">
        <v>31</v>
      </c>
      <c r="AB1" s="448">
        <v>30</v>
      </c>
      <c r="AC1" s="448">
        <v>31</v>
      </c>
      <c r="AD1" s="448">
        <v>30</v>
      </c>
      <c r="AE1" s="448">
        <v>31</v>
      </c>
      <c r="AF1" s="448">
        <v>31</v>
      </c>
      <c r="AG1" s="448">
        <v>30</v>
      </c>
      <c r="AH1" s="448">
        <v>31</v>
      </c>
      <c r="AI1" s="448">
        <v>30</v>
      </c>
      <c r="AJ1" s="448">
        <v>31</v>
      </c>
      <c r="AK1" s="448">
        <v>31</v>
      </c>
      <c r="AL1" s="448">
        <v>28</v>
      </c>
      <c r="AM1" s="448">
        <v>31</v>
      </c>
      <c r="AN1" s="448">
        <v>30</v>
      </c>
      <c r="AO1" s="448">
        <v>31</v>
      </c>
      <c r="AP1" s="448">
        <v>30</v>
      </c>
      <c r="AQ1" s="448">
        <v>31</v>
      </c>
      <c r="AR1" s="448">
        <v>31</v>
      </c>
      <c r="AS1" s="448">
        <v>30</v>
      </c>
      <c r="AT1" s="448">
        <v>31</v>
      </c>
      <c r="AU1" s="448">
        <v>31</v>
      </c>
      <c r="AV1" s="448">
        <v>31</v>
      </c>
      <c r="AW1" s="530"/>
      <c r="AX1" s="580" t="s">
        <v>158</v>
      </c>
    </row>
    <row r="2" spans="1:70" ht="23.25" thickBot="1">
      <c r="A2" s="25" t="s">
        <v>179</v>
      </c>
      <c r="B2" s="18"/>
      <c r="C2" s="19"/>
      <c r="D2" s="34"/>
      <c r="E2" s="19"/>
      <c r="F2" s="19"/>
      <c r="G2" s="187">
        <v>43678</v>
      </c>
      <c r="H2" s="187">
        <v>43698</v>
      </c>
      <c r="I2" s="19"/>
      <c r="J2" s="19"/>
      <c r="K2" s="19"/>
      <c r="L2" s="234">
        <f>L6/1000</f>
        <v>31.888097230590823</v>
      </c>
      <c r="M2" s="234">
        <f>M6/1000</f>
        <v>16.827883907470703</v>
      </c>
      <c r="N2" s="234">
        <f t="shared" ref="N2:AN2" si="0">N6/1000</f>
        <v>36.020527630224606</v>
      </c>
      <c r="O2" s="234">
        <f t="shared" si="0"/>
        <v>33.684161457519529</v>
      </c>
      <c r="P2" s="234">
        <f t="shared" si="0"/>
        <v>18.635842199999999</v>
      </c>
      <c r="Q2" s="234">
        <f t="shared" si="0"/>
        <v>29.542833899999998</v>
      </c>
      <c r="R2" s="234">
        <f t="shared" si="0"/>
        <v>14.458839999999999</v>
      </c>
      <c r="S2" s="234">
        <f t="shared" si="0"/>
        <v>18.007720000000003</v>
      </c>
      <c r="T2" s="234">
        <f t="shared" si="0"/>
        <v>15.124660000000002</v>
      </c>
      <c r="U2" s="234">
        <f t="shared" si="0"/>
        <v>26.696860000000001</v>
      </c>
      <c r="V2" s="234">
        <f t="shared" si="0"/>
        <v>14.437240000000001</v>
      </c>
      <c r="W2" s="234">
        <f t="shared" si="0"/>
        <v>22.420850699999999</v>
      </c>
      <c r="X2" s="234">
        <f t="shared" si="0"/>
        <v>18.055042360000002</v>
      </c>
      <c r="Y2" s="234">
        <f t="shared" si="0"/>
        <v>24.4024</v>
      </c>
      <c r="Z2" s="234">
        <f t="shared" si="0"/>
        <v>28.877920000000003</v>
      </c>
      <c r="AA2" s="234">
        <f t="shared" si="0"/>
        <v>23.042922528000002</v>
      </c>
      <c r="AB2" s="234">
        <f t="shared" si="0"/>
        <v>33.906688200000005</v>
      </c>
      <c r="AC2" s="234">
        <f t="shared" si="0"/>
        <v>33.714913788000004</v>
      </c>
      <c r="AD2" s="234">
        <f>AD6/1000</f>
        <v>20.090257854000004</v>
      </c>
      <c r="AE2" s="234">
        <f t="shared" si="0"/>
        <v>18.548406900000003</v>
      </c>
      <c r="AF2" s="234">
        <f t="shared" si="0"/>
        <v>27.909638357999999</v>
      </c>
      <c r="AG2" s="234">
        <f t="shared" si="0"/>
        <v>13.881282000000002</v>
      </c>
      <c r="AH2" s="234">
        <f>AH6/1000</f>
        <v>16.226553841220454</v>
      </c>
      <c r="AI2" s="234">
        <f t="shared" si="0"/>
        <v>19.721832014121993</v>
      </c>
      <c r="AJ2" s="234">
        <f t="shared" si="0"/>
        <v>23.631931302899027</v>
      </c>
      <c r="AK2" s="234">
        <f t="shared" si="0"/>
        <v>28.86563116963908</v>
      </c>
      <c r="AL2" s="234">
        <f t="shared" si="0"/>
        <v>28.845369091198258</v>
      </c>
      <c r="AM2" s="234">
        <f t="shared" si="0"/>
        <v>27.733215264525022</v>
      </c>
      <c r="AN2" s="234">
        <f t="shared" si="0"/>
        <v>29.18413693386649</v>
      </c>
      <c r="AO2" s="234">
        <f>AO6/1000</f>
        <v>29.092866304365124</v>
      </c>
      <c r="AP2" s="234">
        <f t="shared" ref="AP2:AV2" si="1">AP6/1000</f>
        <v>29.136518279991613</v>
      </c>
      <c r="AQ2" s="234">
        <f t="shared" si="1"/>
        <v>29.264288094713912</v>
      </c>
      <c r="AR2" s="234">
        <f t="shared" si="1"/>
        <v>29.329023754181627</v>
      </c>
      <c r="AS2" s="234">
        <f t="shared" si="1"/>
        <v>29.023431525806195</v>
      </c>
      <c r="AT2" s="234">
        <f t="shared" si="1"/>
        <v>29.154581359495914</v>
      </c>
      <c r="AU2" s="234">
        <f t="shared" si="1"/>
        <v>29.021241648976989</v>
      </c>
      <c r="AV2" s="234">
        <f t="shared" si="1"/>
        <v>29.270621631560353</v>
      </c>
      <c r="AW2" s="714"/>
      <c r="AX2" s="580" t="s">
        <v>158</v>
      </c>
      <c r="AY2" s="19"/>
      <c r="AZ2" s="19"/>
      <c r="BA2" s="19"/>
      <c r="BB2" s="19"/>
    </row>
    <row r="3" spans="1:70" s="55" customFormat="1" ht="15" thickBot="1">
      <c r="A3" s="848" t="s">
        <v>180</v>
      </c>
      <c r="B3" s="849"/>
      <c r="C3" s="302"/>
      <c r="D3" s="303"/>
      <c r="E3" s="58">
        <v>43587</v>
      </c>
      <c r="F3" s="58">
        <v>43618</v>
      </c>
      <c r="G3" s="58">
        <v>43648</v>
      </c>
      <c r="H3" s="58">
        <v>43679</v>
      </c>
      <c r="I3" s="197">
        <v>43710</v>
      </c>
      <c r="J3" s="197">
        <v>43740</v>
      </c>
      <c r="K3" s="58">
        <v>43771</v>
      </c>
      <c r="L3" s="222">
        <v>43801</v>
      </c>
      <c r="M3" s="197">
        <v>43832</v>
      </c>
      <c r="N3" s="197">
        <v>43863</v>
      </c>
      <c r="O3" s="58">
        <v>43892</v>
      </c>
      <c r="P3" s="58">
        <v>43923</v>
      </c>
      <c r="Q3" s="58">
        <v>43953</v>
      </c>
      <c r="R3" s="197">
        <v>43984</v>
      </c>
      <c r="S3" s="197">
        <v>44014</v>
      </c>
      <c r="T3" s="197">
        <v>44045</v>
      </c>
      <c r="U3" s="197">
        <v>44076</v>
      </c>
      <c r="V3" s="197">
        <v>44106</v>
      </c>
      <c r="W3" s="197">
        <v>44137</v>
      </c>
      <c r="X3" s="197">
        <v>44167</v>
      </c>
      <c r="Y3" s="197">
        <v>44198</v>
      </c>
      <c r="Z3" s="197">
        <v>44229</v>
      </c>
      <c r="AA3" s="715">
        <v>44257</v>
      </c>
      <c r="AB3" s="715">
        <v>44288</v>
      </c>
      <c r="AC3" s="715">
        <v>44318</v>
      </c>
      <c r="AD3" s="715">
        <v>44349</v>
      </c>
      <c r="AE3" s="715">
        <v>44379</v>
      </c>
      <c r="AF3" s="715">
        <v>44410</v>
      </c>
      <c r="AG3" s="715">
        <v>44441</v>
      </c>
      <c r="AH3" s="197">
        <v>44471</v>
      </c>
      <c r="AI3" s="197">
        <v>44502</v>
      </c>
      <c r="AJ3" s="197">
        <v>44532</v>
      </c>
      <c r="AK3" s="197">
        <v>44563</v>
      </c>
      <c r="AL3" s="197">
        <v>44594</v>
      </c>
      <c r="AM3" s="197">
        <v>44622</v>
      </c>
      <c r="AN3" s="197">
        <v>44653</v>
      </c>
      <c r="AO3" s="197">
        <v>44683</v>
      </c>
      <c r="AP3" s="197">
        <v>44714</v>
      </c>
      <c r="AQ3" s="197">
        <v>44744</v>
      </c>
      <c r="AR3" s="197">
        <v>44775</v>
      </c>
      <c r="AS3" s="197">
        <v>44806</v>
      </c>
      <c r="AT3" s="197">
        <v>44836</v>
      </c>
      <c r="AU3" s="716">
        <v>44867</v>
      </c>
      <c r="AV3" s="716">
        <v>44897</v>
      </c>
      <c r="AW3" s="717"/>
      <c r="AX3" s="56"/>
      <c r="AY3" s="19"/>
      <c r="AZ3" s="54"/>
      <c r="BA3" s="54"/>
      <c r="BB3" s="54"/>
    </row>
    <row r="4" spans="1:70">
      <c r="A4" s="16" t="s">
        <v>92</v>
      </c>
      <c r="B4" s="311"/>
      <c r="C4" s="30"/>
      <c r="D4" s="313"/>
      <c r="E4" s="72"/>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718"/>
      <c r="AX4" s="19"/>
      <c r="AY4" s="19"/>
      <c r="AZ4" s="19"/>
      <c r="BA4" s="19"/>
      <c r="BB4" s="19"/>
      <c r="BF4" s="719">
        <v>0.25403924107025933</v>
      </c>
      <c r="BG4" s="210">
        <v>0.33483128996932265</v>
      </c>
      <c r="BH4" s="210">
        <v>0.44030814595945017</v>
      </c>
      <c r="BI4" s="210">
        <v>0.52359343951186588</v>
      </c>
      <c r="BJ4" s="210">
        <v>0.46103669107740353</v>
      </c>
      <c r="BK4" s="210">
        <v>0.39779918773241624</v>
      </c>
      <c r="BL4" s="210">
        <v>0.66942577304125628</v>
      </c>
      <c r="BM4" s="210"/>
      <c r="BN4" s="210"/>
      <c r="BO4" s="210"/>
      <c r="BP4" s="210"/>
      <c r="BQ4" s="210"/>
      <c r="BR4" s="210"/>
    </row>
    <row r="5" spans="1:70">
      <c r="A5" s="66" t="s">
        <v>181</v>
      </c>
      <c r="B5" s="18"/>
      <c r="C5" s="19"/>
      <c r="D5" s="314" t="s">
        <v>41</v>
      </c>
      <c r="E5" s="62">
        <v>49624.800000000003</v>
      </c>
      <c r="F5" s="62">
        <v>49624.800000000003</v>
      </c>
      <c r="G5" s="62">
        <v>49624.800000000003</v>
      </c>
      <c r="H5" s="63">
        <v>46018</v>
      </c>
      <c r="I5" s="62">
        <v>49624.800000000003</v>
      </c>
      <c r="J5" s="63">
        <v>45790.8</v>
      </c>
      <c r="K5" s="62">
        <v>45791</v>
      </c>
      <c r="L5" s="62">
        <v>49624.800000000003</v>
      </c>
      <c r="M5" s="62">
        <v>49624.800000000003</v>
      </c>
      <c r="N5" s="62">
        <v>49624.800000000003</v>
      </c>
      <c r="O5" s="62">
        <v>49624.800000000003</v>
      </c>
      <c r="P5" s="62">
        <v>49624.800000000003</v>
      </c>
      <c r="Q5" s="63">
        <v>45790.8</v>
      </c>
      <c r="R5" s="63">
        <v>45790.8</v>
      </c>
      <c r="S5" s="63">
        <v>45790.8</v>
      </c>
      <c r="T5" s="63">
        <v>45790.8</v>
      </c>
      <c r="U5" s="63">
        <v>45790.8</v>
      </c>
      <c r="V5" s="232">
        <v>46018</v>
      </c>
      <c r="W5" s="63">
        <v>46018</v>
      </c>
      <c r="X5" s="304">
        <v>49624.800000000003</v>
      </c>
      <c r="Y5" s="304">
        <v>49624.80000000001</v>
      </c>
      <c r="Z5" s="232">
        <v>45790.8</v>
      </c>
      <c r="AA5" s="232">
        <v>43641.600000000006</v>
      </c>
      <c r="AB5" s="304">
        <v>47475.62</v>
      </c>
      <c r="AC5" s="232">
        <v>47475.62</v>
      </c>
      <c r="AD5" s="232">
        <v>43641.599999999999</v>
      </c>
      <c r="AE5" s="232">
        <v>43641.600000000006</v>
      </c>
      <c r="AF5" s="232">
        <v>43641.600000000006</v>
      </c>
      <c r="AG5" s="304">
        <v>47475.600000000006</v>
      </c>
      <c r="AH5" s="232">
        <v>43641.600000000006</v>
      </c>
      <c r="AI5" s="232">
        <v>43641.600000000006</v>
      </c>
      <c r="AJ5" s="304">
        <v>47475.600000000006</v>
      </c>
      <c r="AK5" s="304">
        <v>47475.600000000006</v>
      </c>
      <c r="AL5" s="304">
        <v>47475.600000000006</v>
      </c>
      <c r="AM5" s="304">
        <v>47475.600000000006</v>
      </c>
      <c r="AN5" s="304">
        <v>47475.600000000006</v>
      </c>
      <c r="AO5" s="304">
        <v>47475.600000000006</v>
      </c>
      <c r="AP5" s="304">
        <v>47475.600000000006</v>
      </c>
      <c r="AQ5" s="304">
        <v>47475.600000000006</v>
      </c>
      <c r="AR5" s="304">
        <v>47475.600000000006</v>
      </c>
      <c r="AS5" s="304">
        <v>47475.600000000006</v>
      </c>
      <c r="AT5" s="304">
        <v>47475.600000000006</v>
      </c>
      <c r="AU5" s="304">
        <v>47475.600000000006</v>
      </c>
      <c r="AV5" s="304">
        <v>47475.600000000006</v>
      </c>
      <c r="AW5" s="688" t="s">
        <v>159</v>
      </c>
      <c r="AX5" s="579" t="s">
        <v>3</v>
      </c>
      <c r="AY5" s="524" t="s">
        <v>182</v>
      </c>
      <c r="AZ5" s="19">
        <v>102</v>
      </c>
      <c r="BA5" s="19"/>
      <c r="BB5" s="19"/>
      <c r="BF5" s="719">
        <v>0.39594825138632178</v>
      </c>
      <c r="BG5" s="210">
        <v>0.44985506108216866</v>
      </c>
      <c r="BH5" s="210">
        <v>0.54112680515879441</v>
      </c>
      <c r="BI5" s="210">
        <v>0.54734175247857253</v>
      </c>
      <c r="BJ5" s="210">
        <v>0.79395000579712582</v>
      </c>
      <c r="BK5" s="210">
        <v>0.5347436121558915</v>
      </c>
      <c r="BL5" s="210">
        <v>0.5117306731540433</v>
      </c>
      <c r="BM5" s="210"/>
      <c r="BN5" s="210"/>
      <c r="BO5" s="210"/>
      <c r="BP5" s="210"/>
      <c r="BQ5" s="210"/>
      <c r="BR5" s="210"/>
    </row>
    <row r="6" spans="1:70">
      <c r="A6" s="67" t="s">
        <v>183</v>
      </c>
      <c r="B6" s="18"/>
      <c r="C6" s="19"/>
      <c r="D6" s="314" t="s">
        <v>41</v>
      </c>
      <c r="E6" s="70">
        <v>11096.775659790039</v>
      </c>
      <c r="F6" s="70">
        <v>22008.60853326934</v>
      </c>
      <c r="G6" s="70">
        <v>16060</v>
      </c>
      <c r="H6" s="70">
        <v>18030.939999999999</v>
      </c>
      <c r="I6" s="70">
        <v>10997.417582917811</v>
      </c>
      <c r="J6" s="70">
        <v>27311.326601295474</v>
      </c>
      <c r="K6" s="70">
        <v>26097.899326025392</v>
      </c>
      <c r="L6" s="70">
        <v>31888.097230590822</v>
      </c>
      <c r="M6" s="70">
        <v>16827.883907470703</v>
      </c>
      <c r="N6" s="70">
        <v>36020.527630224606</v>
      </c>
      <c r="O6" s="70">
        <v>33684.161457519527</v>
      </c>
      <c r="P6" s="70">
        <v>18635.842199999999</v>
      </c>
      <c r="Q6" s="70">
        <v>29542.833899999998</v>
      </c>
      <c r="R6" s="70">
        <v>14458.839999999998</v>
      </c>
      <c r="S6" s="70">
        <v>18007.72</v>
      </c>
      <c r="T6" s="70">
        <v>15124.660000000002</v>
      </c>
      <c r="U6" s="70">
        <v>26696.86</v>
      </c>
      <c r="V6" s="70">
        <v>14437.240000000002</v>
      </c>
      <c r="W6" s="70">
        <v>22420.850699999999</v>
      </c>
      <c r="X6" s="70">
        <v>18055.042360000003</v>
      </c>
      <c r="Y6" s="70">
        <v>24402.400000000001</v>
      </c>
      <c r="Z6" s="70">
        <v>28877.920000000002</v>
      </c>
      <c r="AA6" s="70">
        <v>23042.922528000003</v>
      </c>
      <c r="AB6" s="70">
        <v>33906.688200000004</v>
      </c>
      <c r="AC6" s="70">
        <v>33714.913788000005</v>
      </c>
      <c r="AD6" s="70">
        <v>20090.257854000003</v>
      </c>
      <c r="AE6" s="70">
        <v>18548.406900000002</v>
      </c>
      <c r="AF6" s="70">
        <v>27909.638358</v>
      </c>
      <c r="AG6" s="70">
        <v>13881.282000000003</v>
      </c>
      <c r="AH6" s="70">
        <f t="shared" ref="AH6:AU6" si="2">((AH59+(AG6/1000)+AH8+AH61+AH10)-AH103-AH107-AH108-AH109-AH110-AH111-AH112-AH113-AH114-AH115-AH116-AH117-AH118-AH119-AH120-AH121-AH122-AH123-AH124-AH125-AH126-AH127-AH128-AH129-AH130-AH131-AH132-AH133-AH134-AH135-AH136-AH137-AH138-AH139-AH143-AH144-AH145-AH146-AH147-AH148-AH149-AH150-AH151-AH152-AH153-AH154-AH155-AH156-AH157-AH158-AH159-AH9)*1000</f>
        <v>16226.553841220455</v>
      </c>
      <c r="AI6" s="70">
        <f t="shared" si="2"/>
        <v>19721.832014121992</v>
      </c>
      <c r="AJ6" s="70">
        <f t="shared" si="2"/>
        <v>23631.931302899025</v>
      </c>
      <c r="AK6" s="70">
        <f t="shared" si="2"/>
        <v>28865.63116963908</v>
      </c>
      <c r="AL6" s="70">
        <f t="shared" si="2"/>
        <v>28845.369091198259</v>
      </c>
      <c r="AM6" s="70">
        <f t="shared" si="2"/>
        <v>27733.215264525021</v>
      </c>
      <c r="AN6" s="70">
        <f t="shared" si="2"/>
        <v>29184.136933866492</v>
      </c>
      <c r="AO6" s="70">
        <f t="shared" si="2"/>
        <v>29092.866304365125</v>
      </c>
      <c r="AP6" s="70">
        <f t="shared" si="2"/>
        <v>29136.518279991611</v>
      </c>
      <c r="AQ6" s="70">
        <f t="shared" si="2"/>
        <v>29264.288094713913</v>
      </c>
      <c r="AR6" s="70">
        <f t="shared" si="2"/>
        <v>29329.023754181628</v>
      </c>
      <c r="AS6" s="70">
        <f t="shared" si="2"/>
        <v>29023.431525806194</v>
      </c>
      <c r="AT6" s="70">
        <f t="shared" si="2"/>
        <v>29154.581359495915</v>
      </c>
      <c r="AU6" s="70">
        <f t="shared" si="2"/>
        <v>29021.241648976989</v>
      </c>
      <c r="AV6" s="70">
        <f>((AV59+(AU6/1000)+AV8+AV61+AV10)-AV103-AV107-AV108-AV109-AV110-AV111-AV112-AV113-AV114-AV115-AV116-AV117-AV118-AV119-AV120-AV121-AV122-AV123-AV124-AV125-AV126-AV127-AV128-AV129-AV130-AV131-AV132-AV133-AV134-AV135-AV136-AV137-AV138-AV139-AV143-AV144-AV145-AV146-AV147-AV148-AV149-AV150-AV151-AV152-AV153-AV154-AV155-AV156-AV157-AV158-AV159-AV9)*1000</f>
        <v>29270.621631560352</v>
      </c>
      <c r="AW6" s="710" t="s">
        <v>184</v>
      </c>
      <c r="AX6" s="579" t="s">
        <v>3</v>
      </c>
      <c r="AY6" s="525" t="s">
        <v>185</v>
      </c>
      <c r="AZ6" s="19">
        <v>96</v>
      </c>
      <c r="BA6" s="19"/>
      <c r="BB6" s="19"/>
      <c r="BF6" s="719">
        <v>0.2101324533610899</v>
      </c>
      <c r="BG6" s="210">
        <v>0.2992428217775443</v>
      </c>
      <c r="BH6" s="210">
        <v>0.40911475339945874</v>
      </c>
      <c r="BI6" s="210">
        <v>0.51624568806495075</v>
      </c>
      <c r="BJ6" s="210">
        <v>0.39914928946670375</v>
      </c>
      <c r="BK6" s="210">
        <v>0.3596143769310105</v>
      </c>
      <c r="BL6" s="210">
        <v>0.71339658513420401</v>
      </c>
      <c r="BM6" s="210"/>
      <c r="BN6" s="210"/>
      <c r="BO6" s="210"/>
      <c r="BP6" s="210"/>
      <c r="BQ6" s="210"/>
      <c r="BR6" s="210"/>
    </row>
    <row r="7" spans="1:70">
      <c r="A7" s="308" t="s">
        <v>186</v>
      </c>
      <c r="B7" s="18"/>
      <c r="C7" s="19"/>
      <c r="D7" s="314" t="s">
        <v>187</v>
      </c>
      <c r="E7" s="79">
        <f>E6/E5</f>
        <v>0.22361350896708981</v>
      </c>
      <c r="F7" s="79">
        <f t="shared" ref="F7:AV7" si="3">F6/F5</f>
        <v>0.44350019613720032</v>
      </c>
      <c r="G7" s="79">
        <f t="shared" si="3"/>
        <v>0.32362850832648188</v>
      </c>
      <c r="H7" s="79">
        <f t="shared" si="3"/>
        <v>0.39182363423008387</v>
      </c>
      <c r="I7" s="79">
        <f t="shared" si="3"/>
        <v>0.2216113230263459</v>
      </c>
      <c r="J7" s="79">
        <f t="shared" si="3"/>
        <v>0.59643698300303716</v>
      </c>
      <c r="K7" s="79">
        <f t="shared" si="3"/>
        <v>0.56993512537453628</v>
      </c>
      <c r="L7" s="79">
        <f t="shared" si="3"/>
        <v>0.64258389415354455</v>
      </c>
      <c r="M7" s="79">
        <f t="shared" si="3"/>
        <v>0.33910230182228851</v>
      </c>
      <c r="N7" s="79">
        <f t="shared" si="3"/>
        <v>0.72585738643227993</v>
      </c>
      <c r="O7" s="79">
        <f t="shared" si="3"/>
        <v>0.67877677003271597</v>
      </c>
      <c r="P7" s="79">
        <f t="shared" si="3"/>
        <v>0.37553485757121435</v>
      </c>
      <c r="Q7" s="79">
        <f t="shared" si="3"/>
        <v>0.64516963887942547</v>
      </c>
      <c r="R7" s="307">
        <f t="shared" si="3"/>
        <v>0.31575862400307481</v>
      </c>
      <c r="S7" s="307">
        <f t="shared" si="3"/>
        <v>0.39326065497872936</v>
      </c>
      <c r="T7" s="307">
        <f t="shared" si="3"/>
        <v>0.3302990993824087</v>
      </c>
      <c r="U7" s="307">
        <f t="shared" si="3"/>
        <v>0.58301798614568867</v>
      </c>
      <c r="V7" s="307">
        <f t="shared" si="3"/>
        <v>0.31373027945586512</v>
      </c>
      <c r="W7" s="307">
        <f t="shared" si="3"/>
        <v>0.48721914685557821</v>
      </c>
      <c r="X7" s="307">
        <f t="shared" si="3"/>
        <v>0.36383103528880723</v>
      </c>
      <c r="Y7" s="307">
        <f t="shared" si="3"/>
        <v>0.49173800196675849</v>
      </c>
      <c r="Z7" s="307">
        <f t="shared" si="3"/>
        <v>0.63064895131773191</v>
      </c>
      <c r="AA7" s="307">
        <f t="shared" si="3"/>
        <v>0.52800361416630004</v>
      </c>
      <c r="AB7" s="307">
        <f t="shared" si="3"/>
        <v>0.71419158296405616</v>
      </c>
      <c r="AC7" s="307">
        <f t="shared" si="3"/>
        <v>0.7101521536316957</v>
      </c>
      <c r="AD7" s="307">
        <f t="shared" si="3"/>
        <v>0.46034650090739121</v>
      </c>
      <c r="AE7" s="307">
        <f t="shared" si="3"/>
        <v>0.42501665612626482</v>
      </c>
      <c r="AF7" s="307">
        <f>AF6/AF5</f>
        <v>0.63951913674109095</v>
      </c>
      <c r="AG7" s="307">
        <f t="shared" si="3"/>
        <v>0.29238771073983272</v>
      </c>
      <c r="AH7" s="307">
        <f t="shared" si="3"/>
        <v>0.37181390785902563</v>
      </c>
      <c r="AI7" s="307">
        <f t="shared" si="3"/>
        <v>0.45190442179301377</v>
      </c>
      <c r="AJ7" s="307">
        <f t="shared" si="3"/>
        <v>0.49777003982885992</v>
      </c>
      <c r="AK7" s="720">
        <f t="shared" si="3"/>
        <v>0.6080098233542931</v>
      </c>
      <c r="AL7" s="720">
        <f t="shared" si="3"/>
        <v>0.60758303404692637</v>
      </c>
      <c r="AM7" s="720">
        <f t="shared" si="3"/>
        <v>0.58415723581218604</v>
      </c>
      <c r="AN7" s="720">
        <f t="shared" si="3"/>
        <v>0.61471865408476123</v>
      </c>
      <c r="AO7" s="720">
        <f t="shared" si="3"/>
        <v>0.61279617960310395</v>
      </c>
      <c r="AP7" s="720">
        <f t="shared" si="3"/>
        <v>0.61371564087639985</v>
      </c>
      <c r="AQ7" s="720">
        <f t="shared" si="3"/>
        <v>0.61640691417725968</v>
      </c>
      <c r="AR7" s="720">
        <f t="shared" si="3"/>
        <v>0.61777047060346002</v>
      </c>
      <c r="AS7" s="720">
        <f t="shared" si="3"/>
        <v>0.61133364350963848</v>
      </c>
      <c r="AT7" s="720">
        <f t="shared" si="3"/>
        <v>0.61409611167622757</v>
      </c>
      <c r="AU7" s="720">
        <f t="shared" si="3"/>
        <v>0.61128751714516483</v>
      </c>
      <c r="AV7" s="720">
        <f t="shared" si="3"/>
        <v>0.61654032032371042</v>
      </c>
      <c r="AW7" s="689" t="s">
        <v>5</v>
      </c>
      <c r="AX7" s="579" t="s">
        <v>3</v>
      </c>
      <c r="AY7" s="357" t="s">
        <v>188</v>
      </c>
      <c r="AZ7" s="19"/>
      <c r="BA7" s="19"/>
      <c r="BB7" s="19"/>
    </row>
    <row r="8" spans="1:70">
      <c r="A8" s="76" t="s">
        <v>189</v>
      </c>
      <c r="B8" s="18"/>
      <c r="C8" s="19"/>
      <c r="D8" s="314" t="s">
        <v>1</v>
      </c>
      <c r="E8" s="74"/>
      <c r="F8" s="74"/>
      <c r="G8" s="100"/>
      <c r="H8" s="100">
        <f>3.5+1.5+3.6</f>
        <v>8.6</v>
      </c>
      <c r="I8" s="198">
        <v>2.46</v>
      </c>
      <c r="J8" s="211">
        <v>33</v>
      </c>
      <c r="K8" s="211">
        <v>11.6</v>
      </c>
      <c r="L8" s="231">
        <f>12+2.1</f>
        <v>14.1</v>
      </c>
      <c r="M8" s="100"/>
      <c r="N8" s="198">
        <v>3.4</v>
      </c>
      <c r="O8" s="100"/>
      <c r="P8" s="74"/>
      <c r="Q8" s="74">
        <v>2</v>
      </c>
      <c r="R8" s="100">
        <f>3+0.58</f>
        <v>3.58</v>
      </c>
      <c r="S8" s="74">
        <f>19+4</f>
        <v>23</v>
      </c>
      <c r="T8" s="74">
        <v>27</v>
      </c>
      <c r="U8" s="74">
        <v>13</v>
      </c>
      <c r="V8" s="74">
        <v>7</v>
      </c>
      <c r="W8" s="74">
        <f>32</f>
        <v>32</v>
      </c>
      <c r="X8" s="74">
        <v>20.677</v>
      </c>
      <c r="Y8" s="74">
        <f>1+2+3</f>
        <v>6</v>
      </c>
      <c r="Z8" s="74">
        <v>39</v>
      </c>
      <c r="AA8" s="74">
        <v>37</v>
      </c>
      <c r="AB8" s="231">
        <f>35.5-1-6+1</f>
        <v>29.5</v>
      </c>
      <c r="AC8" s="74">
        <v>35</v>
      </c>
      <c r="AD8" s="100">
        <v>31.5</v>
      </c>
      <c r="AE8" s="100">
        <v>100</v>
      </c>
      <c r="AF8" s="100">
        <v>26</v>
      </c>
      <c r="AG8" s="100">
        <v>51</v>
      </c>
      <c r="AH8" s="100">
        <v>42</v>
      </c>
      <c r="AI8" s="100">
        <v>29</v>
      </c>
      <c r="AJ8" s="100">
        <v>28</v>
      </c>
      <c r="AK8" s="100">
        <v>10</v>
      </c>
      <c r="AL8" s="100">
        <v>31</v>
      </c>
      <c r="AM8" s="100">
        <v>21</v>
      </c>
      <c r="AN8" s="100">
        <v>51</v>
      </c>
      <c r="AO8" s="100">
        <v>44</v>
      </c>
      <c r="AP8" s="100">
        <v>30</v>
      </c>
      <c r="AQ8" s="100">
        <v>42</v>
      </c>
      <c r="AR8" s="100">
        <v>41</v>
      </c>
      <c r="AS8" s="100">
        <v>45</v>
      </c>
      <c r="AT8" s="100">
        <v>52</v>
      </c>
      <c r="AU8" s="100">
        <v>57</v>
      </c>
      <c r="AV8" s="100">
        <v>60</v>
      </c>
      <c r="AW8" s="820" t="s">
        <v>83</v>
      </c>
      <c r="AX8" s="579" t="s">
        <v>3</v>
      </c>
      <c r="AY8" s="358">
        <f>SUM(Y8:AJ8)</f>
        <v>454</v>
      </c>
      <c r="AZ8" s="19"/>
      <c r="BA8" s="19"/>
      <c r="BB8" s="19"/>
    </row>
    <row r="9" spans="1:70" ht="15" thickBot="1">
      <c r="A9" s="77" t="s">
        <v>190</v>
      </c>
      <c r="B9" s="310"/>
      <c r="C9" s="32"/>
      <c r="D9" s="315" t="s">
        <v>1</v>
      </c>
      <c r="E9" s="75"/>
      <c r="F9" s="75"/>
      <c r="G9" s="75"/>
      <c r="H9" s="75"/>
      <c r="I9" s="196"/>
      <c r="J9" s="75"/>
      <c r="K9" s="75"/>
      <c r="L9" s="75">
        <f>-4</f>
        <v>-4</v>
      </c>
      <c r="M9" s="196"/>
      <c r="N9" s="75">
        <v>-5.97</v>
      </c>
      <c r="O9" s="280">
        <v>5.85</v>
      </c>
      <c r="P9" s="75"/>
      <c r="Q9" s="75"/>
      <c r="R9" s="196"/>
      <c r="S9" s="75"/>
      <c r="T9" s="280"/>
      <c r="U9" s="366">
        <v>-5</v>
      </c>
      <c r="V9" s="75"/>
      <c r="W9" s="75"/>
      <c r="X9" s="75"/>
      <c r="Y9" s="75"/>
      <c r="Z9" s="75"/>
      <c r="AA9" s="75"/>
      <c r="AB9" s="75"/>
      <c r="AC9" s="75"/>
      <c r="AD9" s="75"/>
      <c r="AE9" s="75"/>
      <c r="AF9" s="75">
        <v>-2</v>
      </c>
      <c r="AG9" s="75"/>
      <c r="AH9" s="75"/>
      <c r="AI9" s="75"/>
      <c r="AJ9" s="75"/>
      <c r="AK9" s="75"/>
      <c r="AL9" s="75"/>
      <c r="AM9" s="75"/>
      <c r="AN9" s="75"/>
      <c r="AO9" s="75"/>
      <c r="AP9" s="75"/>
      <c r="AQ9" s="75"/>
      <c r="AR9" s="75"/>
      <c r="AS9" s="75"/>
      <c r="AT9" s="75"/>
      <c r="AU9" s="75"/>
      <c r="AV9" s="75"/>
      <c r="AW9" s="690"/>
      <c r="AX9" s="579" t="s">
        <v>3</v>
      </c>
      <c r="AY9" s="19"/>
      <c r="AZ9" s="19"/>
      <c r="BA9" s="19"/>
      <c r="BB9" s="19"/>
    </row>
    <row r="10" spans="1:70" s="19" customFormat="1">
      <c r="A10" s="66" t="s">
        <v>191</v>
      </c>
      <c r="B10" s="18"/>
      <c r="C10" s="64"/>
      <c r="D10" s="68"/>
      <c r="E10" s="91"/>
      <c r="F10" s="92">
        <v>2</v>
      </c>
      <c r="G10" s="91"/>
      <c r="H10" s="91"/>
      <c r="I10" s="91"/>
      <c r="J10" s="91"/>
      <c r="K10" s="91"/>
      <c r="L10" s="91"/>
      <c r="M10" s="91"/>
      <c r="N10" s="91"/>
      <c r="O10" s="91"/>
      <c r="P10" s="91"/>
      <c r="Q10" s="91"/>
      <c r="R10" s="320">
        <v>1.6</v>
      </c>
      <c r="S10" s="91">
        <v>1</v>
      </c>
      <c r="T10" s="91"/>
      <c r="U10" s="91">
        <v>1</v>
      </c>
      <c r="V10" s="320"/>
      <c r="W10" s="320"/>
      <c r="X10" s="320"/>
      <c r="Y10" s="91"/>
      <c r="Z10" s="91"/>
      <c r="AA10" s="91"/>
      <c r="AB10" s="502">
        <v>1.5</v>
      </c>
      <c r="AC10" s="91"/>
      <c r="AD10" s="91"/>
      <c r="AE10" s="91"/>
      <c r="AF10" s="91"/>
      <c r="AG10" s="91"/>
      <c r="AH10" s="721"/>
      <c r="AI10" s="722"/>
      <c r="AJ10" s="91"/>
      <c r="AK10" s="91"/>
      <c r="AL10" s="91"/>
      <c r="AM10" s="91"/>
      <c r="AN10" s="91"/>
      <c r="AO10" s="91"/>
      <c r="AP10" s="91"/>
      <c r="AQ10" s="91"/>
      <c r="AR10" s="91"/>
      <c r="AS10" s="91"/>
      <c r="AT10" s="91"/>
      <c r="AU10" s="91"/>
      <c r="AV10" s="91"/>
      <c r="AW10" s="691"/>
      <c r="AX10" s="580" t="s">
        <v>158</v>
      </c>
    </row>
    <row r="11" spans="1:70" s="19" customFormat="1">
      <c r="A11" s="66" t="s">
        <v>192</v>
      </c>
      <c r="B11" s="18"/>
      <c r="D11" s="723"/>
      <c r="E11" s="91"/>
      <c r="F11" s="92"/>
      <c r="G11" s="91"/>
      <c r="H11" s="92">
        <v>3.12</v>
      </c>
      <c r="I11" s="91"/>
      <c r="J11" s="91"/>
      <c r="K11" s="91"/>
      <c r="L11" s="91"/>
      <c r="M11" s="91"/>
      <c r="N11" s="91"/>
      <c r="O11" s="91"/>
      <c r="P11" s="91"/>
      <c r="Q11" s="91"/>
      <c r="R11" s="91"/>
      <c r="S11" s="91"/>
      <c r="T11" s="91"/>
      <c r="U11" s="91"/>
      <c r="V11" s="91"/>
      <c r="W11" s="91"/>
      <c r="X11" s="91"/>
      <c r="Y11" s="91"/>
      <c r="Z11" s="91"/>
      <c r="AA11" s="91"/>
      <c r="AB11" s="91"/>
      <c r="AC11" s="91"/>
      <c r="AD11" s="91"/>
      <c r="AE11" s="724"/>
      <c r="AF11" s="91"/>
      <c r="AG11" s="721"/>
      <c r="AH11" s="721"/>
      <c r="AI11" s="91"/>
      <c r="AJ11" s="91"/>
      <c r="AK11" s="91"/>
      <c r="AL11" s="91"/>
      <c r="AM11" s="91"/>
      <c r="AN11" s="91"/>
      <c r="AO11" s="91"/>
      <c r="AP11" s="91"/>
      <c r="AQ11" s="91"/>
      <c r="AR11" s="91"/>
      <c r="AS11" s="91"/>
      <c r="AT11" s="91"/>
      <c r="AU11" s="91"/>
      <c r="AV11" s="91"/>
      <c r="AW11" s="691"/>
      <c r="AX11" s="580" t="s">
        <v>158</v>
      </c>
      <c r="BA11" s="822" t="s">
        <v>193</v>
      </c>
      <c r="BD11" s="822"/>
    </row>
    <row r="12" spans="1:70" ht="23.25" thickBot="1">
      <c r="A12" s="25" t="s">
        <v>194</v>
      </c>
      <c r="B12" s="18"/>
      <c r="C12" s="19"/>
      <c r="D12" s="34"/>
      <c r="E12" s="19"/>
      <c r="F12" s="19"/>
      <c r="G12" s="187">
        <v>43678</v>
      </c>
      <c r="H12" s="187">
        <v>43698</v>
      </c>
      <c r="I12" s="19"/>
      <c r="J12" s="19"/>
      <c r="K12" s="19"/>
      <c r="L12" s="234">
        <f t="shared" ref="L12:Q12" si="4">L16/1000</f>
        <v>0</v>
      </c>
      <c r="M12" s="234">
        <f t="shared" si="4"/>
        <v>0</v>
      </c>
      <c r="N12" s="234">
        <f t="shared" si="4"/>
        <v>0</v>
      </c>
      <c r="O12" s="234">
        <f t="shared" si="4"/>
        <v>0</v>
      </c>
      <c r="P12" s="234">
        <f t="shared" si="4"/>
        <v>0</v>
      </c>
      <c r="Q12" s="234">
        <f t="shared" si="4"/>
        <v>8.6043339000000003</v>
      </c>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714"/>
      <c r="AX12" s="19"/>
      <c r="AY12" s="19"/>
      <c r="AZ12" s="19"/>
      <c r="BA12" s="19"/>
      <c r="BB12" s="19"/>
    </row>
    <row r="13" spans="1:70" s="55" customFormat="1" ht="15" thickBot="1">
      <c r="A13" s="848" t="s">
        <v>180</v>
      </c>
      <c r="B13" s="849"/>
      <c r="C13" s="302"/>
      <c r="D13" s="303"/>
      <c r="E13" s="58">
        <v>43587</v>
      </c>
      <c r="F13" s="58">
        <v>43618</v>
      </c>
      <c r="G13" s="58">
        <v>43648</v>
      </c>
      <c r="H13" s="58">
        <v>43679</v>
      </c>
      <c r="I13" s="197">
        <v>43710</v>
      </c>
      <c r="J13" s="197">
        <v>43740</v>
      </c>
      <c r="K13" s="58">
        <v>43771</v>
      </c>
      <c r="L13" s="222">
        <v>43801</v>
      </c>
      <c r="M13" s="197">
        <v>43832</v>
      </c>
      <c r="N13" s="197">
        <v>43863</v>
      </c>
      <c r="O13" s="58">
        <v>43892</v>
      </c>
      <c r="P13" s="58">
        <v>43923</v>
      </c>
      <c r="Q13" s="58">
        <v>43953</v>
      </c>
      <c r="R13" s="197">
        <v>43984</v>
      </c>
      <c r="S13" s="197">
        <v>44014</v>
      </c>
      <c r="T13" s="197">
        <v>44045</v>
      </c>
      <c r="U13" s="197">
        <v>44076</v>
      </c>
      <c r="V13" s="197">
        <v>44106</v>
      </c>
      <c r="W13" s="197">
        <v>44137</v>
      </c>
      <c r="X13" s="197">
        <v>44167</v>
      </c>
      <c r="Y13" s="197">
        <f>Y3</f>
        <v>44198</v>
      </c>
      <c r="Z13" s="197">
        <f t="shared" ref="Z13:AV13" si="5">Z3</f>
        <v>44229</v>
      </c>
      <c r="AA13" s="197">
        <f t="shared" si="5"/>
        <v>44257</v>
      </c>
      <c r="AB13" s="197">
        <f t="shared" si="5"/>
        <v>44288</v>
      </c>
      <c r="AC13" s="197">
        <f t="shared" si="5"/>
        <v>44318</v>
      </c>
      <c r="AD13" s="197">
        <f t="shared" si="5"/>
        <v>44349</v>
      </c>
      <c r="AE13" s="197">
        <f t="shared" si="5"/>
        <v>44379</v>
      </c>
      <c r="AF13" s="197">
        <f t="shared" si="5"/>
        <v>44410</v>
      </c>
      <c r="AG13" s="197">
        <f t="shared" si="5"/>
        <v>44441</v>
      </c>
      <c r="AH13" s="197">
        <f t="shared" si="5"/>
        <v>44471</v>
      </c>
      <c r="AI13" s="197">
        <f t="shared" si="5"/>
        <v>44502</v>
      </c>
      <c r="AJ13" s="197">
        <f t="shared" si="5"/>
        <v>44532</v>
      </c>
      <c r="AK13" s="197">
        <f t="shared" si="5"/>
        <v>44563</v>
      </c>
      <c r="AL13" s="197">
        <f t="shared" si="5"/>
        <v>44594</v>
      </c>
      <c r="AM13" s="197">
        <f t="shared" si="5"/>
        <v>44622</v>
      </c>
      <c r="AN13" s="197">
        <f t="shared" si="5"/>
        <v>44653</v>
      </c>
      <c r="AO13" s="197">
        <f t="shared" si="5"/>
        <v>44683</v>
      </c>
      <c r="AP13" s="197">
        <f t="shared" si="5"/>
        <v>44714</v>
      </c>
      <c r="AQ13" s="197">
        <f t="shared" si="5"/>
        <v>44744</v>
      </c>
      <c r="AR13" s="197">
        <f t="shared" si="5"/>
        <v>44775</v>
      </c>
      <c r="AS13" s="197">
        <f t="shared" si="5"/>
        <v>44806</v>
      </c>
      <c r="AT13" s="197">
        <f t="shared" si="5"/>
        <v>44836</v>
      </c>
      <c r="AU13" s="197">
        <f t="shared" si="5"/>
        <v>44867</v>
      </c>
      <c r="AV13" s="197">
        <f t="shared" si="5"/>
        <v>44897</v>
      </c>
      <c r="AW13" s="717"/>
      <c r="AX13" s="54"/>
      <c r="AY13" s="54"/>
      <c r="AZ13" s="54"/>
      <c r="BA13" s="54"/>
      <c r="BB13" s="54"/>
    </row>
    <row r="14" spans="1:70">
      <c r="A14" s="16" t="s">
        <v>92</v>
      </c>
      <c r="B14" s="311"/>
      <c r="C14" s="30"/>
      <c r="D14" s="313"/>
      <c r="E14" s="72"/>
      <c r="F14" s="69"/>
      <c r="G14" s="69"/>
      <c r="H14" s="69"/>
      <c r="I14" s="69"/>
      <c r="J14" s="69"/>
      <c r="K14" s="69"/>
      <c r="L14" s="69"/>
      <c r="M14" s="69"/>
      <c r="N14" s="69"/>
      <c r="O14" s="69"/>
      <c r="P14" s="69"/>
      <c r="Q14" s="69"/>
      <c r="R14" s="316"/>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718"/>
      <c r="AX14" s="19"/>
      <c r="AY14" s="19"/>
      <c r="AZ14" s="19"/>
      <c r="BA14" s="19"/>
      <c r="BB14" s="19"/>
    </row>
    <row r="15" spans="1:70">
      <c r="A15" s="66" t="s">
        <v>195</v>
      </c>
      <c r="B15" s="18"/>
      <c r="C15" s="19"/>
      <c r="D15" s="314" t="s">
        <v>41</v>
      </c>
      <c r="E15" s="62"/>
      <c r="F15" s="62"/>
      <c r="G15" s="62"/>
      <c r="H15" s="63"/>
      <c r="I15" s="62"/>
      <c r="J15" s="63"/>
      <c r="K15" s="62"/>
      <c r="L15" s="62"/>
      <c r="M15" s="62"/>
      <c r="N15" s="62"/>
      <c r="O15" s="62"/>
      <c r="P15" s="62"/>
      <c r="Q15" s="304">
        <v>10820</v>
      </c>
      <c r="R15" s="317">
        <v>10820</v>
      </c>
      <c r="S15" s="304">
        <v>10820</v>
      </c>
      <c r="T15" s="304">
        <v>10820</v>
      </c>
      <c r="U15" s="304">
        <v>10820</v>
      </c>
      <c r="V15" s="232">
        <v>7213.6</v>
      </c>
      <c r="W15" s="232">
        <v>7213.6</v>
      </c>
      <c r="X15" s="304">
        <v>10820</v>
      </c>
      <c r="Y15" s="304">
        <v>10820.4</v>
      </c>
      <c r="Z15" s="304">
        <v>10820.4</v>
      </c>
      <c r="AA15" s="304">
        <v>10820.4</v>
      </c>
      <c r="AB15" s="304">
        <v>10820.4</v>
      </c>
      <c r="AC15" s="304">
        <v>10820.4</v>
      </c>
      <c r="AD15" s="304">
        <v>10820.4</v>
      </c>
      <c r="AE15" s="304">
        <v>10820.4</v>
      </c>
      <c r="AF15" s="304">
        <v>10820.4</v>
      </c>
      <c r="AG15" s="304">
        <v>10820.4</v>
      </c>
      <c r="AH15" s="304">
        <v>10820.4</v>
      </c>
      <c r="AI15" s="304">
        <v>10820.4</v>
      </c>
      <c r="AJ15" s="304">
        <v>10820.4</v>
      </c>
      <c r="AK15" s="304">
        <v>10820.4</v>
      </c>
      <c r="AL15" s="304">
        <v>10820.4</v>
      </c>
      <c r="AM15" s="304">
        <v>10820.4</v>
      </c>
      <c r="AN15" s="304">
        <v>10820.4</v>
      </c>
      <c r="AO15" s="304">
        <v>10820.4</v>
      </c>
      <c r="AP15" s="304">
        <v>10820.4</v>
      </c>
      <c r="AQ15" s="304">
        <v>10820.4</v>
      </c>
      <c r="AR15" s="304">
        <v>10820.4</v>
      </c>
      <c r="AS15" s="304">
        <v>10820.4</v>
      </c>
      <c r="AT15" s="304">
        <v>10820.4</v>
      </c>
      <c r="AU15" s="304">
        <v>10820.4</v>
      </c>
      <c r="AV15" s="304">
        <v>10820.4</v>
      </c>
      <c r="AW15" s="688" t="s">
        <v>159</v>
      </c>
      <c r="AX15" s="579" t="s">
        <v>3</v>
      </c>
      <c r="AY15" s="19"/>
      <c r="AZ15" s="19"/>
      <c r="BA15" s="19"/>
      <c r="BB15" s="19"/>
    </row>
    <row r="16" spans="1:70">
      <c r="A16" s="66" t="s">
        <v>196</v>
      </c>
      <c r="B16" s="18"/>
      <c r="C16" s="19"/>
      <c r="D16" s="314" t="s">
        <v>41</v>
      </c>
      <c r="E16" s="70"/>
      <c r="F16" s="70"/>
      <c r="G16" s="70"/>
      <c r="H16" s="70"/>
      <c r="I16" s="70"/>
      <c r="J16" s="70"/>
      <c r="K16" s="70"/>
      <c r="L16" s="70"/>
      <c r="M16" s="70"/>
      <c r="N16" s="70"/>
      <c r="O16" s="70"/>
      <c r="P16" s="70"/>
      <c r="Q16" s="70">
        <v>8604.3338999999996</v>
      </c>
      <c r="R16" s="318">
        <v>4280.92</v>
      </c>
      <c r="S16" s="70">
        <v>4603.84</v>
      </c>
      <c r="T16" s="70">
        <v>5097.9400000000005</v>
      </c>
      <c r="U16" s="70">
        <v>8486.9800000000014</v>
      </c>
      <c r="V16" s="70">
        <v>4215.0621000000001</v>
      </c>
      <c r="W16" s="70">
        <v>5552.8707000000004</v>
      </c>
      <c r="X16" s="70">
        <v>3405.2722000000003</v>
      </c>
      <c r="Y16" s="70">
        <v>8673.82</v>
      </c>
      <c r="Z16" s="70">
        <f>Y16-Z17+((Z55-Z105-Z107-Z108-Z110-Z111-Z112-Z113)*1000)</f>
        <v>4479.3540188754459</v>
      </c>
      <c r="AA16" s="70">
        <v>7425.2542080000003</v>
      </c>
      <c r="AB16" s="70">
        <v>8816.1281999999992</v>
      </c>
      <c r="AC16" s="70">
        <v>6700.0745879999995</v>
      </c>
      <c r="AD16" s="70">
        <v>8681.2604339999998</v>
      </c>
      <c r="AE16" s="70">
        <v>5998.8068999999996</v>
      </c>
      <c r="AF16" s="70">
        <v>8494.6376579999996</v>
      </c>
      <c r="AG16" s="70">
        <v>4459.3620000000001</v>
      </c>
      <c r="AH16" s="70">
        <f t="shared" ref="AH16:AV16" si="6">AG16-AH17+((AH55-AH105-AH107-AH108-AH110-AH111-AH112-AH113)*1000)</f>
        <v>4621.4388122022883</v>
      </c>
      <c r="AI16" s="70">
        <f t="shared" si="6"/>
        <v>6043.7542032872343</v>
      </c>
      <c r="AJ16" s="70">
        <f t="shared" si="6"/>
        <v>3439.7126098932526</v>
      </c>
      <c r="AK16" s="70">
        <f t="shared" si="6"/>
        <v>4579.8544139494552</v>
      </c>
      <c r="AL16" s="70">
        <f t="shared" si="6"/>
        <v>8366.1359175344533</v>
      </c>
      <c r="AM16" s="70">
        <f t="shared" si="6"/>
        <v>4506.2777215906563</v>
      </c>
      <c r="AN16" s="70">
        <f t="shared" si="6"/>
        <v>8468.5555230507744</v>
      </c>
      <c r="AO16" s="70">
        <f t="shared" si="6"/>
        <v>4949.6072243016688</v>
      </c>
      <c r="AP16" s="70">
        <f t="shared" si="6"/>
        <v>5541.9354369863531</v>
      </c>
      <c r="AQ16" s="70">
        <f t="shared" si="6"/>
        <v>5457.1076733904601</v>
      </c>
      <c r="AR16" s="70">
        <f t="shared" si="6"/>
        <v>5780.8151306374384</v>
      </c>
      <c r="AS16" s="70">
        <f t="shared" si="6"/>
        <v>5813.7587447488277</v>
      </c>
      <c r="AT16" s="70">
        <f t="shared" si="6"/>
        <v>6181.133812663993</v>
      </c>
      <c r="AU16" s="70">
        <f t="shared" si="6"/>
        <v>5609.53842666112</v>
      </c>
      <c r="AV16" s="70">
        <f t="shared" si="6"/>
        <v>5384.7253612558525</v>
      </c>
      <c r="AW16" s="689" t="s">
        <v>5</v>
      </c>
      <c r="AX16" s="579" t="s">
        <v>3</v>
      </c>
      <c r="AY16" s="19"/>
      <c r="AZ16" s="19"/>
      <c r="BA16" s="19"/>
      <c r="BB16" s="19"/>
    </row>
    <row r="17" spans="1:54">
      <c r="A17" s="66" t="s">
        <v>197</v>
      </c>
      <c r="B17" s="18"/>
      <c r="C17" s="19"/>
      <c r="D17" s="314" t="s">
        <v>41</v>
      </c>
      <c r="E17" s="70"/>
      <c r="F17" s="70"/>
      <c r="G17" s="70"/>
      <c r="H17" s="70"/>
      <c r="I17" s="70"/>
      <c r="J17" s="70"/>
      <c r="K17" s="70"/>
      <c r="L17" s="70"/>
      <c r="M17" s="70"/>
      <c r="N17" s="70"/>
      <c r="O17" s="70"/>
      <c r="P17" s="70"/>
      <c r="Q17" s="70"/>
      <c r="R17" s="318">
        <v>4303.2400800000014</v>
      </c>
      <c r="S17" s="70">
        <v>2500</v>
      </c>
      <c r="T17" s="70">
        <v>8500</v>
      </c>
      <c r="U17" s="70">
        <v>1000</v>
      </c>
      <c r="V17" s="70">
        <v>8000</v>
      </c>
      <c r="W17" s="70">
        <v>5005</v>
      </c>
      <c r="X17" s="70">
        <v>3000</v>
      </c>
      <c r="Y17" s="70">
        <v>7000</v>
      </c>
      <c r="Z17" s="70">
        <v>6000</v>
      </c>
      <c r="AA17" s="70">
        <f>2000</f>
        <v>2000</v>
      </c>
      <c r="AB17" s="70">
        <v>18500</v>
      </c>
      <c r="AC17" s="70">
        <f>6560-300</f>
        <v>6260</v>
      </c>
      <c r="AD17" s="70">
        <v>3900</v>
      </c>
      <c r="AE17" s="70">
        <v>3200</v>
      </c>
      <c r="AF17" s="70">
        <v>14500</v>
      </c>
      <c r="AG17" s="70">
        <v>4500</v>
      </c>
      <c r="AH17" s="70">
        <v>14100</v>
      </c>
      <c r="AI17" s="70">
        <v>6300</v>
      </c>
      <c r="AJ17" s="70">
        <v>3000</v>
      </c>
      <c r="AK17" s="70">
        <v>3000</v>
      </c>
      <c r="AL17" s="70">
        <v>3000</v>
      </c>
      <c r="AM17" s="70">
        <v>3000</v>
      </c>
      <c r="AN17" s="70">
        <v>3000</v>
      </c>
      <c r="AO17" s="70">
        <v>3500</v>
      </c>
      <c r="AP17" s="70">
        <v>3500</v>
      </c>
      <c r="AQ17" s="70">
        <v>3500</v>
      </c>
      <c r="AR17" s="70">
        <v>3500</v>
      </c>
      <c r="AS17" s="70">
        <v>3500</v>
      </c>
      <c r="AT17" s="70">
        <v>3500</v>
      </c>
      <c r="AU17" s="70">
        <v>3500</v>
      </c>
      <c r="AV17" s="70">
        <v>3500</v>
      </c>
      <c r="AW17" s="710" t="s">
        <v>198</v>
      </c>
      <c r="AX17" s="579" t="s">
        <v>3</v>
      </c>
      <c r="AY17" s="358">
        <f>SUM(Y17:AJ17)</f>
        <v>89260</v>
      </c>
      <c r="AZ17" s="19"/>
      <c r="BA17" s="822" t="s">
        <v>199</v>
      </c>
      <c r="BB17" s="19"/>
    </row>
    <row r="18" spans="1:54" ht="15" thickBot="1">
      <c r="A18" s="189" t="s">
        <v>200</v>
      </c>
      <c r="B18" s="310" t="s">
        <v>201</v>
      </c>
      <c r="C18" s="32"/>
      <c r="D18" s="315" t="s">
        <v>187</v>
      </c>
      <c r="E18" s="79" t="e">
        <f>E16/E15</f>
        <v>#DIV/0!</v>
      </c>
      <c r="F18" s="79" t="e">
        <f t="shared" ref="F18:Y18" si="7">F16/F15</f>
        <v>#DIV/0!</v>
      </c>
      <c r="G18" s="79" t="e">
        <f t="shared" si="7"/>
        <v>#DIV/0!</v>
      </c>
      <c r="H18" s="79" t="e">
        <f t="shared" si="7"/>
        <v>#DIV/0!</v>
      </c>
      <c r="I18" s="79" t="e">
        <f t="shared" si="7"/>
        <v>#DIV/0!</v>
      </c>
      <c r="J18" s="79" t="e">
        <f t="shared" si="7"/>
        <v>#DIV/0!</v>
      </c>
      <c r="K18" s="79" t="e">
        <f t="shared" si="7"/>
        <v>#DIV/0!</v>
      </c>
      <c r="L18" s="79" t="e">
        <f t="shared" si="7"/>
        <v>#DIV/0!</v>
      </c>
      <c r="M18" s="79" t="e">
        <f t="shared" si="7"/>
        <v>#DIV/0!</v>
      </c>
      <c r="N18" s="79" t="e">
        <f t="shared" si="7"/>
        <v>#DIV/0!</v>
      </c>
      <c r="O18" s="79" t="e">
        <f t="shared" si="7"/>
        <v>#DIV/0!</v>
      </c>
      <c r="P18" s="79" t="e">
        <f t="shared" si="7"/>
        <v>#DIV/0!</v>
      </c>
      <c r="Q18" s="79">
        <f t="shared" si="7"/>
        <v>0.79522494454713488</v>
      </c>
      <c r="R18" s="333">
        <f t="shared" si="7"/>
        <v>0.39564879852125695</v>
      </c>
      <c r="S18" s="334">
        <f t="shared" si="7"/>
        <v>0.42549353049907579</v>
      </c>
      <c r="T18" s="334">
        <f t="shared" si="7"/>
        <v>0.47115896487985215</v>
      </c>
      <c r="U18" s="334">
        <f t="shared" si="7"/>
        <v>0.7843789279112755</v>
      </c>
      <c r="V18" s="334">
        <f t="shared" si="7"/>
        <v>0.58432157313962518</v>
      </c>
      <c r="W18" s="334">
        <f t="shared" si="7"/>
        <v>0.76977801652434297</v>
      </c>
      <c r="X18" s="334">
        <f t="shared" si="7"/>
        <v>0.31472016635859523</v>
      </c>
      <c r="Y18" s="334">
        <f t="shared" si="7"/>
        <v>0.80161731544120363</v>
      </c>
      <c r="Z18" s="453">
        <f>Z16/Z15</f>
        <v>0.41397305264827972</v>
      </c>
      <c r="AA18" s="453">
        <f t="shared" ref="AA18:AV18" si="8">AA16/AA15</f>
        <v>0.68622733059775987</v>
      </c>
      <c r="AB18" s="453">
        <f t="shared" si="8"/>
        <v>0.81476915825662632</v>
      </c>
      <c r="AC18" s="453">
        <f t="shared" si="8"/>
        <v>0.61920766219363421</v>
      </c>
      <c r="AD18" s="453">
        <f t="shared" si="8"/>
        <v>0.80230494565820121</v>
      </c>
      <c r="AE18" s="453">
        <f t="shared" si="8"/>
        <v>0.55439788732394368</v>
      </c>
      <c r="AF18" s="453">
        <f>AF16/AF15</f>
        <v>0.78505763724076738</v>
      </c>
      <c r="AG18" s="453">
        <f t="shared" si="8"/>
        <v>0.41212542974381727</v>
      </c>
      <c r="AH18" s="453">
        <f t="shared" si="8"/>
        <v>0.42710424866015012</v>
      </c>
      <c r="AI18" s="453">
        <f>AI16/AI15</f>
        <v>0.55855182833233841</v>
      </c>
      <c r="AJ18" s="453">
        <f t="shared" si="8"/>
        <v>0.31789144670190128</v>
      </c>
      <c r="AK18" s="453">
        <f t="shared" si="8"/>
        <v>0.42326110069400902</v>
      </c>
      <c r="AL18" s="453">
        <f t="shared" si="8"/>
        <v>0.77318176015068329</v>
      </c>
      <c r="AM18" s="453">
        <f t="shared" si="8"/>
        <v>0.4164612880846047</v>
      </c>
      <c r="AN18" s="453">
        <f t="shared" si="8"/>
        <v>0.78264717783545656</v>
      </c>
      <c r="AO18" s="453">
        <f t="shared" si="8"/>
        <v>0.45743292524321366</v>
      </c>
      <c r="AP18" s="453">
        <f t="shared" si="8"/>
        <v>0.51217472893667082</v>
      </c>
      <c r="AQ18" s="453">
        <f t="shared" si="8"/>
        <v>0.50433511454201885</v>
      </c>
      <c r="AR18" s="453">
        <f t="shared" si="8"/>
        <v>0.53425151848706509</v>
      </c>
      <c r="AS18" s="453">
        <f t="shared" si="8"/>
        <v>0.53729610224657387</v>
      </c>
      <c r="AT18" s="453">
        <f t="shared" si="8"/>
        <v>0.57124818053528459</v>
      </c>
      <c r="AU18" s="453">
        <f t="shared" si="8"/>
        <v>0.51842246374081546</v>
      </c>
      <c r="AV18" s="453">
        <f t="shared" si="8"/>
        <v>0.49764568419428606</v>
      </c>
      <c r="AW18" s="689" t="s">
        <v>5</v>
      </c>
      <c r="AX18" s="579" t="s">
        <v>3</v>
      </c>
      <c r="AY18" s="19"/>
      <c r="AZ18" s="19"/>
      <c r="BA18" s="19"/>
      <c r="BB18" s="19"/>
    </row>
    <row r="19" spans="1:54" s="19" customFormat="1">
      <c r="A19" s="3" t="s">
        <v>202</v>
      </c>
      <c r="B19" s="18"/>
      <c r="R19" s="64">
        <f t="shared" ref="R19:AV19" si="9">R55-R105-R107-R110-R111-R113</f>
        <v>-2.0173819999998344E-2</v>
      </c>
      <c r="S19" s="64">
        <f t="shared" si="9"/>
        <v>5.0584090909090627</v>
      </c>
      <c r="T19" s="64">
        <f t="shared" si="9"/>
        <v>7.5176373626373696</v>
      </c>
      <c r="U19" s="64">
        <f t="shared" si="9"/>
        <v>0.61100000000000709</v>
      </c>
      <c r="V19" s="64">
        <f t="shared" si="9"/>
        <v>4.01</v>
      </c>
      <c r="W19" s="64">
        <f t="shared" si="9"/>
        <v>6.3309999999999977</v>
      </c>
      <c r="X19" s="64">
        <f t="shared" si="9"/>
        <v>1.0260000000000011</v>
      </c>
      <c r="Y19" s="64">
        <f t="shared" si="9"/>
        <v>11.852380729154897</v>
      </c>
      <c r="Z19" s="64">
        <f t="shared" si="9"/>
        <v>6.3055340188754467</v>
      </c>
      <c r="AA19" s="64">
        <f t="shared" si="9"/>
        <v>11.984000000000007</v>
      </c>
      <c r="AB19" s="64">
        <f t="shared" si="9"/>
        <v>19.509000000000011</v>
      </c>
      <c r="AC19" s="64">
        <f t="shared" si="9"/>
        <v>6.1730000000000036</v>
      </c>
      <c r="AD19" s="64">
        <f t="shared" si="9"/>
        <v>12.952</v>
      </c>
      <c r="AE19" s="64">
        <f t="shared" si="9"/>
        <v>-0.19799999999999685</v>
      </c>
      <c r="AF19" s="64">
        <f t="shared" si="9"/>
        <v>25.516651273033133</v>
      </c>
      <c r="AG19" s="64">
        <f t="shared" si="9"/>
        <v>17.629616232137248</v>
      </c>
      <c r="AH19" s="64">
        <f t="shared" si="9"/>
        <v>30.770076812202284</v>
      </c>
      <c r="AI19" s="64">
        <f t="shared" si="9"/>
        <v>14.556315391084945</v>
      </c>
      <c r="AJ19" s="64">
        <f t="shared" si="9"/>
        <v>6.7959584066060188</v>
      </c>
      <c r="AK19" s="64">
        <f t="shared" si="9"/>
        <v>8.1401418040562028</v>
      </c>
      <c r="AL19" s="64">
        <f t="shared" si="9"/>
        <v>10.786281503584998</v>
      </c>
      <c r="AM19" s="64">
        <f t="shared" si="9"/>
        <v>3.1401418040562028</v>
      </c>
      <c r="AN19" s="64">
        <f t="shared" si="9"/>
        <v>9.9622778014601181</v>
      </c>
      <c r="AO19" s="64">
        <f t="shared" si="9"/>
        <v>2.9810517012508946</v>
      </c>
      <c r="AP19" s="64">
        <f t="shared" si="9"/>
        <v>9.0923282126846843</v>
      </c>
      <c r="AQ19" s="64">
        <f t="shared" si="9"/>
        <v>9.4151722364041071</v>
      </c>
      <c r="AR19" s="64">
        <f t="shared" si="9"/>
        <v>3.8237074572469787</v>
      </c>
      <c r="AS19" s="64">
        <f t="shared" si="9"/>
        <v>9.5329436141113888</v>
      </c>
      <c r="AT19" s="64">
        <f t="shared" si="9"/>
        <v>9.8673750679151659</v>
      </c>
      <c r="AU19" s="64">
        <f t="shared" si="9"/>
        <v>8.9284046139971274</v>
      </c>
      <c r="AV19" s="64">
        <f t="shared" si="9"/>
        <v>9.275186934594732</v>
      </c>
      <c r="AW19" s="689" t="s">
        <v>5</v>
      </c>
      <c r="AX19" s="580" t="s">
        <v>158</v>
      </c>
      <c r="BA19" s="357" t="s">
        <v>203</v>
      </c>
    </row>
    <row r="20" spans="1:54" ht="23.25" outlineLevel="1" thickBot="1">
      <c r="A20" s="25" t="s">
        <v>204</v>
      </c>
      <c r="B20" s="18"/>
      <c r="C20" s="19"/>
      <c r="D20" s="34"/>
      <c r="E20" s="19"/>
      <c r="F20" s="19"/>
      <c r="G20" s="187">
        <v>43678</v>
      </c>
      <c r="H20" s="187">
        <v>43698</v>
      </c>
      <c r="I20" s="19"/>
      <c r="J20" s="19"/>
      <c r="K20" s="19"/>
      <c r="L20" s="234">
        <f t="shared" ref="L20:Q20" si="10">L24/1000</f>
        <v>0</v>
      </c>
      <c r="M20" s="234">
        <f t="shared" si="10"/>
        <v>0</v>
      </c>
      <c r="N20" s="234">
        <f t="shared" si="10"/>
        <v>0</v>
      </c>
      <c r="O20" s="234">
        <f t="shared" si="10"/>
        <v>0</v>
      </c>
      <c r="P20" s="234">
        <f t="shared" si="10"/>
        <v>0</v>
      </c>
      <c r="Q20" s="234">
        <f t="shared" si="10"/>
        <v>20.938500000000001</v>
      </c>
      <c r="R20" s="234"/>
      <c r="S20" s="234"/>
      <c r="T20" s="234"/>
      <c r="U20" s="234"/>
      <c r="V20" s="234"/>
      <c r="W20" s="234"/>
      <c r="X20" s="234"/>
      <c r="Y20" s="234"/>
      <c r="Z20" s="234"/>
      <c r="AA20" s="234"/>
      <c r="AB20" s="234"/>
      <c r="AC20" s="234"/>
      <c r="AD20" s="234"/>
      <c r="AE20" s="234"/>
      <c r="AF20" s="234"/>
      <c r="AG20" s="234"/>
      <c r="AH20" s="234"/>
      <c r="AI20" s="234"/>
      <c r="AJ20" s="234"/>
      <c r="AK20" s="234"/>
      <c r="AL20" s="234"/>
      <c r="AM20" s="234"/>
      <c r="AN20" s="234"/>
      <c r="AO20" s="234"/>
      <c r="AP20" s="234"/>
      <c r="AQ20" s="234"/>
      <c r="AR20" s="234"/>
      <c r="AS20" s="234"/>
      <c r="AT20" s="234"/>
      <c r="AU20" s="234"/>
      <c r="AV20" s="234"/>
      <c r="AW20" s="714"/>
      <c r="AX20" s="19"/>
      <c r="AY20" s="19"/>
      <c r="AZ20" s="19"/>
      <c r="BA20" s="19"/>
      <c r="BB20" s="19"/>
    </row>
    <row r="21" spans="1:54" s="55" customFormat="1" ht="15" outlineLevel="1" thickBot="1">
      <c r="A21" s="848" t="s">
        <v>180</v>
      </c>
      <c r="B21" s="849"/>
      <c r="C21" s="302"/>
      <c r="D21" s="303"/>
      <c r="E21" s="57">
        <v>43587</v>
      </c>
      <c r="F21" s="58">
        <v>43618</v>
      </c>
      <c r="G21" s="58">
        <v>43648</v>
      </c>
      <c r="H21" s="58">
        <v>43679</v>
      </c>
      <c r="I21" s="197">
        <v>43710</v>
      </c>
      <c r="J21" s="197">
        <v>43740</v>
      </c>
      <c r="K21" s="58">
        <v>43771</v>
      </c>
      <c r="L21" s="222">
        <v>43801</v>
      </c>
      <c r="M21" s="197">
        <v>43832</v>
      </c>
      <c r="N21" s="197">
        <v>43863</v>
      </c>
      <c r="O21" s="58">
        <v>43892</v>
      </c>
      <c r="P21" s="58">
        <v>43923</v>
      </c>
      <c r="Q21" s="58">
        <v>43953</v>
      </c>
      <c r="R21" s="197">
        <v>43984</v>
      </c>
      <c r="S21" s="197">
        <v>44014</v>
      </c>
      <c r="T21" s="197">
        <v>44045</v>
      </c>
      <c r="U21" s="197">
        <v>44076</v>
      </c>
      <c r="V21" s="197">
        <v>44106</v>
      </c>
      <c r="W21" s="197">
        <v>44137</v>
      </c>
      <c r="X21" s="197">
        <v>44167</v>
      </c>
      <c r="Y21" s="197">
        <f>Y3</f>
        <v>44198</v>
      </c>
      <c r="Z21" s="197">
        <f t="shared" ref="Z21:AV21" si="11">Z3</f>
        <v>44229</v>
      </c>
      <c r="AA21" s="197">
        <f t="shared" si="11"/>
        <v>44257</v>
      </c>
      <c r="AB21" s="197">
        <f t="shared" si="11"/>
        <v>44288</v>
      </c>
      <c r="AC21" s="197">
        <f t="shared" si="11"/>
        <v>44318</v>
      </c>
      <c r="AD21" s="197">
        <f t="shared" si="11"/>
        <v>44349</v>
      </c>
      <c r="AE21" s="197">
        <f t="shared" si="11"/>
        <v>44379</v>
      </c>
      <c r="AF21" s="197">
        <f t="shared" si="11"/>
        <v>44410</v>
      </c>
      <c r="AG21" s="197">
        <f t="shared" si="11"/>
        <v>44441</v>
      </c>
      <c r="AH21" s="197">
        <f t="shared" si="11"/>
        <v>44471</v>
      </c>
      <c r="AI21" s="197">
        <f t="shared" si="11"/>
        <v>44502</v>
      </c>
      <c r="AJ21" s="197">
        <f t="shared" si="11"/>
        <v>44532</v>
      </c>
      <c r="AK21" s="197">
        <f t="shared" si="11"/>
        <v>44563</v>
      </c>
      <c r="AL21" s="197">
        <f t="shared" si="11"/>
        <v>44594</v>
      </c>
      <c r="AM21" s="197">
        <f t="shared" si="11"/>
        <v>44622</v>
      </c>
      <c r="AN21" s="197">
        <f t="shared" si="11"/>
        <v>44653</v>
      </c>
      <c r="AO21" s="197">
        <f t="shared" si="11"/>
        <v>44683</v>
      </c>
      <c r="AP21" s="197">
        <f t="shared" si="11"/>
        <v>44714</v>
      </c>
      <c r="AQ21" s="197">
        <f t="shared" si="11"/>
        <v>44744</v>
      </c>
      <c r="AR21" s="197">
        <f t="shared" si="11"/>
        <v>44775</v>
      </c>
      <c r="AS21" s="197">
        <f t="shared" si="11"/>
        <v>44806</v>
      </c>
      <c r="AT21" s="197">
        <f t="shared" si="11"/>
        <v>44836</v>
      </c>
      <c r="AU21" s="197">
        <f t="shared" si="11"/>
        <v>44867</v>
      </c>
      <c r="AV21" s="197">
        <f t="shared" si="11"/>
        <v>44897</v>
      </c>
      <c r="AW21" s="717"/>
      <c r="AX21" s="19"/>
      <c r="AY21" s="54"/>
      <c r="AZ21" s="54"/>
      <c r="BA21" s="54"/>
      <c r="BB21" s="54"/>
    </row>
    <row r="22" spans="1:54" outlineLevel="1">
      <c r="A22" s="16" t="s">
        <v>92</v>
      </c>
      <c r="B22" s="311"/>
      <c r="C22" s="30"/>
      <c r="D22" s="313"/>
      <c r="E22" s="72"/>
      <c r="F22" s="69"/>
      <c r="G22" s="69"/>
      <c r="H22" s="69"/>
      <c r="I22" s="69"/>
      <c r="J22" s="69"/>
      <c r="K22" s="69"/>
      <c r="L22" s="69"/>
      <c r="M22" s="69"/>
      <c r="N22" s="69"/>
      <c r="O22" s="69"/>
      <c r="P22" s="69"/>
      <c r="Q22" s="69"/>
      <c r="R22" s="316"/>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718"/>
      <c r="AX22" s="19"/>
      <c r="AY22" s="19"/>
      <c r="AZ22" s="19"/>
      <c r="BA22" s="19"/>
      <c r="BB22" s="19"/>
    </row>
    <row r="23" spans="1:54" outlineLevel="1">
      <c r="A23" s="66" t="s">
        <v>205</v>
      </c>
      <c r="B23" s="18"/>
      <c r="C23" s="19"/>
      <c r="D23" s="314" t="s">
        <v>41</v>
      </c>
      <c r="E23" s="62"/>
      <c r="F23" s="62"/>
      <c r="G23" s="62"/>
      <c r="H23" s="63"/>
      <c r="I23" s="62"/>
      <c r="J23" s="63"/>
      <c r="K23" s="62"/>
      <c r="L23" s="62"/>
      <c r="M23" s="62"/>
      <c r="N23" s="62"/>
      <c r="O23" s="62"/>
      <c r="P23" s="62"/>
      <c r="Q23" s="63">
        <v>34970.800000000003</v>
      </c>
      <c r="R23" s="63">
        <f>R5-R15</f>
        <v>34970.800000000003</v>
      </c>
      <c r="S23" s="63">
        <f>S5-S15</f>
        <v>34970.800000000003</v>
      </c>
      <c r="T23" s="63">
        <v>34970.800000000003</v>
      </c>
      <c r="U23" s="63">
        <v>34970.800000000003</v>
      </c>
      <c r="V23" s="304">
        <v>38804.400000000001</v>
      </c>
      <c r="W23" s="304">
        <v>38804.400000000001</v>
      </c>
      <c r="X23" s="304">
        <v>38804.800000000003</v>
      </c>
      <c r="Y23" s="304">
        <v>38804.400000000009</v>
      </c>
      <c r="Z23" s="232">
        <v>34970.400000000001</v>
      </c>
      <c r="AA23" s="232">
        <v>32821.200000000004</v>
      </c>
      <c r="AB23" s="304">
        <v>36655.22</v>
      </c>
      <c r="AC23" s="232">
        <v>36655.22</v>
      </c>
      <c r="AD23" s="232">
        <v>32821.200000000004</v>
      </c>
      <c r="AE23" s="232">
        <v>32821.200000000004</v>
      </c>
      <c r="AF23" s="304">
        <v>36655.200000000004</v>
      </c>
      <c r="AG23" s="304">
        <v>36655.200000000004</v>
      </c>
      <c r="AH23" s="232">
        <v>32821.200000000004</v>
      </c>
      <c r="AI23" s="232">
        <v>32821.200000000004</v>
      </c>
      <c r="AJ23" s="304">
        <v>36655.200000000004</v>
      </c>
      <c r="AK23" s="304">
        <v>36655.200000000004</v>
      </c>
      <c r="AL23" s="304">
        <v>36655.200000000004</v>
      </c>
      <c r="AM23" s="304">
        <v>36655.200000000004</v>
      </c>
      <c r="AN23" s="304">
        <v>36655.200000000004</v>
      </c>
      <c r="AO23" s="304">
        <v>36655.200000000004</v>
      </c>
      <c r="AP23" s="304">
        <v>36655.200000000004</v>
      </c>
      <c r="AQ23" s="304">
        <v>36655.200000000004</v>
      </c>
      <c r="AR23" s="304">
        <v>36655.200000000004</v>
      </c>
      <c r="AS23" s="304">
        <v>36655.200000000004</v>
      </c>
      <c r="AT23" s="304">
        <v>36655.200000000004</v>
      </c>
      <c r="AU23" s="304">
        <v>36655.200000000004</v>
      </c>
      <c r="AV23" s="304">
        <v>36655.200000000004</v>
      </c>
      <c r="AW23" s="688" t="s">
        <v>159</v>
      </c>
      <c r="AX23" s="579" t="s">
        <v>3</v>
      </c>
      <c r="AY23" s="19"/>
      <c r="AZ23" s="19"/>
      <c r="BA23" s="19"/>
      <c r="BB23" s="19"/>
    </row>
    <row r="24" spans="1:54" outlineLevel="1">
      <c r="A24" s="67" t="s">
        <v>206</v>
      </c>
      <c r="B24" s="18"/>
      <c r="C24" s="19"/>
      <c r="D24" s="314" t="s">
        <v>41</v>
      </c>
      <c r="E24" s="70"/>
      <c r="F24" s="70"/>
      <c r="G24" s="70"/>
      <c r="H24" s="70"/>
      <c r="I24" s="70"/>
      <c r="J24" s="70"/>
      <c r="K24" s="70"/>
      <c r="L24" s="70"/>
      <c r="M24" s="70"/>
      <c r="N24" s="70"/>
      <c r="O24" s="70"/>
      <c r="P24" s="70"/>
      <c r="Q24" s="70">
        <v>20938.5</v>
      </c>
      <c r="R24" s="70">
        <v>10177.919999999998</v>
      </c>
      <c r="S24" s="70">
        <v>13403.88</v>
      </c>
      <c r="T24" s="70">
        <v>10026.720000000001</v>
      </c>
      <c r="U24" s="70">
        <v>18209.88</v>
      </c>
      <c r="V24" s="70">
        <v>10209.780000000001</v>
      </c>
      <c r="W24" s="70">
        <v>16867.98</v>
      </c>
      <c r="X24" s="70">
        <v>14649.770160000002</v>
      </c>
      <c r="Y24" s="70">
        <v>15728.580000000002</v>
      </c>
      <c r="Z24" s="70">
        <f>Y24+Z17+((Z56+Z61+Z8-Z9+Z10-Z106-Z109-Z114-Z115-Z116-Z117-Z118-Z119-Z120-Z121-Z122-Z123-Z124-Z125-Z126-Z127-Z128-Z129-Z130-Z131-Z132-Z133-Z134-Z135-Z136-Z137-Z138-Z139-Z143-Z144-Z145-Z146-Z147-Z148-Z149-Z150-Z151-Z152-Z153-Z154-Z155-Z156-Z157-Z158-Z159)*1000)</f>
        <v>25479.838805474872</v>
      </c>
      <c r="AA24" s="70">
        <v>15617.668320000001</v>
      </c>
      <c r="AB24" s="70">
        <v>25090.560000000001</v>
      </c>
      <c r="AC24" s="70">
        <v>27014.839200000002</v>
      </c>
      <c r="AD24" s="70">
        <f>AC24+AD17+((AD56+AD61+AD8-AD9+AD10-AD106-AD109-AD114-AD115-AD116-AD117-AD118-AD119-AD120-AD121-AD122-AD123-AD124-AD125-AD126-AD127-AD128-AD129-AD130-AD131-AD132-AD133-AD134-AD135-AD136-AD137-AD138-AD139-AD143-AD144-AD145-AD146-AD147-AD148-AD149-AD150-AD151-AD152-AD153-AD154-AD155-AD156-AD157-AD158-AD159)*1000)</f>
        <v>12951.692701773027</v>
      </c>
      <c r="AE24" s="70">
        <f>AD24+AE17+((AE56+AE61+AE8-AE9+AE10-AE106-AE109-AE114-AE115-AE116-AE117-AE118-AE119-AE120-AE121-AE122-AE123-AE124-AE125-AE126-AE127-AE128-AE129-AE130-AE131-AE132-AE133-AE134-AE135-AE136-AE137-AE138-AE139-AE143-AE144-AE145-AE146-AE147-AE148-AE149-AE150-AE151-AE152-AE153-AE154-AE155-AE156-AE157-AE158-AE159)*1000)</f>
        <v>14310.692701773016</v>
      </c>
      <c r="AF24" s="70">
        <v>19415.000700000001</v>
      </c>
      <c r="AG24" s="70">
        <v>9421.9200000000019</v>
      </c>
      <c r="AH24" s="70">
        <f t="shared" ref="AH24:AV24" si="12">AG24+AH17+((AH56+AH61+AH8-AH9+AH10-AH106-AH109-AH114-AH115-AH116-AH117-AH118-AH119-AH120-AH121-AH122-AH123-AH124-AH125-AH126-AH127-AH128-AH129-AH130-AH131-AH132-AH133-AH134-AH135-AH136-AH137-AH138-AH139-AH143-AH144-AH145-AH146-AH147-AH148-AH149-AH150-AH151-AH152-AH153-AH154-AH155-AH156-AH157-AH158-AH159)*1000)</f>
        <v>11605.115029018183</v>
      </c>
      <c r="AI24" s="70">
        <f t="shared" si="12"/>
        <v>13678.077810834815</v>
      </c>
      <c r="AJ24" s="70">
        <f t="shared" si="12"/>
        <v>20192.218693005809</v>
      </c>
      <c r="AK24" s="70">
        <f t="shared" si="12"/>
        <v>24285.776755689669</v>
      </c>
      <c r="AL24" s="70">
        <f t="shared" si="12"/>
        <v>20479.233173663906</v>
      </c>
      <c r="AM24" s="70">
        <f t="shared" si="12"/>
        <v>23226.937542934462</v>
      </c>
      <c r="AN24" s="70">
        <f t="shared" si="12"/>
        <v>20715.581410815772</v>
      </c>
      <c r="AO24" s="70">
        <f t="shared" si="12"/>
        <v>24143.25908006349</v>
      </c>
      <c r="AP24" s="70">
        <f t="shared" si="12"/>
        <v>23594.582843005293</v>
      </c>
      <c r="AQ24" s="70">
        <f t="shared" si="12"/>
        <v>23807.180421323479</v>
      </c>
      <c r="AR24" s="70">
        <f t="shared" si="12"/>
        <v>23548.208623544215</v>
      </c>
      <c r="AS24" s="70">
        <f t="shared" si="12"/>
        <v>23209.672781057387</v>
      </c>
      <c r="AT24" s="70">
        <f t="shared" si="12"/>
        <v>22973.447546831947</v>
      </c>
      <c r="AU24" s="70">
        <f t="shared" si="12"/>
        <v>23411.703222315926</v>
      </c>
      <c r="AV24" s="70">
        <f t="shared" si="12"/>
        <v>23885.896270304616</v>
      </c>
      <c r="AW24" s="710" t="s">
        <v>184</v>
      </c>
      <c r="AX24" s="579" t="s">
        <v>3</v>
      </c>
      <c r="AY24" s="822"/>
      <c r="AZ24" s="19"/>
      <c r="BA24" s="19"/>
      <c r="BB24" s="19"/>
    </row>
    <row r="25" spans="1:54" ht="15" outlineLevel="1" thickBot="1">
      <c r="A25" s="189" t="s">
        <v>207</v>
      </c>
      <c r="B25" s="310"/>
      <c r="C25" s="32"/>
      <c r="D25" s="315" t="s">
        <v>187</v>
      </c>
      <c r="E25" s="79" t="e">
        <f>E24/E23</f>
        <v>#DIV/0!</v>
      </c>
      <c r="F25" s="79" t="e">
        <f t="shared" ref="F25:AV25" si="13">F24/F23</f>
        <v>#DIV/0!</v>
      </c>
      <c r="G25" s="79" t="e">
        <f t="shared" si="13"/>
        <v>#DIV/0!</v>
      </c>
      <c r="H25" s="79" t="e">
        <f t="shared" si="13"/>
        <v>#DIV/0!</v>
      </c>
      <c r="I25" s="79" t="e">
        <f t="shared" si="13"/>
        <v>#DIV/0!</v>
      </c>
      <c r="J25" s="79" t="e">
        <f t="shared" si="13"/>
        <v>#DIV/0!</v>
      </c>
      <c r="K25" s="79" t="e">
        <f t="shared" si="13"/>
        <v>#DIV/0!</v>
      </c>
      <c r="L25" s="79" t="e">
        <f t="shared" si="13"/>
        <v>#DIV/0!</v>
      </c>
      <c r="M25" s="79" t="e">
        <f t="shared" si="13"/>
        <v>#DIV/0!</v>
      </c>
      <c r="N25" s="79" t="e">
        <f t="shared" si="13"/>
        <v>#DIV/0!</v>
      </c>
      <c r="O25" s="79" t="e">
        <f t="shared" si="13"/>
        <v>#DIV/0!</v>
      </c>
      <c r="P25" s="79" t="e">
        <f t="shared" si="13"/>
        <v>#DIV/0!</v>
      </c>
      <c r="Q25" s="79">
        <f t="shared" si="13"/>
        <v>0.59874237935649166</v>
      </c>
      <c r="R25" s="333">
        <f t="shared" si="13"/>
        <v>0.29104052523819868</v>
      </c>
      <c r="S25" s="334">
        <f t="shared" si="13"/>
        <v>0.38328777151223303</v>
      </c>
      <c r="T25" s="334">
        <f t="shared" si="13"/>
        <v>0.28671691811454131</v>
      </c>
      <c r="U25" s="334">
        <f t="shared" si="13"/>
        <v>0.5207167122284877</v>
      </c>
      <c r="V25" s="334">
        <f t="shared" si="13"/>
        <v>0.26310882271082664</v>
      </c>
      <c r="W25" s="334">
        <f t="shared" si="13"/>
        <v>0.43469245755635955</v>
      </c>
      <c r="X25" s="334">
        <f t="shared" si="13"/>
        <v>0.3775246917907063</v>
      </c>
      <c r="Y25" s="334">
        <f t="shared" si="13"/>
        <v>0.40532980795992202</v>
      </c>
      <c r="Z25" s="334">
        <f t="shared" si="13"/>
        <v>0.72861159167395484</v>
      </c>
      <c r="AA25" s="334">
        <f t="shared" si="13"/>
        <v>0.47584086870681142</v>
      </c>
      <c r="AB25" s="334">
        <f t="shared" si="13"/>
        <v>0.68450168898181485</v>
      </c>
      <c r="AC25" s="334">
        <f t="shared" si="13"/>
        <v>0.73699841932472376</v>
      </c>
      <c r="AD25" s="334">
        <f t="shared" si="13"/>
        <v>0.39461362478437795</v>
      </c>
      <c r="AE25" s="334">
        <f t="shared" si="13"/>
        <v>0.43601978909281242</v>
      </c>
      <c r="AF25" s="334">
        <f t="shared" si="13"/>
        <v>0.52966565998821447</v>
      </c>
      <c r="AG25" s="334">
        <f t="shared" si="13"/>
        <v>0.25704183853859752</v>
      </c>
      <c r="AH25" s="334">
        <f t="shared" si="13"/>
        <v>0.35358594533466725</v>
      </c>
      <c r="AI25" s="334">
        <f t="shared" si="13"/>
        <v>0.41674520769608708</v>
      </c>
      <c r="AJ25" s="334">
        <f t="shared" si="13"/>
        <v>0.55086914525103681</v>
      </c>
      <c r="AK25" s="334">
        <f t="shared" si="13"/>
        <v>0.66254656244379151</v>
      </c>
      <c r="AL25" s="334">
        <f t="shared" si="13"/>
        <v>0.55869926159627836</v>
      </c>
      <c r="AM25" s="334">
        <f t="shared" si="13"/>
        <v>0.63366009578271187</v>
      </c>
      <c r="AN25" s="334">
        <f t="shared" si="13"/>
        <v>0.56514713903663794</v>
      </c>
      <c r="AO25" s="334">
        <f t="shared" si="13"/>
        <v>0.65865850084199473</v>
      </c>
      <c r="AP25" s="334">
        <f t="shared" si="13"/>
        <v>0.64368992238496281</v>
      </c>
      <c r="AQ25" s="334">
        <f t="shared" si="13"/>
        <v>0.64948985195343301</v>
      </c>
      <c r="AR25" s="334">
        <f t="shared" si="13"/>
        <v>0.64242477529911746</v>
      </c>
      <c r="AS25" s="334">
        <f t="shared" si="13"/>
        <v>0.63318909134467649</v>
      </c>
      <c r="AT25" s="334">
        <f t="shared" si="13"/>
        <v>0.62674456957899405</v>
      </c>
      <c r="AU25" s="334">
        <f t="shared" si="13"/>
        <v>0.63870073611154554</v>
      </c>
      <c r="AV25" s="334">
        <f t="shared" si="13"/>
        <v>0.65163731940637659</v>
      </c>
      <c r="AW25" s="689" t="s">
        <v>5</v>
      </c>
      <c r="AX25" s="579" t="s">
        <v>3</v>
      </c>
      <c r="AY25" s="19"/>
      <c r="AZ25" s="19"/>
      <c r="BA25" s="19"/>
      <c r="BB25" s="19"/>
    </row>
    <row r="26" spans="1:54" ht="15.75" outlineLevel="1" thickBot="1">
      <c r="A26" s="457" t="s">
        <v>208</v>
      </c>
      <c r="B26" s="458"/>
      <c r="C26" s="459"/>
      <c r="D26" s="460"/>
      <c r="E26" s="19"/>
      <c r="F26" s="19"/>
      <c r="G26" s="187">
        <v>43678</v>
      </c>
      <c r="H26" s="187">
        <v>43698</v>
      </c>
      <c r="I26" s="19"/>
      <c r="J26" s="19"/>
      <c r="K26" s="19"/>
      <c r="L26" s="234">
        <f t="shared" ref="L26:Q26" si="14">L30/1000</f>
        <v>0</v>
      </c>
      <c r="M26" s="234">
        <f t="shared" si="14"/>
        <v>0</v>
      </c>
      <c r="N26" s="234">
        <f t="shared" si="14"/>
        <v>0</v>
      </c>
      <c r="O26" s="234">
        <f t="shared" si="14"/>
        <v>0</v>
      </c>
      <c r="P26" s="234">
        <f t="shared" si="14"/>
        <v>0</v>
      </c>
      <c r="Q26" s="234">
        <f t="shared" si="14"/>
        <v>0</v>
      </c>
      <c r="R26" s="234"/>
      <c r="S26" s="234"/>
      <c r="T26" s="234"/>
      <c r="U26" s="234"/>
      <c r="V26" s="234"/>
      <c r="W26" s="234"/>
      <c r="X26" s="234"/>
      <c r="Y26" s="234"/>
      <c r="Z26" s="234"/>
      <c r="AA26" s="234"/>
      <c r="AB26" s="234"/>
      <c r="AC26" s="234"/>
      <c r="AD26" s="234"/>
      <c r="AE26" s="234"/>
      <c r="AF26" s="234"/>
      <c r="AG26" s="234"/>
      <c r="AH26" s="234"/>
      <c r="AI26" s="234"/>
      <c r="AJ26" s="234"/>
      <c r="AK26" s="234"/>
      <c r="AL26" s="234"/>
      <c r="AM26" s="234"/>
      <c r="AN26" s="234"/>
      <c r="AO26" s="234"/>
      <c r="AP26" s="234"/>
      <c r="AQ26" s="234"/>
      <c r="AR26" s="234"/>
      <c r="AS26" s="234"/>
      <c r="AT26" s="234"/>
      <c r="AU26" s="234"/>
      <c r="AV26" s="234"/>
      <c r="AW26" s="714"/>
      <c r="AX26" s="19"/>
      <c r="AY26" s="19"/>
      <c r="AZ26" s="19"/>
      <c r="BA26" s="19"/>
      <c r="BB26" s="19"/>
    </row>
    <row r="27" spans="1:54" s="55" customFormat="1" ht="15" outlineLevel="1" thickBot="1">
      <c r="A27" s="850" t="s">
        <v>180</v>
      </c>
      <c r="B27" s="851"/>
      <c r="C27" s="461"/>
      <c r="D27" s="462"/>
      <c r="E27" s="57">
        <v>43587</v>
      </c>
      <c r="F27" s="58">
        <v>43618</v>
      </c>
      <c r="G27" s="58">
        <v>43648</v>
      </c>
      <c r="H27" s="58">
        <v>43679</v>
      </c>
      <c r="I27" s="197">
        <v>43710</v>
      </c>
      <c r="J27" s="197">
        <v>43740</v>
      </c>
      <c r="K27" s="58">
        <v>43771</v>
      </c>
      <c r="L27" s="222">
        <v>43801</v>
      </c>
      <c r="M27" s="197">
        <v>43832</v>
      </c>
      <c r="N27" s="197">
        <v>43863</v>
      </c>
      <c r="O27" s="58">
        <v>43892</v>
      </c>
      <c r="P27" s="58">
        <v>43923</v>
      </c>
      <c r="Q27" s="58">
        <v>43953</v>
      </c>
      <c r="R27" s="197">
        <v>43984</v>
      </c>
      <c r="S27" s="197">
        <v>44014</v>
      </c>
      <c r="T27" s="197">
        <v>44045</v>
      </c>
      <c r="U27" s="197">
        <v>44076</v>
      </c>
      <c r="V27" s="197">
        <v>44106</v>
      </c>
      <c r="W27" s="197">
        <v>44137</v>
      </c>
      <c r="X27" s="197">
        <v>44167</v>
      </c>
      <c r="Y27" s="197">
        <v>44198</v>
      </c>
      <c r="Z27" s="197">
        <f t="shared" ref="Z27:AV27" si="15">Z3</f>
        <v>44229</v>
      </c>
      <c r="AA27" s="197">
        <f t="shared" si="15"/>
        <v>44257</v>
      </c>
      <c r="AB27" s="197">
        <f t="shared" si="15"/>
        <v>44288</v>
      </c>
      <c r="AC27" s="197">
        <f t="shared" si="15"/>
        <v>44318</v>
      </c>
      <c r="AD27" s="197">
        <f t="shared" si="15"/>
        <v>44349</v>
      </c>
      <c r="AE27" s="197">
        <f t="shared" si="15"/>
        <v>44379</v>
      </c>
      <c r="AF27" s="197">
        <f t="shared" si="15"/>
        <v>44410</v>
      </c>
      <c r="AG27" s="197">
        <f t="shared" si="15"/>
        <v>44441</v>
      </c>
      <c r="AH27" s="197">
        <f t="shared" si="15"/>
        <v>44471</v>
      </c>
      <c r="AI27" s="197">
        <f t="shared" si="15"/>
        <v>44502</v>
      </c>
      <c r="AJ27" s="197">
        <f t="shared" si="15"/>
        <v>44532</v>
      </c>
      <c r="AK27" s="197">
        <f t="shared" si="15"/>
        <v>44563</v>
      </c>
      <c r="AL27" s="197">
        <f t="shared" si="15"/>
        <v>44594</v>
      </c>
      <c r="AM27" s="197">
        <f t="shared" si="15"/>
        <v>44622</v>
      </c>
      <c r="AN27" s="197">
        <f t="shared" si="15"/>
        <v>44653</v>
      </c>
      <c r="AO27" s="197">
        <f t="shared" si="15"/>
        <v>44683</v>
      </c>
      <c r="AP27" s="197">
        <f t="shared" si="15"/>
        <v>44714</v>
      </c>
      <c r="AQ27" s="197">
        <f t="shared" si="15"/>
        <v>44744</v>
      </c>
      <c r="AR27" s="197">
        <f t="shared" si="15"/>
        <v>44775</v>
      </c>
      <c r="AS27" s="197">
        <f t="shared" si="15"/>
        <v>44806</v>
      </c>
      <c r="AT27" s="197">
        <f t="shared" si="15"/>
        <v>44836</v>
      </c>
      <c r="AU27" s="197">
        <f t="shared" si="15"/>
        <v>44867</v>
      </c>
      <c r="AV27" s="197">
        <f t="shared" si="15"/>
        <v>44897</v>
      </c>
      <c r="AW27" s="717"/>
      <c r="AX27" s="19"/>
      <c r="AY27" s="54"/>
      <c r="AZ27" s="54"/>
      <c r="BA27" s="54"/>
      <c r="BB27" s="54"/>
    </row>
    <row r="28" spans="1:54" outlineLevel="1">
      <c r="A28" s="463" t="s">
        <v>92</v>
      </c>
      <c r="B28" s="464"/>
      <c r="C28" s="465"/>
      <c r="D28" s="466"/>
      <c r="E28" s="72"/>
      <c r="F28" s="69"/>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69"/>
      <c r="AV28" s="69"/>
      <c r="AW28" s="718"/>
      <c r="AX28" s="19"/>
      <c r="AY28" s="19"/>
      <c r="AZ28" s="19"/>
      <c r="BA28" s="19"/>
      <c r="BB28" s="19"/>
    </row>
    <row r="29" spans="1:54" outlineLevel="1">
      <c r="A29" s="467" t="s">
        <v>209</v>
      </c>
      <c r="B29" s="458"/>
      <c r="C29" s="459"/>
      <c r="D29" s="468" t="s">
        <v>41</v>
      </c>
      <c r="E29" s="62"/>
      <c r="F29" s="62"/>
      <c r="G29" s="62"/>
      <c r="H29" s="63"/>
      <c r="I29" s="62"/>
      <c r="J29" s="63"/>
      <c r="K29" s="62"/>
      <c r="L29" s="62"/>
      <c r="M29" s="62"/>
      <c r="N29" s="62"/>
      <c r="O29" s="62"/>
      <c r="P29" s="62"/>
      <c r="Q29" s="62"/>
      <c r="R29" s="62"/>
      <c r="S29" s="62"/>
      <c r="T29" s="62"/>
      <c r="U29" s="62"/>
      <c r="V29" s="62"/>
      <c r="W29" s="62"/>
      <c r="X29" s="62"/>
      <c r="Y29" s="304">
        <v>11502</v>
      </c>
      <c r="Z29" s="304">
        <v>11502.000000000002</v>
      </c>
      <c r="AA29" s="304">
        <v>11502.000000000002</v>
      </c>
      <c r="AB29" s="304">
        <v>11502.000000000002</v>
      </c>
      <c r="AC29" s="304">
        <v>11502.000000000002</v>
      </c>
      <c r="AD29" s="304">
        <v>11502.000000000002</v>
      </c>
      <c r="AE29" s="304">
        <v>11502.000000000002</v>
      </c>
      <c r="AF29" s="304">
        <v>11502.000000000002</v>
      </c>
      <c r="AG29" s="304">
        <v>11502.000000000002</v>
      </c>
      <c r="AH29" s="304">
        <v>11502.000000000002</v>
      </c>
      <c r="AI29" s="304">
        <v>11502.000000000002</v>
      </c>
      <c r="AJ29" s="304">
        <v>11502.000000000002</v>
      </c>
      <c r="AK29" s="304">
        <v>11502.000000000002</v>
      </c>
      <c r="AL29" s="304">
        <v>11502.000000000002</v>
      </c>
      <c r="AM29" s="304">
        <v>11502.000000000002</v>
      </c>
      <c r="AN29" s="304">
        <v>11502.000000000002</v>
      </c>
      <c r="AO29" s="304">
        <v>11502.000000000002</v>
      </c>
      <c r="AP29" s="304">
        <v>11502.000000000002</v>
      </c>
      <c r="AQ29" s="304">
        <v>11502.000000000002</v>
      </c>
      <c r="AR29" s="304">
        <v>11502.000000000002</v>
      </c>
      <c r="AS29" s="304">
        <v>11502.000000000002</v>
      </c>
      <c r="AT29" s="304">
        <v>11502.000000000002</v>
      </c>
      <c r="AU29" s="304">
        <v>11502.000000000002</v>
      </c>
      <c r="AV29" s="304">
        <v>11502.000000000002</v>
      </c>
      <c r="AW29" s="688" t="s">
        <v>159</v>
      </c>
      <c r="AX29" s="579" t="s">
        <v>3</v>
      </c>
      <c r="AY29" s="19"/>
      <c r="AZ29" s="19"/>
      <c r="BA29" s="19"/>
      <c r="BB29" s="19"/>
    </row>
    <row r="30" spans="1:54" outlineLevel="1">
      <c r="A30" s="467" t="s">
        <v>210</v>
      </c>
      <c r="B30" s="458"/>
      <c r="C30" s="459"/>
      <c r="D30" s="468" t="s">
        <v>41</v>
      </c>
      <c r="E30" s="70"/>
      <c r="F30" s="70"/>
      <c r="G30" s="70"/>
      <c r="H30" s="70"/>
      <c r="I30" s="70"/>
      <c r="J30" s="70"/>
      <c r="K30" s="70"/>
      <c r="L30" s="70"/>
      <c r="M30" s="70"/>
      <c r="N30" s="70"/>
      <c r="O30" s="70"/>
      <c r="P30" s="70"/>
      <c r="Q30" s="70"/>
      <c r="R30" s="70"/>
      <c r="S30" s="70"/>
      <c r="T30" s="70"/>
      <c r="U30" s="70"/>
      <c r="V30" s="70"/>
      <c r="W30" s="70"/>
      <c r="X30" s="70"/>
      <c r="Y30" s="70">
        <v>3245.94</v>
      </c>
      <c r="Z30" s="70">
        <f>Y30-Z31+(Z57-Z106-Z109)*1000</f>
        <v>3358.3049839286928</v>
      </c>
      <c r="AA30" s="70">
        <v>4658.3424000000005</v>
      </c>
      <c r="AB30" s="70">
        <v>9310.68</v>
      </c>
      <c r="AC30" s="70">
        <v>8355.8142000000007</v>
      </c>
      <c r="AD30" s="70">
        <f>AC30-AD31+(AD57-AD106-AD109)*1000</f>
        <v>5189.8141999999971</v>
      </c>
      <c r="AE30" s="70">
        <f>AD30-AE31+(AE57-AE106-AE109)*1000</f>
        <v>3397.6429183697655</v>
      </c>
      <c r="AF30" s="70">
        <f>AE30-AF31+(AF57-AF106-AF109)*1000</f>
        <v>5601.1601597491044</v>
      </c>
      <c r="AG30" s="70">
        <v>3600.1800000000003</v>
      </c>
      <c r="AH30" s="70">
        <f t="shared" ref="AH30:AV30" si="16">AG30-AH31+(AH57-AH106-AH109)*1000</f>
        <v>-2482.0852000148243</v>
      </c>
      <c r="AI30" s="70">
        <f t="shared" si="16"/>
        <v>-1718.2920965665253</v>
      </c>
      <c r="AJ30" s="70">
        <f t="shared" si="16"/>
        <v>-1830.6890688120839</v>
      </c>
      <c r="AK30" s="70">
        <f t="shared" si="16"/>
        <v>2914.8064763501134</v>
      </c>
      <c r="AL30" s="70">
        <f t="shared" si="16"/>
        <v>-5802.777756082216</v>
      </c>
      <c r="AM30" s="70">
        <f t="shared" si="16"/>
        <v>-17714.628755468832</v>
      </c>
      <c r="AN30" s="70">
        <f t="shared" si="16"/>
        <v>-30408.505212790846</v>
      </c>
      <c r="AO30" s="70">
        <f t="shared" si="16"/>
        <v>-44551.733260161142</v>
      </c>
      <c r="AP30" s="70">
        <f t="shared" si="16"/>
        <v>-48956.414543476625</v>
      </c>
      <c r="AQ30" s="70">
        <f t="shared" si="16"/>
        <v>-52025.022179624335</v>
      </c>
      <c r="AR30" s="70">
        <f t="shared" si="16"/>
        <v>-55290.500565572991</v>
      </c>
      <c r="AS30" s="70">
        <f t="shared" si="16"/>
        <v>-55750.171815965718</v>
      </c>
      <c r="AT30" s="70">
        <f t="shared" si="16"/>
        <v>-64442.903638360513</v>
      </c>
      <c r="AU30" s="70">
        <f t="shared" si="16"/>
        <v>-73289.231646644446</v>
      </c>
      <c r="AV30" s="70">
        <f t="shared" si="16"/>
        <v>-71297.855120003049</v>
      </c>
      <c r="AW30" s="710" t="s">
        <v>184</v>
      </c>
      <c r="AX30" s="579" t="s">
        <v>3</v>
      </c>
      <c r="AY30" s="19"/>
      <c r="AZ30" s="19"/>
      <c r="BA30" s="19"/>
      <c r="BB30" s="19"/>
    </row>
    <row r="31" spans="1:54" outlineLevel="1">
      <c r="A31" s="467" t="s">
        <v>211</v>
      </c>
      <c r="B31" s="458"/>
      <c r="C31" s="459"/>
      <c r="D31" s="468"/>
      <c r="E31" s="70"/>
      <c r="F31" s="70"/>
      <c r="G31" s="70"/>
      <c r="H31" s="70"/>
      <c r="I31" s="70"/>
      <c r="J31" s="70"/>
      <c r="K31" s="70"/>
      <c r="L31" s="70"/>
      <c r="M31" s="70"/>
      <c r="N31" s="70"/>
      <c r="O31" s="70"/>
      <c r="P31" s="70"/>
      <c r="Q31" s="70"/>
      <c r="R31" s="70"/>
      <c r="S31" s="70"/>
      <c r="T31" s="70"/>
      <c r="U31" s="70"/>
      <c r="V31" s="70"/>
      <c r="W31" s="70"/>
      <c r="X31" s="70"/>
      <c r="Y31" s="70"/>
      <c r="Z31" s="70">
        <v>1000</v>
      </c>
      <c r="AA31" s="70">
        <v>6000</v>
      </c>
      <c r="AB31" s="70">
        <v>5000</v>
      </c>
      <c r="AC31" s="70">
        <f>1000+2000</f>
        <v>3000</v>
      </c>
      <c r="AD31" s="70">
        <v>1000</v>
      </c>
      <c r="AE31" s="70">
        <v>1000</v>
      </c>
      <c r="AF31" s="70">
        <v>1000</v>
      </c>
      <c r="AG31" s="70">
        <v>15000</v>
      </c>
      <c r="AH31" s="70">
        <v>15000</v>
      </c>
      <c r="AI31" s="70">
        <v>15000</v>
      </c>
      <c r="AJ31" s="70">
        <v>15000</v>
      </c>
      <c r="AK31" s="70">
        <v>15000</v>
      </c>
      <c r="AL31" s="70">
        <v>15000</v>
      </c>
      <c r="AM31" s="70">
        <v>15000</v>
      </c>
      <c r="AN31" s="70">
        <v>15000</v>
      </c>
      <c r="AO31" s="70">
        <v>15000</v>
      </c>
      <c r="AP31" s="70">
        <v>15000</v>
      </c>
      <c r="AQ31" s="70">
        <v>15000</v>
      </c>
      <c r="AR31" s="70">
        <v>15000</v>
      </c>
      <c r="AS31" s="70">
        <v>15000</v>
      </c>
      <c r="AT31" s="70">
        <v>15000</v>
      </c>
      <c r="AU31" s="70">
        <v>15000</v>
      </c>
      <c r="AV31" s="70">
        <v>15000</v>
      </c>
      <c r="AW31" s="710" t="s">
        <v>212</v>
      </c>
      <c r="AX31" s="579" t="s">
        <v>3</v>
      </c>
      <c r="AY31" s="19"/>
      <c r="AZ31" s="19"/>
      <c r="BA31" s="19"/>
      <c r="BB31" s="19"/>
    </row>
    <row r="32" spans="1:54" ht="15" outlineLevel="1" thickBot="1">
      <c r="A32" s="469" t="s">
        <v>213</v>
      </c>
      <c r="B32" s="470"/>
      <c r="C32" s="471"/>
      <c r="D32" s="472" t="s">
        <v>187</v>
      </c>
      <c r="E32" s="79"/>
      <c r="F32" s="79"/>
      <c r="G32" s="79"/>
      <c r="H32" s="79"/>
      <c r="I32" s="79"/>
      <c r="J32" s="79"/>
      <c r="K32" s="79"/>
      <c r="L32" s="79"/>
      <c r="M32" s="79"/>
      <c r="N32" s="79"/>
      <c r="O32" s="79"/>
      <c r="P32" s="79"/>
      <c r="Q32" s="79"/>
      <c r="R32" s="79"/>
      <c r="S32" s="79"/>
      <c r="T32" s="79"/>
      <c r="U32" s="79"/>
      <c r="V32" s="79"/>
      <c r="W32" s="79"/>
      <c r="X32" s="79"/>
      <c r="Y32" s="79"/>
      <c r="Z32" s="453">
        <f t="shared" ref="Z32:AV32" si="17">Z30/Z29</f>
        <v>0.29197574195172077</v>
      </c>
      <c r="AA32" s="453">
        <f t="shared" si="17"/>
        <v>0.40500281690140844</v>
      </c>
      <c r="AB32" s="453">
        <f t="shared" si="17"/>
        <v>0.80948356807511723</v>
      </c>
      <c r="AC32" s="453">
        <f t="shared" si="17"/>
        <v>0.72646619718309857</v>
      </c>
      <c r="AD32" s="453">
        <f t="shared" si="17"/>
        <v>0.45120972004868687</v>
      </c>
      <c r="AE32" s="453">
        <f t="shared" si="17"/>
        <v>0.2953958371039615</v>
      </c>
      <c r="AF32" s="453">
        <f t="shared" si="17"/>
        <v>0.48697271428874139</v>
      </c>
      <c r="AG32" s="453">
        <f t="shared" si="17"/>
        <v>0.31300469483568072</v>
      </c>
      <c r="AH32" s="453">
        <f t="shared" si="17"/>
        <v>-0.21579596592025943</v>
      </c>
      <c r="AI32" s="453">
        <f t="shared" si="17"/>
        <v>-0.14939072305394932</v>
      </c>
      <c r="AJ32" s="453">
        <f t="shared" si="17"/>
        <v>-0.15916267334481687</v>
      </c>
      <c r="AK32" s="453">
        <f t="shared" si="17"/>
        <v>0.25341736014172428</v>
      </c>
      <c r="AL32" s="453">
        <f t="shared" si="17"/>
        <v>-0.50450163068007436</v>
      </c>
      <c r="AM32" s="453">
        <f t="shared" si="17"/>
        <v>-1.5401346509710336</v>
      </c>
      <c r="AN32" s="453">
        <f t="shared" si="17"/>
        <v>-2.6437580605799722</v>
      </c>
      <c r="AO32" s="453">
        <f t="shared" si="17"/>
        <v>-3.8733901286872836</v>
      </c>
      <c r="AP32" s="453">
        <f t="shared" si="17"/>
        <v>-4.2563392925992538</v>
      </c>
      <c r="AQ32" s="453">
        <f t="shared" si="17"/>
        <v>-4.523128341125398</v>
      </c>
      <c r="AR32" s="453">
        <f t="shared" si="17"/>
        <v>-4.8070336085526852</v>
      </c>
      <c r="AS32" s="453">
        <f t="shared" si="17"/>
        <v>-4.8469980712889678</v>
      </c>
      <c r="AT32" s="453">
        <f t="shared" si="17"/>
        <v>-5.6027563587515647</v>
      </c>
      <c r="AU32" s="453">
        <f t="shared" si="17"/>
        <v>-6.3718685138797113</v>
      </c>
      <c r="AV32" s="453">
        <f t="shared" si="17"/>
        <v>-6.198735447748482</v>
      </c>
      <c r="AW32" s="689" t="s">
        <v>5</v>
      </c>
      <c r="AX32" s="579" t="s">
        <v>3</v>
      </c>
      <c r="AY32" s="19"/>
      <c r="AZ32" s="19"/>
      <c r="BA32" s="19"/>
      <c r="BB32" s="19"/>
    </row>
    <row r="33" spans="1:54" ht="15.75" outlineLevel="1" thickBot="1">
      <c r="A33" s="457" t="s">
        <v>214</v>
      </c>
      <c r="B33" s="458"/>
      <c r="C33" s="459"/>
      <c r="D33" s="460"/>
      <c r="E33" s="19"/>
      <c r="F33" s="19"/>
      <c r="G33" s="187">
        <v>43678</v>
      </c>
      <c r="H33" s="187">
        <v>43698</v>
      </c>
      <c r="I33" s="19"/>
      <c r="J33" s="19"/>
      <c r="K33" s="19"/>
      <c r="L33" s="234">
        <f t="shared" ref="L33:Q33" si="18">L37/1000</f>
        <v>0</v>
      </c>
      <c r="M33" s="234">
        <f t="shared" si="18"/>
        <v>0</v>
      </c>
      <c r="N33" s="234">
        <f t="shared" si="18"/>
        <v>0</v>
      </c>
      <c r="O33" s="234">
        <f t="shared" si="18"/>
        <v>0</v>
      </c>
      <c r="P33" s="234">
        <f t="shared" si="18"/>
        <v>0</v>
      </c>
      <c r="Q33" s="234">
        <f t="shared" si="18"/>
        <v>0</v>
      </c>
      <c r="R33" s="234"/>
      <c r="S33" s="234"/>
      <c r="T33" s="234"/>
      <c r="U33" s="234"/>
      <c r="V33" s="234"/>
      <c r="W33" s="234"/>
      <c r="X33" s="234"/>
      <c r="Y33" s="234"/>
      <c r="Z33" s="234"/>
      <c r="AA33" s="234"/>
      <c r="AB33" s="234"/>
      <c r="AC33" s="234"/>
      <c r="AD33" s="234"/>
      <c r="AE33" s="234"/>
      <c r="AF33" s="234"/>
      <c r="AG33" s="234"/>
      <c r="AH33" s="234"/>
      <c r="AI33" s="234"/>
      <c r="AJ33" s="234"/>
      <c r="AK33" s="234"/>
      <c r="AL33" s="234"/>
      <c r="AM33" s="234"/>
      <c r="AN33" s="234"/>
      <c r="AO33" s="234"/>
      <c r="AP33" s="234"/>
      <c r="AQ33" s="234"/>
      <c r="AR33" s="234"/>
      <c r="AS33" s="234"/>
      <c r="AT33" s="234"/>
      <c r="AU33" s="234"/>
      <c r="AV33" s="234"/>
      <c r="AW33" s="714"/>
      <c r="AX33" s="19"/>
      <c r="AY33" s="19"/>
      <c r="AZ33" s="19"/>
      <c r="BA33" s="19"/>
      <c r="BB33" s="19"/>
    </row>
    <row r="34" spans="1:54" s="55" customFormat="1" ht="15" outlineLevel="1" thickBot="1">
      <c r="A34" s="850" t="s">
        <v>180</v>
      </c>
      <c r="B34" s="851"/>
      <c r="C34" s="461"/>
      <c r="D34" s="462"/>
      <c r="E34" s="57">
        <v>43587</v>
      </c>
      <c r="F34" s="58">
        <v>43618</v>
      </c>
      <c r="G34" s="58">
        <v>43648</v>
      </c>
      <c r="H34" s="58">
        <v>43679</v>
      </c>
      <c r="I34" s="197">
        <v>43710</v>
      </c>
      <c r="J34" s="197">
        <v>43740</v>
      </c>
      <c r="K34" s="58">
        <v>43771</v>
      </c>
      <c r="L34" s="222">
        <v>43801</v>
      </c>
      <c r="M34" s="197">
        <v>43832</v>
      </c>
      <c r="N34" s="197">
        <v>43863</v>
      </c>
      <c r="O34" s="58">
        <v>43892</v>
      </c>
      <c r="P34" s="58">
        <v>43923</v>
      </c>
      <c r="Q34" s="58">
        <v>43953</v>
      </c>
      <c r="R34" s="197">
        <v>43984</v>
      </c>
      <c r="S34" s="197">
        <v>44014</v>
      </c>
      <c r="T34" s="197">
        <v>44045</v>
      </c>
      <c r="U34" s="197">
        <v>44076</v>
      </c>
      <c r="V34" s="197">
        <v>44106</v>
      </c>
      <c r="W34" s="197">
        <v>44137</v>
      </c>
      <c r="X34" s="197">
        <v>44167</v>
      </c>
      <c r="Y34" s="197">
        <v>44198</v>
      </c>
      <c r="Z34" s="197">
        <f t="shared" ref="Z34:AV34" si="19">Z3</f>
        <v>44229</v>
      </c>
      <c r="AA34" s="197">
        <f t="shared" si="19"/>
        <v>44257</v>
      </c>
      <c r="AB34" s="197">
        <f t="shared" si="19"/>
        <v>44288</v>
      </c>
      <c r="AC34" s="197">
        <f t="shared" si="19"/>
        <v>44318</v>
      </c>
      <c r="AD34" s="197">
        <f t="shared" si="19"/>
        <v>44349</v>
      </c>
      <c r="AE34" s="197">
        <f t="shared" si="19"/>
        <v>44379</v>
      </c>
      <c r="AF34" s="197">
        <f t="shared" si="19"/>
        <v>44410</v>
      </c>
      <c r="AG34" s="197">
        <f t="shared" si="19"/>
        <v>44441</v>
      </c>
      <c r="AH34" s="197">
        <f t="shared" si="19"/>
        <v>44471</v>
      </c>
      <c r="AI34" s="197">
        <f t="shared" si="19"/>
        <v>44502</v>
      </c>
      <c r="AJ34" s="197">
        <f t="shared" si="19"/>
        <v>44532</v>
      </c>
      <c r="AK34" s="197">
        <f t="shared" si="19"/>
        <v>44563</v>
      </c>
      <c r="AL34" s="197">
        <f t="shared" si="19"/>
        <v>44594</v>
      </c>
      <c r="AM34" s="197">
        <f t="shared" si="19"/>
        <v>44622</v>
      </c>
      <c r="AN34" s="197">
        <f t="shared" si="19"/>
        <v>44653</v>
      </c>
      <c r="AO34" s="197">
        <f t="shared" si="19"/>
        <v>44683</v>
      </c>
      <c r="AP34" s="197">
        <f t="shared" si="19"/>
        <v>44714</v>
      </c>
      <c r="AQ34" s="197">
        <f t="shared" si="19"/>
        <v>44744</v>
      </c>
      <c r="AR34" s="197">
        <f t="shared" si="19"/>
        <v>44775</v>
      </c>
      <c r="AS34" s="197">
        <f t="shared" si="19"/>
        <v>44806</v>
      </c>
      <c r="AT34" s="197">
        <f t="shared" si="19"/>
        <v>44836</v>
      </c>
      <c r="AU34" s="197">
        <f t="shared" si="19"/>
        <v>44867</v>
      </c>
      <c r="AV34" s="197">
        <f t="shared" si="19"/>
        <v>44897</v>
      </c>
      <c r="AW34" s="717"/>
      <c r="AX34" s="19"/>
      <c r="AY34" s="54"/>
      <c r="AZ34" s="54"/>
      <c r="BA34" s="54"/>
      <c r="BB34" s="54"/>
    </row>
    <row r="35" spans="1:54" outlineLevel="1">
      <c r="A35" s="463" t="s">
        <v>92</v>
      </c>
      <c r="B35" s="464"/>
      <c r="C35" s="465"/>
      <c r="D35" s="466"/>
      <c r="E35" s="72"/>
      <c r="F35" s="69"/>
      <c r="G35" s="69"/>
      <c r="H35" s="69"/>
      <c r="I35" s="69"/>
      <c r="J35" s="69"/>
      <c r="K35" s="69"/>
      <c r="L35" s="69"/>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69"/>
      <c r="AU35" s="69"/>
      <c r="AV35" s="69"/>
      <c r="AW35" s="718"/>
      <c r="AX35" s="19"/>
      <c r="AY35" s="19"/>
      <c r="AZ35" s="19"/>
      <c r="BA35" s="19"/>
      <c r="BB35" s="19"/>
    </row>
    <row r="36" spans="1:54" outlineLevel="1">
      <c r="A36" s="467" t="s">
        <v>215</v>
      </c>
      <c r="B36" s="458"/>
      <c r="C36" s="459"/>
      <c r="D36" s="468" t="s">
        <v>41</v>
      </c>
      <c r="E36" s="62"/>
      <c r="F36" s="62"/>
      <c r="G36" s="62"/>
      <c r="H36" s="63"/>
      <c r="I36" s="62"/>
      <c r="J36" s="63"/>
      <c r="K36" s="62"/>
      <c r="L36" s="62"/>
      <c r="M36" s="62"/>
      <c r="N36" s="62"/>
      <c r="O36" s="62"/>
      <c r="P36" s="62"/>
      <c r="Q36" s="62"/>
      <c r="R36" s="62"/>
      <c r="S36" s="62"/>
      <c r="T36" s="62"/>
      <c r="U36" s="62"/>
      <c r="V36" s="62"/>
      <c r="W36" s="62"/>
      <c r="X36" s="62"/>
      <c r="Y36" s="62">
        <v>27302.400000000005</v>
      </c>
      <c r="Z36" s="232">
        <v>23468.400000000001</v>
      </c>
      <c r="AA36" s="232">
        <v>21319.200000000004</v>
      </c>
      <c r="AB36" s="304">
        <v>25153.22</v>
      </c>
      <c r="AC36" s="232">
        <v>25153.22</v>
      </c>
      <c r="AD36" s="232">
        <v>21319.200000000004</v>
      </c>
      <c r="AE36" s="232">
        <v>21319.200000000004</v>
      </c>
      <c r="AF36" s="304">
        <v>25153.200000000004</v>
      </c>
      <c r="AG36" s="304">
        <v>25153.200000000004</v>
      </c>
      <c r="AH36" s="232">
        <v>21319.200000000004</v>
      </c>
      <c r="AI36" s="232">
        <v>21319.200000000004</v>
      </c>
      <c r="AJ36" s="304">
        <v>25153.200000000004</v>
      </c>
      <c r="AK36" s="304">
        <v>25153.200000000004</v>
      </c>
      <c r="AL36" s="304">
        <v>25153.200000000004</v>
      </c>
      <c r="AM36" s="304">
        <v>25153.200000000004</v>
      </c>
      <c r="AN36" s="304">
        <v>25153.200000000004</v>
      </c>
      <c r="AO36" s="304">
        <v>25153.200000000004</v>
      </c>
      <c r="AP36" s="304">
        <v>25153.200000000004</v>
      </c>
      <c r="AQ36" s="304">
        <v>25153.200000000004</v>
      </c>
      <c r="AR36" s="304">
        <v>25153.200000000004</v>
      </c>
      <c r="AS36" s="304">
        <v>25153.200000000004</v>
      </c>
      <c r="AT36" s="304">
        <v>25153.200000000004</v>
      </c>
      <c r="AU36" s="304">
        <v>25153.200000000004</v>
      </c>
      <c r="AV36" s="304">
        <v>25153.200000000004</v>
      </c>
      <c r="AW36" s="688" t="s">
        <v>159</v>
      </c>
      <c r="AX36" s="579" t="s">
        <v>3</v>
      </c>
      <c r="AY36" s="19"/>
      <c r="AZ36" s="19"/>
      <c r="BA36" s="19"/>
      <c r="BB36" s="19"/>
    </row>
    <row r="37" spans="1:54" outlineLevel="1">
      <c r="A37" s="467" t="s">
        <v>216</v>
      </c>
      <c r="B37" s="458"/>
      <c r="C37" s="459"/>
      <c r="D37" s="468" t="s">
        <v>41</v>
      </c>
      <c r="E37" s="70"/>
      <c r="F37" s="70"/>
      <c r="G37" s="70"/>
      <c r="H37" s="70"/>
      <c r="I37" s="70"/>
      <c r="J37" s="70"/>
      <c r="K37" s="70"/>
      <c r="L37" s="70"/>
      <c r="M37" s="70"/>
      <c r="N37" s="70"/>
      <c r="O37" s="70"/>
      <c r="P37" s="70"/>
      <c r="Q37" s="70"/>
      <c r="R37" s="70"/>
      <c r="S37" s="70"/>
      <c r="T37" s="70"/>
      <c r="U37" s="70"/>
      <c r="V37" s="70"/>
      <c r="W37" s="70"/>
      <c r="X37" s="70"/>
      <c r="Y37" s="70">
        <v>12482.64</v>
      </c>
      <c r="Z37" s="70">
        <f>Y37+Z17+Z31+((Z58+Z61+Z8-Z9+Z10-Z114-Z115-Z116-Z117-Z118-Z119-Z120-Z121-Z122-Z123-Z124-Z125-Z126-Z127-Z128-Z129-Z130-Z131-Z132-Z133-Z134-Z135-Z136-Z137-Z138-Z139-Z143-Z144-Z145-Z146-Z147-Z148-Z149-Z150-Z151-Z152-Z153-Z154-Z155-Z156-Z157-Z158-Z159)*1000)</f>
        <v>22121.533821546196</v>
      </c>
      <c r="AA37" s="70">
        <v>10959.325920000001</v>
      </c>
      <c r="AB37" s="70">
        <v>15779.880000000001</v>
      </c>
      <c r="AC37" s="70">
        <v>18659.025000000001</v>
      </c>
      <c r="AD37" s="70">
        <f>AC37+AD17+AD31+((AD58+AD61+AD8-AD9+AD10-AD114-AD115-AD116-AD117-AD118-AD119-AD120-AD121-AD122-AD123-AD124-AD125-AD126-AD127-AD128-AD129-AD130-AD131-AD132-AD133-AD134-AD135-AD136-AD137-AD138-AD139-AD143-AD144-AD145-AD146-AD147-AD148-AD149-AD150-AD151-AD152-AD153-AD154-AD155-AD156-AD157-AD158-AD159)*1000)</f>
        <v>10674.878501773006</v>
      </c>
      <c r="AE37" s="70">
        <f>AD37+AE17+AE31+((AE58+AE61+AE8-AE9+AE10-AE114-AE115-AE116-AE117-AE118-AE119-AE120-AE121-AE122-AE123-AE124-AE125-AE126-AE127-AE128-AE129-AE130-AE131-AE132-AE133-AE134-AE135-AE136-AE137-AE138-AE139-AE143-AE144-AE145-AE146-AE147-AE148-AE149-AE150-AE151-AE152-AE153-AE154-AE155-AE156-AE157-AE158-AE159)*1000)</f>
        <v>11331.257228328275</v>
      </c>
      <c r="AF37" s="70">
        <f>AE37+AF17+AF31+((AF58+AF61+AF8-AF9+AF10-AF114-AF115-AF116-AF117-AF118-AF119-AF120-AF121-AF122-AF123-AF124-AF125-AF126-AF127-AF128-AF129-AF130-AF131-AF132-AF133-AF134-AF135-AF136-AF137-AF138-AF139-AF143-AF144-AF145-AF146-AF147-AF148-AF149-AF150-AF151-AF152-AF153-AF154-AF155-AF156-AF157-AF158-AF159)*1000)</f>
        <v>22330.548539272866</v>
      </c>
      <c r="AG37" s="70">
        <v>5821.7400000000007</v>
      </c>
      <c r="AH37" s="70">
        <f t="shared" ref="AH37:AV37" si="20">AG37+AH17+AH31+((AH58+AH61+AH8-AH9+AH10-AH114-AH115-AH116-AH117-AH118-AH119-AH120-AH121-AH122-AH123-AH124-AH125-AH126-AH127-AH128-AH129-AH130-AH131-AH132-AH133-AH134-AH135-AH136-AH137-AH138-AH139-AH143-AH144-AH145-AH146-AH147-AH148-AH149-AH150-AH151-AH152-AH153-AH154-AH155-AH156-AH157-AH158-AH159)*1000)</f>
        <v>14087.200229033133</v>
      </c>
      <c r="AI37" s="70">
        <f t="shared" si="20"/>
        <v>15396.36990740148</v>
      </c>
      <c r="AJ37" s="70">
        <f t="shared" si="20"/>
        <v>22022.90776181806</v>
      </c>
      <c r="AK37" s="70">
        <f t="shared" si="20"/>
        <v>21370.970279339741</v>
      </c>
      <c r="AL37" s="70">
        <f t="shared" si="20"/>
        <v>26282.010929746284</v>
      </c>
      <c r="AM37" s="70">
        <f t="shared" si="20"/>
        <v>40941.566298403399</v>
      </c>
      <c r="AN37" s="70">
        <f t="shared" si="20"/>
        <v>51124.086623606716</v>
      </c>
      <c r="AO37" s="70">
        <f t="shared" si="20"/>
        <v>68694.992340224766</v>
      </c>
      <c r="AP37" s="70">
        <f t="shared" si="20"/>
        <v>72550.997386482049</v>
      </c>
      <c r="AQ37" s="70">
        <f t="shared" si="20"/>
        <v>75832.20260094796</v>
      </c>
      <c r="AR37" s="70">
        <f t="shared" si="20"/>
        <v>78838.709189117348</v>
      </c>
      <c r="AS37" s="70">
        <f t="shared" si="20"/>
        <v>78959.844597023257</v>
      </c>
      <c r="AT37" s="70">
        <f t="shared" si="20"/>
        <v>87416.351185192645</v>
      </c>
      <c r="AU37" s="70">
        <f t="shared" si="20"/>
        <v>96700.934868960525</v>
      </c>
      <c r="AV37" s="70">
        <f t="shared" si="20"/>
        <v>95183.751390307792</v>
      </c>
      <c r="AW37" s="710" t="s">
        <v>184</v>
      </c>
      <c r="AX37" s="579" t="s">
        <v>3</v>
      </c>
      <c r="AY37" s="19"/>
      <c r="AZ37" s="19"/>
      <c r="BA37" s="19"/>
      <c r="BB37" s="19"/>
    </row>
    <row r="38" spans="1:54" ht="15" outlineLevel="1" thickBot="1">
      <c r="A38" s="469" t="s">
        <v>217</v>
      </c>
      <c r="B38" s="470"/>
      <c r="C38" s="471"/>
      <c r="D38" s="472" t="s">
        <v>187</v>
      </c>
      <c r="E38" s="79"/>
      <c r="F38" s="79"/>
      <c r="G38" s="79"/>
      <c r="H38" s="79"/>
      <c r="I38" s="79"/>
      <c r="J38" s="79"/>
      <c r="K38" s="79"/>
      <c r="L38" s="79"/>
      <c r="M38" s="79"/>
      <c r="N38" s="79"/>
      <c r="O38" s="79"/>
      <c r="P38" s="79"/>
      <c r="Q38" s="79"/>
      <c r="R38" s="79"/>
      <c r="S38" s="79"/>
      <c r="T38" s="79"/>
      <c r="U38" s="79"/>
      <c r="V38" s="79"/>
      <c r="W38" s="79"/>
      <c r="X38" s="79"/>
      <c r="Y38" s="79"/>
      <c r="Z38" s="334">
        <f t="shared" ref="Z38:AV38" si="21">Z37/Z36</f>
        <v>0.94260937352125385</v>
      </c>
      <c r="AA38" s="334">
        <f t="shared" si="21"/>
        <v>0.51405896656534944</v>
      </c>
      <c r="AB38" s="334">
        <f t="shared" si="21"/>
        <v>0.6273502955088851</v>
      </c>
      <c r="AC38" s="334">
        <f t="shared" si="21"/>
        <v>0.74181456688249059</v>
      </c>
      <c r="AD38" s="334">
        <f t="shared" si="21"/>
        <v>0.50071665455425174</v>
      </c>
      <c r="AE38" s="334">
        <f t="shared" si="21"/>
        <v>0.53150480451087623</v>
      </c>
      <c r="AF38" s="334">
        <f t="shared" si="21"/>
        <v>0.88778161582911364</v>
      </c>
      <c r="AG38" s="334">
        <f t="shared" si="21"/>
        <v>0.23145126663804205</v>
      </c>
      <c r="AH38" s="334">
        <f t="shared" si="21"/>
        <v>0.66077527435518824</v>
      </c>
      <c r="AI38" s="334">
        <f t="shared" si="21"/>
        <v>0.72218328583631075</v>
      </c>
      <c r="AJ38" s="334">
        <f t="shared" si="21"/>
        <v>0.87555093434704356</v>
      </c>
      <c r="AK38" s="334">
        <f t="shared" si="21"/>
        <v>0.8496322646557789</v>
      </c>
      <c r="AL38" s="334">
        <f t="shared" si="21"/>
        <v>1.0448774283091726</v>
      </c>
      <c r="AM38" s="334">
        <f t="shared" si="21"/>
        <v>1.6276881787765927</v>
      </c>
      <c r="AN38" s="334">
        <f t="shared" si="21"/>
        <v>2.0325082543615407</v>
      </c>
      <c r="AO38" s="334">
        <f t="shared" si="21"/>
        <v>2.731063735040661</v>
      </c>
      <c r="AP38" s="334">
        <f t="shared" si="21"/>
        <v>2.8843645097435728</v>
      </c>
      <c r="AQ38" s="334">
        <f t="shared" si="21"/>
        <v>3.0148133279641534</v>
      </c>
      <c r="AR38" s="334">
        <f t="shared" si="21"/>
        <v>3.1343411251497755</v>
      </c>
      <c r="AS38" s="334">
        <f t="shared" si="21"/>
        <v>3.1391570296035192</v>
      </c>
      <c r="AT38" s="334">
        <f t="shared" si="21"/>
        <v>3.4753570593480205</v>
      </c>
      <c r="AU38" s="334">
        <f t="shared" si="21"/>
        <v>3.844478430933659</v>
      </c>
      <c r="AV38" s="334">
        <f t="shared" si="21"/>
        <v>3.784160718727946</v>
      </c>
      <c r="AW38" s="689" t="s">
        <v>5</v>
      </c>
      <c r="AX38" s="579" t="s">
        <v>3</v>
      </c>
      <c r="AY38" s="19"/>
      <c r="AZ38" s="19"/>
      <c r="BA38" s="19"/>
      <c r="BB38" s="19"/>
    </row>
    <row r="39" spans="1:54" s="19" customFormat="1" ht="22.5" outlineLevel="1">
      <c r="A39" s="25" t="s">
        <v>218</v>
      </c>
      <c r="B39" s="18"/>
      <c r="AW39"/>
    </row>
    <row r="40" spans="1:54" s="19" customFormat="1" ht="15" outlineLevel="1" thickBot="1">
      <c r="A40" s="26" t="s">
        <v>219</v>
      </c>
      <c r="B40" s="18"/>
      <c r="AW40"/>
    </row>
    <row r="41" spans="1:54" s="55" customFormat="1" ht="15" outlineLevel="1" thickBot="1">
      <c r="A41" s="861" t="s">
        <v>180</v>
      </c>
      <c r="B41" s="855"/>
      <c r="C41" s="855" t="s">
        <v>220</v>
      </c>
      <c r="D41" s="856"/>
      <c r="E41" s="58">
        <f t="shared" ref="E41:AV41" si="22">E3</f>
        <v>43587</v>
      </c>
      <c r="F41" s="58">
        <f t="shared" si="22"/>
        <v>43618</v>
      </c>
      <c r="G41" s="58">
        <f t="shared" si="22"/>
        <v>43648</v>
      </c>
      <c r="H41" s="58">
        <f t="shared" si="22"/>
        <v>43679</v>
      </c>
      <c r="I41" s="58">
        <f t="shared" si="22"/>
        <v>43710</v>
      </c>
      <c r="J41" s="58">
        <f t="shared" si="22"/>
        <v>43740</v>
      </c>
      <c r="K41" s="58">
        <f t="shared" si="22"/>
        <v>43771</v>
      </c>
      <c r="L41" s="58">
        <f t="shared" si="22"/>
        <v>43801</v>
      </c>
      <c r="M41" s="58">
        <f t="shared" si="22"/>
        <v>43832</v>
      </c>
      <c r="N41" s="58">
        <f t="shared" si="22"/>
        <v>43863</v>
      </c>
      <c r="O41" s="58">
        <f t="shared" si="22"/>
        <v>43892</v>
      </c>
      <c r="P41" s="58">
        <f t="shared" si="22"/>
        <v>43923</v>
      </c>
      <c r="Q41" s="58">
        <f t="shared" si="22"/>
        <v>43953</v>
      </c>
      <c r="R41" s="58">
        <f t="shared" si="22"/>
        <v>43984</v>
      </c>
      <c r="S41" s="58">
        <f t="shared" si="22"/>
        <v>44014</v>
      </c>
      <c r="T41" s="58">
        <f t="shared" si="22"/>
        <v>44045</v>
      </c>
      <c r="U41" s="58">
        <f t="shared" si="22"/>
        <v>44076</v>
      </c>
      <c r="V41" s="58">
        <f t="shared" si="22"/>
        <v>44106</v>
      </c>
      <c r="W41" s="58">
        <f t="shared" si="22"/>
        <v>44137</v>
      </c>
      <c r="X41" s="58">
        <f t="shared" si="22"/>
        <v>44167</v>
      </c>
      <c r="Y41" s="58">
        <f t="shared" si="22"/>
        <v>44198</v>
      </c>
      <c r="Z41" s="58">
        <f t="shared" si="22"/>
        <v>44229</v>
      </c>
      <c r="AA41" s="58">
        <f t="shared" si="22"/>
        <v>44257</v>
      </c>
      <c r="AB41" s="58">
        <f t="shared" si="22"/>
        <v>44288</v>
      </c>
      <c r="AC41" s="58">
        <f t="shared" si="22"/>
        <v>44318</v>
      </c>
      <c r="AD41" s="58">
        <f t="shared" si="22"/>
        <v>44349</v>
      </c>
      <c r="AE41" s="58">
        <f t="shared" si="22"/>
        <v>44379</v>
      </c>
      <c r="AF41" s="58">
        <f t="shared" si="22"/>
        <v>44410</v>
      </c>
      <c r="AG41" s="58">
        <f t="shared" si="22"/>
        <v>44441</v>
      </c>
      <c r="AH41" s="58">
        <f t="shared" si="22"/>
        <v>44471</v>
      </c>
      <c r="AI41" s="58">
        <f t="shared" si="22"/>
        <v>44502</v>
      </c>
      <c r="AJ41" s="58">
        <f t="shared" si="22"/>
        <v>44532</v>
      </c>
      <c r="AK41" s="58">
        <f t="shared" si="22"/>
        <v>44563</v>
      </c>
      <c r="AL41" s="58">
        <f t="shared" si="22"/>
        <v>44594</v>
      </c>
      <c r="AM41" s="58">
        <f t="shared" si="22"/>
        <v>44622</v>
      </c>
      <c r="AN41" s="58">
        <f t="shared" si="22"/>
        <v>44653</v>
      </c>
      <c r="AO41" s="58">
        <f t="shared" si="22"/>
        <v>44683</v>
      </c>
      <c r="AP41" s="58">
        <f t="shared" si="22"/>
        <v>44714</v>
      </c>
      <c r="AQ41" s="58">
        <f t="shared" si="22"/>
        <v>44744</v>
      </c>
      <c r="AR41" s="58">
        <f t="shared" si="22"/>
        <v>44775</v>
      </c>
      <c r="AS41" s="58">
        <f t="shared" si="22"/>
        <v>44806</v>
      </c>
      <c r="AT41" s="58">
        <f t="shared" si="22"/>
        <v>44836</v>
      </c>
      <c r="AU41" s="58">
        <f t="shared" si="22"/>
        <v>44867</v>
      </c>
      <c r="AV41" s="58">
        <f t="shared" si="22"/>
        <v>44897</v>
      </c>
      <c r="AW41" s="717"/>
      <c r="AX41" s="579" t="s">
        <v>3</v>
      </c>
      <c r="AY41" s="712" t="s">
        <v>221</v>
      </c>
      <c r="AZ41" s="54"/>
      <c r="BA41" s="54"/>
      <c r="BB41" s="54"/>
    </row>
    <row r="42" spans="1:54" s="55" customFormat="1" outlineLevel="1">
      <c r="A42" s="16" t="s">
        <v>222</v>
      </c>
      <c r="B42" s="27"/>
      <c r="C42" s="857" t="s">
        <v>223</v>
      </c>
      <c r="D42" s="858"/>
      <c r="E42" s="305"/>
      <c r="F42" s="305"/>
      <c r="G42" s="305"/>
      <c r="H42" s="305"/>
      <c r="I42" s="305"/>
      <c r="J42" s="305"/>
      <c r="K42" s="305"/>
      <c r="L42" s="305"/>
      <c r="M42" s="305"/>
      <c r="N42" s="305"/>
      <c r="O42" s="305"/>
      <c r="P42" s="305"/>
      <c r="Q42" s="621"/>
      <c r="R42" s="622">
        <v>70.534090909090878</v>
      </c>
      <c r="S42" s="622">
        <v>73.725999999999999</v>
      </c>
      <c r="T42" s="622">
        <v>79.739999999999995</v>
      </c>
      <c r="U42" s="622">
        <v>75.221000000000004</v>
      </c>
      <c r="V42" s="622">
        <v>84.823999999999998</v>
      </c>
      <c r="W42" s="622">
        <v>81.861999999999995</v>
      </c>
      <c r="X42" s="622">
        <v>79.42</v>
      </c>
      <c r="Y42" s="622">
        <v>93.733999999999995</v>
      </c>
      <c r="Z42" s="622">
        <v>82.968179950302002</v>
      </c>
      <c r="AA42" s="622">
        <v>96.633323189846323</v>
      </c>
      <c r="AB42" s="503">
        <v>92.405205902591902</v>
      </c>
      <c r="AC42" s="622">
        <v>95</v>
      </c>
      <c r="AD42" s="622">
        <v>94.028999999999996</v>
      </c>
      <c r="AE42" s="622">
        <v>52.897885383437597</v>
      </c>
      <c r="AF42" s="622">
        <v>89.537325857396524</v>
      </c>
      <c r="AG42" s="622">
        <v>86.212173303868781</v>
      </c>
      <c r="AH42" s="622">
        <v>76.073794967644289</v>
      </c>
      <c r="AI42" s="622">
        <v>82.465315391084943</v>
      </c>
      <c r="AJ42" s="622">
        <v>84.145958406606013</v>
      </c>
      <c r="AK42" s="622">
        <v>90.676073310905522</v>
      </c>
      <c r="AL42" s="622">
        <v>81.719993832352117</v>
      </c>
      <c r="AM42" s="622">
        <v>90.676073310905522</v>
      </c>
      <c r="AN42" s="622">
        <v>84.690469582282034</v>
      </c>
      <c r="AO42" s="622">
        <v>76.924383391876503</v>
      </c>
      <c r="AP42" s="622">
        <v>80.6695206055509</v>
      </c>
      <c r="AQ42" s="622">
        <v>83.358504625735918</v>
      </c>
      <c r="AR42" s="622">
        <v>83.810707457246977</v>
      </c>
      <c r="AS42" s="622">
        <v>81.107136248948706</v>
      </c>
      <c r="AT42" s="622">
        <v>83.810707457246977</v>
      </c>
      <c r="AU42" s="622">
        <v>83.810707457246977</v>
      </c>
      <c r="AV42" s="622">
        <v>83.810707457246977</v>
      </c>
      <c r="AW42" s="688" t="s">
        <v>159</v>
      </c>
      <c r="AX42" s="579" t="s">
        <v>3</v>
      </c>
      <c r="AY42" s="54"/>
      <c r="AZ42" s="54"/>
      <c r="BA42" s="54"/>
      <c r="BB42" s="54"/>
    </row>
    <row r="43" spans="1:54" s="55" customFormat="1" outlineLevel="1">
      <c r="A43" s="28" t="s">
        <v>224</v>
      </c>
      <c r="B43" s="3"/>
      <c r="C43" s="859" t="s">
        <v>223</v>
      </c>
      <c r="D43" s="860"/>
      <c r="E43" s="305"/>
      <c r="F43" s="305"/>
      <c r="G43" s="305"/>
      <c r="H43" s="305"/>
      <c r="I43" s="305"/>
      <c r="J43" s="305"/>
      <c r="K43" s="305"/>
      <c r="L43" s="305"/>
      <c r="M43" s="305"/>
      <c r="N43" s="305"/>
      <c r="O43" s="305"/>
      <c r="P43" s="305"/>
      <c r="Q43" s="621"/>
      <c r="R43" s="622">
        <v>169.55890909090911</v>
      </c>
      <c r="S43" s="622">
        <f>S46-S42</f>
        <v>177.61747858181801</v>
      </c>
      <c r="T43" s="622">
        <v>191.2</v>
      </c>
      <c r="U43" s="622">
        <v>200.779</v>
      </c>
      <c r="V43" s="622">
        <v>203.572</v>
      </c>
      <c r="W43" s="622">
        <v>170.31</v>
      </c>
      <c r="X43" s="622">
        <v>158.72500000000002</v>
      </c>
      <c r="Y43" s="622">
        <v>183.55100000000004</v>
      </c>
      <c r="Z43" s="622">
        <v>163.03182004969801</v>
      </c>
      <c r="AA43" s="622">
        <v>188.8815558949461</v>
      </c>
      <c r="AB43" s="622">
        <v>183.15295573005574</v>
      </c>
      <c r="AC43" s="622">
        <v>192.15300000000002</v>
      </c>
      <c r="AD43" s="622">
        <v>189.44711646719878</v>
      </c>
      <c r="AE43" s="622">
        <v>164.5133346546294</v>
      </c>
      <c r="AF43" s="622">
        <v>192.82979725396467</v>
      </c>
      <c r="AG43" s="622">
        <v>171.81050839573982</v>
      </c>
      <c r="AH43" s="622">
        <v>166.4756239709136</v>
      </c>
      <c r="AI43" s="622">
        <v>175.51296278181664</v>
      </c>
      <c r="AJ43" s="622">
        <v>186.92414088217097</v>
      </c>
      <c r="AK43" s="622">
        <v>204.69780599943931</v>
      </c>
      <c r="AL43" s="622">
        <v>180.01966134006173</v>
      </c>
      <c r="AM43" s="622">
        <v>199.10711634426696</v>
      </c>
      <c r="AN43" s="622">
        <v>182.24487524530423</v>
      </c>
      <c r="AO43" s="622">
        <v>188.1921252288131</v>
      </c>
      <c r="AP43" s="622">
        <v>174.8218587047939</v>
      </c>
      <c r="AQ43" s="622">
        <v>180.64925399495371</v>
      </c>
      <c r="AR43" s="622">
        <v>180.39748219792546</v>
      </c>
      <c r="AS43" s="622">
        <v>174.57820857863757</v>
      </c>
      <c r="AT43" s="622">
        <v>180.39748219792546</v>
      </c>
      <c r="AU43" s="622">
        <v>180.39748219792546</v>
      </c>
      <c r="AV43" s="622">
        <v>180.39748219792546</v>
      </c>
      <c r="AW43" s="688" t="s">
        <v>159</v>
      </c>
      <c r="AX43" s="579" t="s">
        <v>3</v>
      </c>
      <c r="AY43" s="54"/>
      <c r="AZ43" s="54"/>
      <c r="BA43" s="54"/>
      <c r="BB43" s="54"/>
    </row>
    <row r="44" spans="1:54" s="55" customFormat="1" outlineLevel="1">
      <c r="A44" s="550" t="s">
        <v>225</v>
      </c>
      <c r="B44" s="3"/>
      <c r="C44" s="859" t="s">
        <v>223</v>
      </c>
      <c r="D44" s="860"/>
      <c r="E44" s="305"/>
      <c r="F44" s="305"/>
      <c r="G44" s="305"/>
      <c r="H44" s="305"/>
      <c r="I44" s="305"/>
      <c r="J44" s="305"/>
      <c r="K44" s="305"/>
      <c r="L44" s="305"/>
      <c r="M44" s="305"/>
      <c r="N44" s="305"/>
      <c r="O44" s="305"/>
      <c r="P44" s="305"/>
      <c r="Q44" s="621"/>
      <c r="R44" s="622"/>
      <c r="S44" s="622"/>
      <c r="T44" s="622"/>
      <c r="U44" s="622"/>
      <c r="V44" s="622"/>
      <c r="W44" s="622"/>
      <c r="X44" s="622"/>
      <c r="Y44" s="622"/>
      <c r="Z44" s="622"/>
      <c r="AA44" s="622">
        <v>46.344512195121951</v>
      </c>
      <c r="AB44" s="622">
        <v>56.996333333333332</v>
      </c>
      <c r="AC44" s="622">
        <v>40.486000000000004</v>
      </c>
      <c r="AD44" s="622">
        <v>58.341000000000001</v>
      </c>
      <c r="AE44" s="622">
        <v>83.738934087429527</v>
      </c>
      <c r="AF44" s="622">
        <v>54.088965517241398</v>
      </c>
      <c r="AG44" s="622">
        <v>65.633567571036011</v>
      </c>
      <c r="AH44" s="622">
        <v>54.257631351709321</v>
      </c>
      <c r="AI44" s="622">
        <v>51.2637931034483</v>
      </c>
      <c r="AJ44" s="622">
        <v>46.58760302775444</v>
      </c>
      <c r="AK44" s="622">
        <v>49.839743481917623</v>
      </c>
      <c r="AL44" s="622">
        <v>53.658620689655145</v>
      </c>
      <c r="AM44" s="622">
        <v>41.547560975609784</v>
      </c>
      <c r="AN44" s="622">
        <v>60.502354920100892</v>
      </c>
      <c r="AO44" s="622">
        <v>52.801219512195097</v>
      </c>
      <c r="AP44" s="622">
        <v>40.865853658536587</v>
      </c>
      <c r="AQ44" s="622">
        <v>42.228048780487804</v>
      </c>
      <c r="AR44" s="622">
        <v>41.660975609756072</v>
      </c>
      <c r="AS44" s="622">
        <v>40.317073170731689</v>
      </c>
      <c r="AT44" s="622">
        <v>41.660975609756072</v>
      </c>
      <c r="AU44" s="622">
        <v>41.660975609756072</v>
      </c>
      <c r="AV44" s="622">
        <v>41.660975609756072</v>
      </c>
      <c r="AW44" s="688" t="s">
        <v>159</v>
      </c>
      <c r="AX44" s="579" t="s">
        <v>3</v>
      </c>
      <c r="AY44" s="54"/>
      <c r="AZ44" s="54"/>
      <c r="BA44" s="54"/>
      <c r="BB44" s="54"/>
    </row>
    <row r="45" spans="1:54" s="55" customFormat="1" outlineLevel="1">
      <c r="A45" s="550" t="s">
        <v>226</v>
      </c>
      <c r="B45" s="3"/>
      <c r="C45" s="859" t="s">
        <v>223</v>
      </c>
      <c r="D45" s="860"/>
      <c r="E45" s="305"/>
      <c r="F45" s="305"/>
      <c r="G45" s="305"/>
      <c r="H45" s="305"/>
      <c r="I45" s="305"/>
      <c r="J45" s="305"/>
      <c r="K45" s="305"/>
      <c r="L45" s="305"/>
      <c r="M45" s="305"/>
      <c r="N45" s="305"/>
      <c r="O45" s="305"/>
      <c r="P45" s="305"/>
      <c r="Q45" s="621"/>
      <c r="R45" s="622"/>
      <c r="S45" s="622"/>
      <c r="T45" s="622"/>
      <c r="U45" s="622"/>
      <c r="V45" s="622"/>
      <c r="W45" s="622"/>
      <c r="X45" s="622"/>
      <c r="Y45" s="622"/>
      <c r="Z45" s="622"/>
      <c r="AA45" s="622">
        <v>142.53704369982415</v>
      </c>
      <c r="AB45" s="622">
        <v>125.18600000000001</v>
      </c>
      <c r="AC45" s="622">
        <v>150.679</v>
      </c>
      <c r="AD45" s="622">
        <v>134.01911646719898</v>
      </c>
      <c r="AE45" s="622">
        <v>80.774400567199308</v>
      </c>
      <c r="AF45" s="622">
        <v>138.74083173672318</v>
      </c>
      <c r="AG45" s="622">
        <v>106.17694082470389</v>
      </c>
      <c r="AH45" s="622">
        <v>112.21799261920437</v>
      </c>
      <c r="AI45" s="622">
        <v>124.24916967836836</v>
      </c>
      <c r="AJ45" s="622">
        <v>140.33653785441658</v>
      </c>
      <c r="AK45" s="622">
        <v>154.85806251752169</v>
      </c>
      <c r="AL45" s="622">
        <v>126.36104065040655</v>
      </c>
      <c r="AM45" s="622">
        <v>157.55955536865713</v>
      </c>
      <c r="AN45" s="622">
        <v>121.74252032520332</v>
      </c>
      <c r="AO45" s="622">
        <v>135.39090571661805</v>
      </c>
      <c r="AP45" s="622">
        <v>133.9560050462573</v>
      </c>
      <c r="AQ45" s="622">
        <v>138.42120521446591</v>
      </c>
      <c r="AR45" s="622">
        <v>138.73650658816939</v>
      </c>
      <c r="AS45" s="622">
        <v>134.2611354079059</v>
      </c>
      <c r="AT45" s="622">
        <v>138.73650658816939</v>
      </c>
      <c r="AU45" s="622">
        <v>138.73650658816939</v>
      </c>
      <c r="AV45" s="622">
        <v>138.73650658816939</v>
      </c>
      <c r="AW45" s="688" t="s">
        <v>159</v>
      </c>
      <c r="AX45" s="579" t="s">
        <v>3</v>
      </c>
      <c r="AY45" s="54"/>
      <c r="AZ45" s="54"/>
      <c r="BA45" s="54"/>
      <c r="BB45" s="54"/>
    </row>
    <row r="46" spans="1:54" outlineLevel="1">
      <c r="A46" s="28" t="s">
        <v>227</v>
      </c>
      <c r="B46" s="19"/>
      <c r="C46" s="859" t="s">
        <v>223</v>
      </c>
      <c r="D46" s="860"/>
      <c r="E46" s="48">
        <v>290.613</v>
      </c>
      <c r="F46" s="621">
        <v>302.52800000000002</v>
      </c>
      <c r="G46" s="621">
        <v>330.5</v>
      </c>
      <c r="H46" s="621">
        <v>317.95</v>
      </c>
      <c r="I46" s="621">
        <v>319.5</v>
      </c>
      <c r="J46" s="621">
        <v>314</v>
      </c>
      <c r="K46" s="621">
        <v>315</v>
      </c>
      <c r="L46" s="621">
        <v>310</v>
      </c>
      <c r="M46" s="621">
        <v>288</v>
      </c>
      <c r="N46" s="621">
        <v>270.45</v>
      </c>
      <c r="O46" s="621">
        <v>313.10000000000002</v>
      </c>
      <c r="P46" s="621">
        <v>291</v>
      </c>
      <c r="Q46" s="621">
        <v>225</v>
      </c>
      <c r="R46" s="622">
        <v>239.1825882138433</v>
      </c>
      <c r="S46" s="622">
        <v>251.343478581818</v>
      </c>
      <c r="T46" s="622">
        <v>270.94</v>
      </c>
      <c r="U46" s="622">
        <v>276</v>
      </c>
      <c r="V46" s="622">
        <v>288.39600000000002</v>
      </c>
      <c r="W46" s="622">
        <v>252.172</v>
      </c>
      <c r="X46" s="622">
        <v>238.14500000000001</v>
      </c>
      <c r="Y46" s="622">
        <v>277.28500000000003</v>
      </c>
      <c r="Z46" s="622">
        <v>246</v>
      </c>
      <c r="AA46" s="622">
        <v>285.51487908479243</v>
      </c>
      <c r="AB46" s="503">
        <v>272.33308494533202</v>
      </c>
      <c r="AC46" s="622">
        <v>287.15300000000002</v>
      </c>
      <c r="AD46" s="622">
        <v>283.47611646719878</v>
      </c>
      <c r="AE46" s="622">
        <v>217.411220038067</v>
      </c>
      <c r="AF46" s="622">
        <v>282.3671231113612</v>
      </c>
      <c r="AG46" s="622">
        <v>258.0226816996086</v>
      </c>
      <c r="AH46" s="622">
        <v>242.54941893855789</v>
      </c>
      <c r="AI46" s="622">
        <v>257.97827817290158</v>
      </c>
      <c r="AJ46" s="622">
        <v>271.07009928877699</v>
      </c>
      <c r="AK46" s="622">
        <v>295.37387931034482</v>
      </c>
      <c r="AL46" s="622">
        <v>261.73965517241385</v>
      </c>
      <c r="AM46" s="622">
        <v>289.78318965517246</v>
      </c>
      <c r="AN46" s="622">
        <v>266.93534482758628</v>
      </c>
      <c r="AO46" s="622">
        <v>265.11650862068961</v>
      </c>
      <c r="AP46" s="622">
        <v>255.4913793103448</v>
      </c>
      <c r="AQ46" s="622">
        <v>264.00775862068963</v>
      </c>
      <c r="AR46" s="622">
        <v>264.20818965517242</v>
      </c>
      <c r="AS46" s="622">
        <v>255.68534482758628</v>
      </c>
      <c r="AT46" s="622">
        <v>264.20818965517242</v>
      </c>
      <c r="AU46" s="622">
        <v>264.20818965517242</v>
      </c>
      <c r="AV46" s="622">
        <v>264.20818965517242</v>
      </c>
      <c r="AW46" s="688" t="s">
        <v>159</v>
      </c>
      <c r="AX46" s="579" t="s">
        <v>3</v>
      </c>
      <c r="AY46" s="19"/>
      <c r="AZ46" s="19"/>
      <c r="BA46" s="19"/>
      <c r="BB46" s="19"/>
    </row>
    <row r="47" spans="1:54" outlineLevel="1">
      <c r="A47" s="28" t="s">
        <v>228</v>
      </c>
      <c r="B47" s="19"/>
      <c r="C47" s="862">
        <v>44424</v>
      </c>
      <c r="D47" s="863"/>
      <c r="E47" s="48"/>
      <c r="F47" s="621"/>
      <c r="G47" s="621"/>
      <c r="H47" s="621"/>
      <c r="I47" s="621"/>
      <c r="J47" s="621"/>
      <c r="K47" s="621"/>
      <c r="L47" s="621"/>
      <c r="M47" s="621"/>
      <c r="N47" s="621"/>
      <c r="O47" s="621">
        <v>0.68</v>
      </c>
      <c r="P47" s="621">
        <v>0.6</v>
      </c>
      <c r="Q47" s="621">
        <v>0.6</v>
      </c>
      <c r="R47" s="621">
        <v>0</v>
      </c>
      <c r="S47" s="621">
        <v>0.6</v>
      </c>
      <c r="T47" s="621">
        <v>1.2</v>
      </c>
      <c r="U47" s="621">
        <v>0.6</v>
      </c>
      <c r="V47" s="621">
        <v>0.6</v>
      </c>
      <c r="W47" s="621">
        <v>0</v>
      </c>
      <c r="X47" s="621">
        <v>0.6</v>
      </c>
      <c r="Y47" s="621">
        <v>1.2</v>
      </c>
      <c r="Z47" s="621">
        <v>2.4</v>
      </c>
      <c r="AA47" s="621">
        <v>1.2</v>
      </c>
      <c r="AB47" s="621">
        <v>1.2</v>
      </c>
      <c r="AC47" s="621">
        <v>1.2</v>
      </c>
      <c r="AD47" s="621">
        <v>1.2</v>
      </c>
      <c r="AE47" s="621">
        <v>0</v>
      </c>
      <c r="AF47" s="621">
        <v>0.6</v>
      </c>
      <c r="AG47" s="621">
        <v>0.6</v>
      </c>
      <c r="AH47" s="621">
        <v>1.8</v>
      </c>
      <c r="AI47" s="621">
        <v>1.2</v>
      </c>
      <c r="AJ47" s="621">
        <v>1.2</v>
      </c>
      <c r="AK47" s="621" t="s">
        <v>146</v>
      </c>
      <c r="AL47" s="621" t="s">
        <v>146</v>
      </c>
      <c r="AM47" s="621" t="s">
        <v>146</v>
      </c>
      <c r="AN47" s="621" t="s">
        <v>146</v>
      </c>
      <c r="AO47" s="621" t="s">
        <v>146</v>
      </c>
      <c r="AP47" s="621" t="s">
        <v>146</v>
      </c>
      <c r="AQ47" s="621" t="s">
        <v>146</v>
      </c>
      <c r="AR47" s="621" t="s">
        <v>146</v>
      </c>
      <c r="AS47" s="621" t="s">
        <v>146</v>
      </c>
      <c r="AT47" s="621" t="s">
        <v>146</v>
      </c>
      <c r="AU47" s="621" t="s">
        <v>146</v>
      </c>
      <c r="AV47" s="621" t="s">
        <v>146</v>
      </c>
      <c r="AW47" s="688" t="s">
        <v>159</v>
      </c>
      <c r="AX47" s="579" t="s">
        <v>3</v>
      </c>
      <c r="AY47" s="19"/>
      <c r="AZ47" s="19"/>
      <c r="BA47" s="19"/>
      <c r="BB47" s="19"/>
    </row>
    <row r="48" spans="1:54" outlineLevel="1">
      <c r="A48" s="28" t="s">
        <v>33</v>
      </c>
      <c r="B48" s="19"/>
      <c r="C48" s="862">
        <v>44480</v>
      </c>
      <c r="D48" s="863"/>
      <c r="E48" s="623">
        <v>15.573</v>
      </c>
      <c r="F48" s="623">
        <v>19</v>
      </c>
      <c r="G48" s="623">
        <v>19</v>
      </c>
      <c r="H48" s="623">
        <v>25</v>
      </c>
      <c r="I48" s="623">
        <v>25</v>
      </c>
      <c r="J48" s="623">
        <v>25</v>
      </c>
      <c r="K48" s="623">
        <v>21</v>
      </c>
      <c r="L48" s="623">
        <v>23.5</v>
      </c>
      <c r="M48" s="623">
        <v>23</v>
      </c>
      <c r="N48" s="623">
        <v>16</v>
      </c>
      <c r="O48" s="623">
        <v>7</v>
      </c>
      <c r="P48" s="623">
        <v>14</v>
      </c>
      <c r="Q48" s="623">
        <v>6</v>
      </c>
      <c r="R48" s="623">
        <v>0</v>
      </c>
      <c r="S48" s="623">
        <v>8</v>
      </c>
      <c r="T48" s="623">
        <v>0</v>
      </c>
      <c r="U48" s="623">
        <v>3</v>
      </c>
      <c r="V48" s="623">
        <v>0</v>
      </c>
      <c r="W48" s="623">
        <v>11</v>
      </c>
      <c r="X48" s="623">
        <v>14</v>
      </c>
      <c r="Y48" s="623">
        <v>2.5</v>
      </c>
      <c r="Z48" s="623">
        <v>3</v>
      </c>
      <c r="AA48" s="623">
        <v>0</v>
      </c>
      <c r="AB48" s="623">
        <v>0</v>
      </c>
      <c r="AC48" s="623">
        <v>0</v>
      </c>
      <c r="AD48" s="623">
        <v>0</v>
      </c>
      <c r="AE48" s="623">
        <v>0</v>
      </c>
      <c r="AF48" s="623">
        <v>0</v>
      </c>
      <c r="AG48" s="623">
        <v>0</v>
      </c>
      <c r="AH48" s="623">
        <v>0</v>
      </c>
      <c r="AI48" s="623">
        <v>0</v>
      </c>
      <c r="AJ48" s="623">
        <v>0</v>
      </c>
      <c r="AK48" s="623">
        <v>0</v>
      </c>
      <c r="AL48" s="623">
        <v>0</v>
      </c>
      <c r="AM48" s="623">
        <v>0</v>
      </c>
      <c r="AN48" s="623">
        <v>0</v>
      </c>
      <c r="AO48" s="623">
        <v>0</v>
      </c>
      <c r="AP48" s="623">
        <v>0</v>
      </c>
      <c r="AQ48" s="623">
        <v>0</v>
      </c>
      <c r="AR48" s="623">
        <v>0</v>
      </c>
      <c r="AS48" s="623">
        <v>0</v>
      </c>
      <c r="AT48" s="623">
        <v>0</v>
      </c>
      <c r="AU48" s="623">
        <v>0</v>
      </c>
      <c r="AV48" s="623">
        <v>0</v>
      </c>
      <c r="AW48" s="688" t="s">
        <v>159</v>
      </c>
      <c r="AX48" s="579" t="s">
        <v>3</v>
      </c>
      <c r="AY48" s="19"/>
      <c r="AZ48" s="19"/>
      <c r="BA48" s="19"/>
      <c r="BB48" s="19"/>
    </row>
    <row r="49" spans="1:55" outlineLevel="1">
      <c r="A49" s="28" t="s">
        <v>229</v>
      </c>
      <c r="B49" s="19"/>
      <c r="C49" s="862">
        <v>44480</v>
      </c>
      <c r="D49" s="863"/>
      <c r="E49" s="623">
        <v>8.4</v>
      </c>
      <c r="F49" s="623">
        <v>6.2</v>
      </c>
      <c r="G49" s="623">
        <v>6.1</v>
      </c>
      <c r="H49" s="623">
        <v>7.2</v>
      </c>
      <c r="I49" s="623">
        <v>6.7</v>
      </c>
      <c r="J49" s="623">
        <v>6.7</v>
      </c>
      <c r="K49" s="623">
        <v>0</v>
      </c>
      <c r="L49" s="623">
        <v>5.4</v>
      </c>
      <c r="M49" s="623">
        <v>7.2</v>
      </c>
      <c r="N49" s="623">
        <v>6.5</v>
      </c>
      <c r="O49" s="623">
        <v>6.4799999999999995</v>
      </c>
      <c r="P49" s="623">
        <v>6.3</v>
      </c>
      <c r="Q49" s="623">
        <v>6.5</v>
      </c>
      <c r="R49" s="623">
        <v>3.6</v>
      </c>
      <c r="S49" s="623">
        <v>3.6</v>
      </c>
      <c r="T49" s="623">
        <v>5</v>
      </c>
      <c r="U49" s="623">
        <v>4.24</v>
      </c>
      <c r="V49" s="623">
        <v>7.36</v>
      </c>
      <c r="W49" s="623">
        <v>5.36</v>
      </c>
      <c r="X49" s="623">
        <v>5.47</v>
      </c>
      <c r="Y49" s="623">
        <v>6.2</v>
      </c>
      <c r="Z49" s="623">
        <v>7.08</v>
      </c>
      <c r="AA49" s="623">
        <v>7.07</v>
      </c>
      <c r="AB49" s="623">
        <v>6.63</v>
      </c>
      <c r="AC49" s="623">
        <v>5.78</v>
      </c>
      <c r="AD49" s="623">
        <v>5.78</v>
      </c>
      <c r="AE49" s="623">
        <v>6.12</v>
      </c>
      <c r="AF49" s="623">
        <v>6.12</v>
      </c>
      <c r="AG49" s="623">
        <v>5.4</v>
      </c>
      <c r="AH49" s="623">
        <v>5.4</v>
      </c>
      <c r="AI49" s="623">
        <v>5.4</v>
      </c>
      <c r="AJ49" s="623">
        <v>7.4</v>
      </c>
      <c r="AK49" s="623">
        <v>5.4</v>
      </c>
      <c r="AL49" s="623">
        <v>6.12</v>
      </c>
      <c r="AM49" s="623">
        <v>6.12</v>
      </c>
      <c r="AN49" s="623">
        <v>6.12</v>
      </c>
      <c r="AO49" s="623">
        <v>6.12</v>
      </c>
      <c r="AP49" s="623">
        <v>6.12</v>
      </c>
      <c r="AQ49" s="623">
        <v>6.12</v>
      </c>
      <c r="AR49" s="623">
        <v>6.12</v>
      </c>
      <c r="AS49" s="623">
        <v>6.12</v>
      </c>
      <c r="AT49" s="623">
        <v>6.12</v>
      </c>
      <c r="AU49" s="623">
        <v>6.12</v>
      </c>
      <c r="AV49" s="623">
        <v>6.12</v>
      </c>
      <c r="AW49" s="688" t="s">
        <v>159</v>
      </c>
      <c r="AX49" s="579" t="s">
        <v>3</v>
      </c>
      <c r="AY49" s="19"/>
      <c r="AZ49" s="19"/>
      <c r="BA49" s="19"/>
      <c r="BB49" s="19"/>
    </row>
    <row r="50" spans="1:55" outlineLevel="1">
      <c r="A50" s="28" t="s">
        <v>230</v>
      </c>
      <c r="B50" s="19"/>
      <c r="C50" s="862">
        <v>44480</v>
      </c>
      <c r="D50" s="863"/>
      <c r="E50" s="623">
        <v>5.89</v>
      </c>
      <c r="F50" s="623">
        <v>5.7</v>
      </c>
      <c r="G50" s="623">
        <v>5.89</v>
      </c>
      <c r="H50" s="623">
        <v>5.89</v>
      </c>
      <c r="I50" s="623">
        <v>5.85</v>
      </c>
      <c r="J50" s="623">
        <v>6.05</v>
      </c>
      <c r="K50" s="623">
        <v>5.85</v>
      </c>
      <c r="L50" s="623">
        <v>6.05</v>
      </c>
      <c r="M50" s="623">
        <v>6.05</v>
      </c>
      <c r="N50" s="623">
        <v>5.66</v>
      </c>
      <c r="O50" s="623">
        <v>6.0449999999999999</v>
      </c>
      <c r="P50" s="623">
        <v>5.85</v>
      </c>
      <c r="Q50" s="623">
        <v>6.05</v>
      </c>
      <c r="R50" s="623">
        <v>5.4</v>
      </c>
      <c r="S50" s="623">
        <v>4.5599999999999996</v>
      </c>
      <c r="T50" s="623">
        <v>5.58</v>
      </c>
      <c r="U50" s="623">
        <v>5.58</v>
      </c>
      <c r="V50" s="623">
        <v>5.58</v>
      </c>
      <c r="W50" s="623">
        <v>5.4</v>
      </c>
      <c r="X50" s="623">
        <v>5.58</v>
      </c>
      <c r="Y50" s="623">
        <v>5.89</v>
      </c>
      <c r="Z50" s="623">
        <v>5.32</v>
      </c>
      <c r="AA50" s="623">
        <v>5.89</v>
      </c>
      <c r="AB50" s="623">
        <v>5.55</v>
      </c>
      <c r="AC50" s="623">
        <v>5.7350000000000003</v>
      </c>
      <c r="AD50" s="623">
        <v>5.55</v>
      </c>
      <c r="AE50" s="623">
        <v>5.7350000000000003</v>
      </c>
      <c r="AF50" s="623">
        <v>5.7350000000000003</v>
      </c>
      <c r="AG50" s="623">
        <v>5.55</v>
      </c>
      <c r="AH50" s="623">
        <v>5.7350000000000003</v>
      </c>
      <c r="AI50" s="623">
        <v>5.55</v>
      </c>
      <c r="AJ50" s="623">
        <v>5.7350000000000003</v>
      </c>
      <c r="AK50" s="623">
        <v>5.7350000000000003</v>
      </c>
      <c r="AL50" s="623">
        <v>5.7350000000000003</v>
      </c>
      <c r="AM50" s="623">
        <v>5.7350000000000003</v>
      </c>
      <c r="AN50" s="623">
        <v>5.7350000000000003</v>
      </c>
      <c r="AO50" s="623">
        <v>5.7350000000000003</v>
      </c>
      <c r="AP50" s="623">
        <v>5.7350000000000003</v>
      </c>
      <c r="AQ50" s="623">
        <v>5.7350000000000003</v>
      </c>
      <c r="AR50" s="623">
        <v>5.7350000000000003</v>
      </c>
      <c r="AS50" s="623">
        <v>5.7350000000000003</v>
      </c>
      <c r="AT50" s="623">
        <v>5.7350000000000003</v>
      </c>
      <c r="AU50" s="623">
        <v>5.7350000000000003</v>
      </c>
      <c r="AV50" s="623">
        <v>5.7350000000000003</v>
      </c>
      <c r="AW50" s="688" t="s">
        <v>159</v>
      </c>
      <c r="AX50" s="579" t="s">
        <v>3</v>
      </c>
      <c r="AY50" s="19"/>
      <c r="AZ50" s="19"/>
      <c r="BA50" s="19"/>
      <c r="BB50" s="19"/>
    </row>
    <row r="51" spans="1:55" ht="15" outlineLevel="1" thickBot="1">
      <c r="A51" s="35" t="s">
        <v>231</v>
      </c>
      <c r="B51" s="32"/>
      <c r="C51" s="864">
        <v>44455</v>
      </c>
      <c r="D51" s="865"/>
      <c r="E51" s="623">
        <v>15.6</v>
      </c>
      <c r="F51" s="623">
        <v>15.42</v>
      </c>
      <c r="G51" s="623">
        <v>16.027000000000001</v>
      </c>
      <c r="H51" s="623">
        <v>15.93</v>
      </c>
      <c r="I51" s="623">
        <v>15.45</v>
      </c>
      <c r="J51" s="623">
        <v>10.85</v>
      </c>
      <c r="K51" s="623">
        <v>10.5</v>
      </c>
      <c r="L51" s="623">
        <v>13.26</v>
      </c>
      <c r="M51" s="623">
        <v>14.281000000000001</v>
      </c>
      <c r="N51" s="623">
        <v>16</v>
      </c>
      <c r="O51" s="623">
        <v>17</v>
      </c>
      <c r="P51" s="623">
        <v>15.6</v>
      </c>
      <c r="Q51" s="623">
        <v>17.05</v>
      </c>
      <c r="R51" s="623">
        <v>15.6</v>
      </c>
      <c r="S51" s="623">
        <v>16.739999999999998</v>
      </c>
      <c r="T51" s="623">
        <v>14.56</v>
      </c>
      <c r="U51" s="623">
        <v>17.2</v>
      </c>
      <c r="V51" s="623">
        <v>16.739999999999998</v>
      </c>
      <c r="W51" s="623">
        <v>16.2</v>
      </c>
      <c r="X51" s="623">
        <v>16.12</v>
      </c>
      <c r="Y51" s="623">
        <v>13.12</v>
      </c>
      <c r="Z51" s="623">
        <v>8.83</v>
      </c>
      <c r="AA51" s="623">
        <v>15.56</v>
      </c>
      <c r="AB51" s="623">
        <v>15</v>
      </c>
      <c r="AC51" s="623">
        <v>15.5</v>
      </c>
      <c r="AD51" s="623">
        <v>13.95</v>
      </c>
      <c r="AE51" s="300">
        <v>8.3699999999999992</v>
      </c>
      <c r="AF51" s="300">
        <v>14.6</v>
      </c>
      <c r="AG51" s="300">
        <v>15</v>
      </c>
      <c r="AH51" s="300">
        <v>18.445</v>
      </c>
      <c r="AI51" s="300">
        <v>15.75</v>
      </c>
      <c r="AJ51" s="300">
        <v>16.37</v>
      </c>
      <c r="AK51" s="300">
        <v>17.515000000000001</v>
      </c>
      <c r="AL51" s="300">
        <v>16.52</v>
      </c>
      <c r="AM51" s="300">
        <v>18.445</v>
      </c>
      <c r="AN51" s="300">
        <v>12</v>
      </c>
      <c r="AO51" s="300">
        <v>17.824999999999999</v>
      </c>
      <c r="AP51" s="300">
        <v>15.9</v>
      </c>
      <c r="AQ51" s="300">
        <v>6.2</v>
      </c>
      <c r="AR51" s="300">
        <v>8.06</v>
      </c>
      <c r="AS51" s="300">
        <v>1.56</v>
      </c>
      <c r="AT51" s="300">
        <v>0.36</v>
      </c>
      <c r="AU51" s="300">
        <v>0.36</v>
      </c>
      <c r="AV51" s="300">
        <v>0.36</v>
      </c>
      <c r="AW51" s="688" t="s">
        <v>159</v>
      </c>
      <c r="AX51" s="579" t="s">
        <v>3</v>
      </c>
      <c r="AY51" s="19"/>
      <c r="AZ51" s="19"/>
      <c r="BA51" s="19"/>
      <c r="BB51" s="19"/>
    </row>
    <row r="52" spans="1:55" ht="15" outlineLevel="1" thickBot="1">
      <c r="A52" s="852" t="s">
        <v>232</v>
      </c>
      <c r="B52" s="853"/>
      <c r="C52" s="853"/>
      <c r="D52" s="854"/>
      <c r="E52" s="42">
        <f>SUM(E46:E51)</f>
        <v>336.07599999999996</v>
      </c>
      <c r="F52" s="43">
        <f t="shared" ref="F52:AV52" si="23">SUM(F46:F51)</f>
        <v>348.84800000000001</v>
      </c>
      <c r="G52" s="43">
        <f t="shared" si="23"/>
        <v>377.517</v>
      </c>
      <c r="H52" s="43">
        <f t="shared" si="23"/>
        <v>371.96999999999997</v>
      </c>
      <c r="I52" s="43">
        <f t="shared" si="23"/>
        <v>372.5</v>
      </c>
      <c r="J52" s="43">
        <f t="shared" si="23"/>
        <v>362.6</v>
      </c>
      <c r="K52" s="43">
        <f t="shared" si="23"/>
        <v>352.35</v>
      </c>
      <c r="L52" s="43">
        <f t="shared" si="23"/>
        <v>358.21</v>
      </c>
      <c r="M52" s="43">
        <f t="shared" si="23"/>
        <v>338.53100000000001</v>
      </c>
      <c r="N52" s="43">
        <f t="shared" si="23"/>
        <v>314.61</v>
      </c>
      <c r="O52" s="43">
        <f t="shared" si="23"/>
        <v>350.30500000000006</v>
      </c>
      <c r="P52" s="43">
        <f t="shared" si="23"/>
        <v>333.35000000000008</v>
      </c>
      <c r="Q52" s="43">
        <f t="shared" si="23"/>
        <v>261.2</v>
      </c>
      <c r="R52" s="43">
        <f t="shared" si="23"/>
        <v>263.78258821384333</v>
      </c>
      <c r="S52" s="43">
        <f>SUM(S46:S51)</f>
        <v>284.84347858181803</v>
      </c>
      <c r="T52" s="43">
        <f>SUM(T46:T51)</f>
        <v>297.27999999999997</v>
      </c>
      <c r="U52" s="43">
        <f>SUM(U46:U51)</f>
        <v>306.62</v>
      </c>
      <c r="V52" s="43">
        <f t="shared" si="23"/>
        <v>318.67600000000004</v>
      </c>
      <c r="W52" s="43">
        <f t="shared" si="23"/>
        <v>290.13200000000001</v>
      </c>
      <c r="X52" s="43">
        <f t="shared" si="23"/>
        <v>279.91500000000002</v>
      </c>
      <c r="Y52" s="43">
        <f t="shared" si="23"/>
        <v>306.19499999999999</v>
      </c>
      <c r="Z52" s="43">
        <f t="shared" si="23"/>
        <v>272.63</v>
      </c>
      <c r="AA52" s="43">
        <f t="shared" si="23"/>
        <v>315.2348790847924</v>
      </c>
      <c r="AB52" s="43">
        <f t="shared" si="23"/>
        <v>300.71308494533201</v>
      </c>
      <c r="AC52" s="43">
        <f t="shared" si="23"/>
        <v>315.36799999999999</v>
      </c>
      <c r="AD52" s="43">
        <f t="shared" si="23"/>
        <v>309.95611646719874</v>
      </c>
      <c r="AE52" s="43">
        <f t="shared" si="23"/>
        <v>237.63622003806702</v>
      </c>
      <c r="AF52" s="43">
        <f t="shared" si="23"/>
        <v>309.42212311136126</v>
      </c>
      <c r="AG52" s="43">
        <f t="shared" si="23"/>
        <v>284.57268169960861</v>
      </c>
      <c r="AH52" s="43">
        <f t="shared" si="23"/>
        <v>273.92941893855794</v>
      </c>
      <c r="AI52" s="43">
        <f t="shared" si="23"/>
        <v>285.87827817290156</v>
      </c>
      <c r="AJ52" s="43">
        <f t="shared" si="23"/>
        <v>301.77509928877697</v>
      </c>
      <c r="AK52" s="43">
        <f t="shared" si="23"/>
        <v>324.0238793103448</v>
      </c>
      <c r="AL52" s="43">
        <f t="shared" si="23"/>
        <v>290.11465517241385</v>
      </c>
      <c r="AM52" s="43">
        <f t="shared" si="23"/>
        <v>320.08318965517248</v>
      </c>
      <c r="AN52" s="43">
        <f t="shared" si="23"/>
        <v>290.7903448275863</v>
      </c>
      <c r="AO52" s="43">
        <f t="shared" si="23"/>
        <v>294.79650862068962</v>
      </c>
      <c r="AP52" s="43">
        <f t="shared" si="23"/>
        <v>283.24637931034476</v>
      </c>
      <c r="AQ52" s="43">
        <f t="shared" si="23"/>
        <v>282.06275862068964</v>
      </c>
      <c r="AR52" s="43">
        <f t="shared" si="23"/>
        <v>284.12318965517244</v>
      </c>
      <c r="AS52" s="43">
        <f t="shared" si="23"/>
        <v>269.1003448275863</v>
      </c>
      <c r="AT52" s="43">
        <f t="shared" si="23"/>
        <v>276.42318965517245</v>
      </c>
      <c r="AU52" s="43">
        <f t="shared" si="23"/>
        <v>276.42318965517245</v>
      </c>
      <c r="AV52" s="43">
        <f t="shared" si="23"/>
        <v>276.42318965517245</v>
      </c>
      <c r="AW52" s="689" t="s">
        <v>5</v>
      </c>
      <c r="AX52" s="579" t="s">
        <v>3</v>
      </c>
      <c r="AY52" s="19"/>
      <c r="AZ52" s="19"/>
      <c r="BA52" s="19"/>
      <c r="BB52" s="19"/>
    </row>
    <row r="53" spans="1:55" ht="15" outlineLevel="1" thickBot="1">
      <c r="A53" s="26" t="s">
        <v>233</v>
      </c>
      <c r="B53" s="18"/>
      <c r="C53" s="19"/>
      <c r="D53" s="19"/>
      <c r="E53" s="19"/>
      <c r="F53" s="19"/>
      <c r="G53" s="19"/>
      <c r="H53" s="19"/>
      <c r="I53" s="19"/>
      <c r="J53" s="19"/>
      <c r="K53" s="19"/>
      <c r="L53" s="19"/>
      <c r="M53" s="64">
        <f>M59-M103-M109-M110-M111-M119-M120-M121-M122-M123-M124-M125-M126-M128-M129-M131-M132-M133-M134-M135-M136-M137-M138-M139</f>
        <v>118.10699999999997</v>
      </c>
      <c r="N53" s="64">
        <f>N59-N103-N109-N110-N111-N119-N120-N121-N122-N123-N124-N125-N126-N128-N129-N131-N132-N133-N134-N135-N136-N137-N138-N139</f>
        <v>139.47399999999999</v>
      </c>
      <c r="O53" s="64">
        <f>O59-O103-O109-O110-O111-O119-O120-O121-O122-O123-O124-O125-O126-O128-O129-O131-O132-O133-O134-O135-O136-O137-O138-O139</f>
        <v>140.74199999999999</v>
      </c>
      <c r="P53" s="64">
        <f>P59-P103-P109-P110-P111-P119-P120-P121-P122-P123-P124-P125-P126-P128-P129-P131-P132-P133-P134-P135-P136-P137-P138-P139</f>
        <v>89.700999999999979</v>
      </c>
      <c r="Q53" s="64">
        <f>Q59-Q103-Q109-Q110-Q111-Q119-Q120-Q121-Q122-Q123-Q124-Q125-Q126-Q128-Q129-Q131-Q132-Q133-Q134-Q135-Q136-Q137-Q138-Q139</f>
        <v>115.392</v>
      </c>
      <c r="R53" s="64">
        <f t="shared" ref="R53:AV53" si="24">R59-R103-R107-R109-R110-R111-R119-R120-R121-R122-R123-R124-R125-R126-R128-R129-R131-R132-R133-R134-R135-R136-R137-R138-R139</f>
        <v>90.575999999999993</v>
      </c>
      <c r="S53" s="64">
        <f t="shared" si="24"/>
        <v>104.07799999999997</v>
      </c>
      <c r="T53" s="64">
        <f t="shared" si="24"/>
        <v>105.9876373626374</v>
      </c>
      <c r="U53" s="64">
        <f t="shared" si="24"/>
        <v>124.39</v>
      </c>
      <c r="V53" s="64">
        <f t="shared" si="24"/>
        <v>118.44200000000002</v>
      </c>
      <c r="W53" s="64">
        <f t="shared" si="24"/>
        <v>108.9</v>
      </c>
      <c r="X53" s="64">
        <f t="shared" si="24"/>
        <v>106.32599999999999</v>
      </c>
      <c r="Y53" s="64">
        <f t="shared" si="24"/>
        <v>119.73485793868549</v>
      </c>
      <c r="Z53" s="64">
        <f t="shared" si="24"/>
        <v>88.984232274350305</v>
      </c>
      <c r="AA53" s="64">
        <f t="shared" si="24"/>
        <v>107.17399999999996</v>
      </c>
      <c r="AB53" s="64">
        <f t="shared" si="24"/>
        <v>102.68900000000004</v>
      </c>
      <c r="AC53" s="64">
        <f t="shared" si="24"/>
        <v>92.214000000000013</v>
      </c>
      <c r="AD53" s="64">
        <f t="shared" si="24"/>
        <v>91.528853501773014</v>
      </c>
      <c r="AE53" s="64">
        <f t="shared" si="24"/>
        <v>30.741</v>
      </c>
      <c r="AF53" s="64">
        <f t="shared" si="24"/>
        <v>116.96299999999999</v>
      </c>
      <c r="AG53" s="64">
        <f t="shared" si="24"/>
        <v>75.481328758432213</v>
      </c>
      <c r="AH53" s="64">
        <f t="shared" si="24"/>
        <v>102.14227184122046</v>
      </c>
      <c r="AI53" s="64">
        <f t="shared" si="24"/>
        <v>105.76927817290158</v>
      </c>
      <c r="AJ53" s="64">
        <f t="shared" si="24"/>
        <v>110.120099288777</v>
      </c>
      <c r="AK53" s="64">
        <f t="shared" si="24"/>
        <v>129.36369986674006</v>
      </c>
      <c r="AL53" s="64">
        <f t="shared" si="24"/>
        <v>96.049737921559256</v>
      </c>
      <c r="AM53" s="64">
        <f t="shared" si="24"/>
        <v>110.40784617332676</v>
      </c>
      <c r="AN53" s="64">
        <f t="shared" si="24"/>
        <v>80.630921669341461</v>
      </c>
      <c r="AO53" s="64">
        <f t="shared" si="24"/>
        <v>85.848729370498603</v>
      </c>
      <c r="AP53" s="64">
        <f t="shared" si="24"/>
        <v>100.26365197562652</v>
      </c>
      <c r="AQ53" s="64">
        <f t="shared" si="24"/>
        <v>104.3877698147223</v>
      </c>
      <c r="AR53" s="64">
        <f t="shared" si="24"/>
        <v>98.914735659467709</v>
      </c>
      <c r="AS53" s="64">
        <f t="shared" si="24"/>
        <v>102.95440777162455</v>
      </c>
      <c r="AT53" s="64">
        <f t="shared" si="24"/>
        <v>99.531149833689739</v>
      </c>
      <c r="AU53" s="64">
        <f t="shared" si="24"/>
        <v>88.066660289481064</v>
      </c>
      <c r="AV53" s="64">
        <f t="shared" si="24"/>
        <v>88.339379982583381</v>
      </c>
      <c r="AW53" s="692"/>
      <c r="AX53" s="580" t="s">
        <v>158</v>
      </c>
      <c r="AY53" s="19"/>
      <c r="AZ53" s="19"/>
      <c r="BA53" s="19"/>
      <c r="BB53" s="19"/>
    </row>
    <row r="54" spans="1:55" s="55" customFormat="1" ht="15" outlineLevel="1" thickBot="1">
      <c r="A54" s="861" t="s">
        <v>180</v>
      </c>
      <c r="B54" s="855"/>
      <c r="C54" s="855" t="s">
        <v>220</v>
      </c>
      <c r="D54" s="855"/>
      <c r="E54" s="57">
        <f t="shared" ref="E54:AV54" si="25">E3</f>
        <v>43587</v>
      </c>
      <c r="F54" s="58">
        <f t="shared" si="25"/>
        <v>43618</v>
      </c>
      <c r="G54" s="58">
        <f t="shared" si="25"/>
        <v>43648</v>
      </c>
      <c r="H54" s="58">
        <f t="shared" si="25"/>
        <v>43679</v>
      </c>
      <c r="I54" s="58">
        <f t="shared" si="25"/>
        <v>43710</v>
      </c>
      <c r="J54" s="58">
        <f t="shared" si="25"/>
        <v>43740</v>
      </c>
      <c r="K54" s="58">
        <f t="shared" si="25"/>
        <v>43771</v>
      </c>
      <c r="L54" s="58">
        <f t="shared" si="25"/>
        <v>43801</v>
      </c>
      <c r="M54" s="58">
        <f t="shared" si="25"/>
        <v>43832</v>
      </c>
      <c r="N54" s="58">
        <f t="shared" si="25"/>
        <v>43863</v>
      </c>
      <c r="O54" s="58">
        <f t="shared" si="25"/>
        <v>43892</v>
      </c>
      <c r="P54" s="58">
        <f t="shared" si="25"/>
        <v>43923</v>
      </c>
      <c r="Q54" s="58">
        <f t="shared" si="25"/>
        <v>43953</v>
      </c>
      <c r="R54" s="58">
        <f t="shared" si="25"/>
        <v>43984</v>
      </c>
      <c r="S54" s="58">
        <f t="shared" si="25"/>
        <v>44014</v>
      </c>
      <c r="T54" s="58">
        <f t="shared" si="25"/>
        <v>44045</v>
      </c>
      <c r="U54" s="58">
        <f t="shared" si="25"/>
        <v>44076</v>
      </c>
      <c r="V54" s="58">
        <f t="shared" si="25"/>
        <v>44106</v>
      </c>
      <c r="W54" s="58">
        <f t="shared" si="25"/>
        <v>44137</v>
      </c>
      <c r="X54" s="58">
        <f t="shared" si="25"/>
        <v>44167</v>
      </c>
      <c r="Y54" s="58">
        <f t="shared" si="25"/>
        <v>44198</v>
      </c>
      <c r="Z54" s="58">
        <f t="shared" si="25"/>
        <v>44229</v>
      </c>
      <c r="AA54" s="58">
        <f t="shared" si="25"/>
        <v>44257</v>
      </c>
      <c r="AB54" s="58">
        <f t="shared" si="25"/>
        <v>44288</v>
      </c>
      <c r="AC54" s="58">
        <f t="shared" si="25"/>
        <v>44318</v>
      </c>
      <c r="AD54" s="58">
        <f t="shared" si="25"/>
        <v>44349</v>
      </c>
      <c r="AE54" s="58">
        <f t="shared" si="25"/>
        <v>44379</v>
      </c>
      <c r="AF54" s="58">
        <f t="shared" si="25"/>
        <v>44410</v>
      </c>
      <c r="AG54" s="58">
        <f t="shared" si="25"/>
        <v>44441</v>
      </c>
      <c r="AH54" s="58">
        <f t="shared" si="25"/>
        <v>44471</v>
      </c>
      <c r="AI54" s="58">
        <f t="shared" si="25"/>
        <v>44502</v>
      </c>
      <c r="AJ54" s="58">
        <f t="shared" si="25"/>
        <v>44532</v>
      </c>
      <c r="AK54" s="58">
        <f t="shared" si="25"/>
        <v>44563</v>
      </c>
      <c r="AL54" s="58">
        <f t="shared" si="25"/>
        <v>44594</v>
      </c>
      <c r="AM54" s="58">
        <f t="shared" si="25"/>
        <v>44622</v>
      </c>
      <c r="AN54" s="58">
        <f t="shared" si="25"/>
        <v>44653</v>
      </c>
      <c r="AO54" s="58">
        <f t="shared" si="25"/>
        <v>44683</v>
      </c>
      <c r="AP54" s="58">
        <f t="shared" si="25"/>
        <v>44714</v>
      </c>
      <c r="AQ54" s="58">
        <f t="shared" si="25"/>
        <v>44744</v>
      </c>
      <c r="AR54" s="58">
        <f t="shared" si="25"/>
        <v>44775</v>
      </c>
      <c r="AS54" s="58">
        <f t="shared" si="25"/>
        <v>44806</v>
      </c>
      <c r="AT54" s="58">
        <f t="shared" si="25"/>
        <v>44836</v>
      </c>
      <c r="AU54" s="58">
        <f t="shared" si="25"/>
        <v>44867</v>
      </c>
      <c r="AV54" s="58">
        <f t="shared" si="25"/>
        <v>44897</v>
      </c>
      <c r="AW54" s="717"/>
      <c r="AX54" s="54"/>
      <c r="AY54" s="54"/>
      <c r="AZ54" s="54"/>
      <c r="BA54" s="54"/>
      <c r="BB54" s="54"/>
    </row>
    <row r="55" spans="1:55" s="55" customFormat="1" outlineLevel="1">
      <c r="A55" s="16" t="s">
        <v>222</v>
      </c>
      <c r="B55" s="27"/>
      <c r="C55" s="857" t="s">
        <v>234</v>
      </c>
      <c r="D55" s="858"/>
      <c r="E55" s="305"/>
      <c r="F55" s="305"/>
      <c r="G55" s="305"/>
      <c r="H55" s="305"/>
      <c r="I55" s="305"/>
      <c r="J55" s="305"/>
      <c r="K55" s="305"/>
      <c r="L55" s="305"/>
      <c r="M55" s="305"/>
      <c r="N55" s="305"/>
      <c r="O55" s="305"/>
      <c r="P55" s="305"/>
      <c r="Q55" s="624"/>
      <c r="R55" s="624">
        <v>70</v>
      </c>
      <c r="S55" s="624">
        <v>74.078409090909062</v>
      </c>
      <c r="T55" s="624">
        <v>80.5</v>
      </c>
      <c r="U55" s="624">
        <v>75.221000000000004</v>
      </c>
      <c r="V55" s="624">
        <v>85.72</v>
      </c>
      <c r="W55" s="624">
        <v>83.730999999999995</v>
      </c>
      <c r="X55" s="624">
        <v>85</v>
      </c>
      <c r="Y55" s="624">
        <v>93.219380729154906</v>
      </c>
      <c r="Z55" s="624">
        <v>85.441534018875444</v>
      </c>
      <c r="AA55" s="624">
        <v>98</v>
      </c>
      <c r="AB55" s="624">
        <v>86.9</v>
      </c>
      <c r="AC55" s="624">
        <v>89</v>
      </c>
      <c r="AD55" s="624">
        <v>94.238</v>
      </c>
      <c r="AE55" s="93">
        <v>47.682000000000002</v>
      </c>
      <c r="AF55" s="625">
        <v>89.749651273033137</v>
      </c>
      <c r="AG55" s="625">
        <v>86.534616232137253</v>
      </c>
      <c r="AH55" s="625">
        <v>76.468076812202298</v>
      </c>
      <c r="AI55" s="625">
        <v>82.465315391084943</v>
      </c>
      <c r="AJ55" s="625">
        <v>84.145958406606013</v>
      </c>
      <c r="AK55" s="625">
        <v>90.676073310905522</v>
      </c>
      <c r="AL55" s="625">
        <v>81.719993832352117</v>
      </c>
      <c r="AM55" s="625">
        <v>90.676073310905522</v>
      </c>
      <c r="AN55" s="625">
        <v>84.690469582282034</v>
      </c>
      <c r="AO55" s="625">
        <v>76.924383391876503</v>
      </c>
      <c r="AP55" s="625">
        <v>80.6695206055509</v>
      </c>
      <c r="AQ55" s="625">
        <v>83.358504625735918</v>
      </c>
      <c r="AR55" s="625">
        <v>83.810707457246977</v>
      </c>
      <c r="AS55" s="625">
        <v>81.107136248948706</v>
      </c>
      <c r="AT55" s="625">
        <v>83.810707457246977</v>
      </c>
      <c r="AU55" s="725">
        <v>81.107136248948706</v>
      </c>
      <c r="AV55" s="725">
        <v>83.218805999439297</v>
      </c>
      <c r="AW55" s="688" t="s">
        <v>159</v>
      </c>
      <c r="AX55" s="579" t="s">
        <v>3</v>
      </c>
      <c r="AY55" s="358">
        <f>SUM(Y55:AJ55)</f>
        <v>1013.8445328630939</v>
      </c>
      <c r="AZ55" s="54"/>
      <c r="BA55" s="54"/>
      <c r="BB55" s="54"/>
    </row>
    <row r="56" spans="1:55" s="55" customFormat="1" outlineLevel="1">
      <c r="A56" s="28" t="s">
        <v>224</v>
      </c>
      <c r="B56" s="3"/>
      <c r="C56" s="859" t="str">
        <f>C55</f>
        <v>Ability 11rev3_20Oct'21</v>
      </c>
      <c r="D56" s="860"/>
      <c r="E56" s="305"/>
      <c r="F56" s="305"/>
      <c r="G56" s="305"/>
      <c r="H56" s="305"/>
      <c r="I56" s="305"/>
      <c r="J56" s="305"/>
      <c r="K56" s="305"/>
      <c r="L56" s="305"/>
      <c r="M56" s="305"/>
      <c r="N56" s="305"/>
      <c r="O56" s="305"/>
      <c r="P56" s="305"/>
      <c r="Q56" s="624"/>
      <c r="R56" s="624">
        <f t="shared" ref="R56:AV56" si="26">R59-R55</f>
        <v>168.5</v>
      </c>
      <c r="S56" s="624">
        <f t="shared" si="26"/>
        <v>176.52959090909093</v>
      </c>
      <c r="T56" s="624">
        <f t="shared" si="26"/>
        <v>189.8</v>
      </c>
      <c r="U56" s="624">
        <f t="shared" si="26"/>
        <v>200.779</v>
      </c>
      <c r="V56" s="624">
        <f t="shared" si="26"/>
        <v>194.08200000000002</v>
      </c>
      <c r="W56" s="624">
        <f t="shared" si="26"/>
        <v>171.96899999999999</v>
      </c>
      <c r="X56" s="624">
        <f t="shared" si="26"/>
        <v>182.7</v>
      </c>
      <c r="Y56" s="624">
        <f t="shared" si="26"/>
        <v>184.18247720953059</v>
      </c>
      <c r="Z56" s="456">
        <f t="shared" si="26"/>
        <v>168.89869825547487</v>
      </c>
      <c r="AA56" s="456">
        <f t="shared" si="26"/>
        <v>187</v>
      </c>
      <c r="AB56" s="456">
        <f t="shared" si="26"/>
        <v>177.6</v>
      </c>
      <c r="AC56" s="456">
        <f t="shared" si="26"/>
        <v>201.161</v>
      </c>
      <c r="AD56" s="456">
        <f>AD59-AD55</f>
        <v>189.04585350177302</v>
      </c>
      <c r="AE56" s="456">
        <f t="shared" si="26"/>
        <v>166.31799999999998</v>
      </c>
      <c r="AF56" s="456">
        <f>AF59-AF55</f>
        <v>189.25034872696688</v>
      </c>
      <c r="AG56" s="456">
        <f t="shared" si="26"/>
        <v>170.22171252629494</v>
      </c>
      <c r="AH56" s="456">
        <f t="shared" si="26"/>
        <v>165.77219502901818</v>
      </c>
      <c r="AI56" s="456">
        <f t="shared" si="26"/>
        <v>175.51296278181664</v>
      </c>
      <c r="AJ56" s="456">
        <f t="shared" si="26"/>
        <v>186.92414088217097</v>
      </c>
      <c r="AK56" s="456">
        <f t="shared" si="26"/>
        <v>204.69780599943931</v>
      </c>
      <c r="AL56" s="456">
        <f t="shared" si="26"/>
        <v>180.01966134006173</v>
      </c>
      <c r="AM56" s="456">
        <f t="shared" si="26"/>
        <v>199.10711634426696</v>
      </c>
      <c r="AN56" s="456">
        <f t="shared" si="26"/>
        <v>182.24487524530423</v>
      </c>
      <c r="AO56" s="456">
        <f t="shared" si="26"/>
        <v>188.1921252288131</v>
      </c>
      <c r="AP56" s="456">
        <f t="shared" si="26"/>
        <v>174.8218587047939</v>
      </c>
      <c r="AQ56" s="456">
        <f t="shared" si="26"/>
        <v>180.64925399495371</v>
      </c>
      <c r="AR56" s="456">
        <f t="shared" si="26"/>
        <v>180.39748219792546</v>
      </c>
      <c r="AS56" s="456">
        <f t="shared" si="26"/>
        <v>174.57820857863757</v>
      </c>
      <c r="AT56" s="456">
        <f t="shared" si="26"/>
        <v>180.39748219792546</v>
      </c>
      <c r="AU56" s="726">
        <f t="shared" si="26"/>
        <v>168.68165685449958</v>
      </c>
      <c r="AV56" s="726">
        <f t="shared" si="26"/>
        <v>159.68602477650674</v>
      </c>
      <c r="AW56" s="688" t="s">
        <v>159</v>
      </c>
      <c r="AX56" s="579" t="s">
        <v>3</v>
      </c>
      <c r="AY56" s="455"/>
      <c r="AZ56" s="54"/>
      <c r="BA56" s="54"/>
      <c r="BB56" s="54"/>
    </row>
    <row r="57" spans="1:55" s="55" customFormat="1" outlineLevel="1">
      <c r="A57" s="550" t="s">
        <v>225</v>
      </c>
      <c r="B57" s="3"/>
      <c r="C57" s="867" t="str">
        <f>C55</f>
        <v>Ability 11rev3_20Oct'21</v>
      </c>
      <c r="D57" s="868"/>
      <c r="E57" s="305"/>
      <c r="F57" s="305"/>
      <c r="G57" s="305"/>
      <c r="H57" s="305"/>
      <c r="I57" s="305"/>
      <c r="J57" s="305"/>
      <c r="K57" s="305"/>
      <c r="L57" s="305"/>
      <c r="M57" s="305"/>
      <c r="N57" s="305"/>
      <c r="O57" s="305"/>
      <c r="P57" s="305"/>
      <c r="Q57" s="624"/>
      <c r="R57" s="624"/>
      <c r="S57" s="624"/>
      <c r="T57" s="624"/>
      <c r="U57" s="624"/>
      <c r="V57" s="624"/>
      <c r="W57" s="624"/>
      <c r="X57" s="624"/>
      <c r="Y57" s="624"/>
      <c r="Z57" s="454">
        <v>38.612364983928693</v>
      </c>
      <c r="AA57" s="454">
        <v>43.169512195121946</v>
      </c>
      <c r="AB57" s="454">
        <v>56.726731707317072</v>
      </c>
      <c r="AC57" s="454">
        <v>71.565375161550747</v>
      </c>
      <c r="AD57" s="454">
        <v>58.113</v>
      </c>
      <c r="AE57" s="454">
        <v>82.88682871836977</v>
      </c>
      <c r="AF57" s="454">
        <v>54.557517241379337</v>
      </c>
      <c r="AG57" s="454">
        <v>64.153119295173951</v>
      </c>
      <c r="AH57" s="454">
        <v>54.917734799985176</v>
      </c>
      <c r="AI57" s="454">
        <v>51.2637931034483</v>
      </c>
      <c r="AJ57" s="454">
        <v>46.58760302775444</v>
      </c>
      <c r="AK57" s="454">
        <v>49.839743481917623</v>
      </c>
      <c r="AL57" s="454">
        <v>53.658620689655145</v>
      </c>
      <c r="AM57" s="454">
        <v>41.547560975609784</v>
      </c>
      <c r="AN57" s="454">
        <v>60.502354920100892</v>
      </c>
      <c r="AO57" s="454">
        <v>52.801219512195097</v>
      </c>
      <c r="AP57" s="454">
        <v>40.865853658536587</v>
      </c>
      <c r="AQ57" s="454">
        <v>42.228048780487804</v>
      </c>
      <c r="AR57" s="454">
        <v>41.660975609756072</v>
      </c>
      <c r="AS57" s="454">
        <v>40.317073170731689</v>
      </c>
      <c r="AT57" s="454">
        <v>41.660975609756072</v>
      </c>
      <c r="AU57" s="726">
        <v>40.317073170731689</v>
      </c>
      <c r="AV57" s="726">
        <v>42.233208255159454</v>
      </c>
      <c r="AW57" s="688" t="s">
        <v>159</v>
      </c>
      <c r="AX57" s="579" t="s">
        <v>3</v>
      </c>
      <c r="AY57" s="455"/>
      <c r="AZ57" s="54" t="s">
        <v>235</v>
      </c>
      <c r="BA57" s="54"/>
      <c r="BB57" s="54"/>
    </row>
    <row r="58" spans="1:55" s="55" customFormat="1" outlineLevel="1">
      <c r="A58" s="550" t="s">
        <v>226</v>
      </c>
      <c r="B58" s="3"/>
      <c r="C58" s="867" t="str">
        <f>C55</f>
        <v>Ability 11rev3_20Oct'21</v>
      </c>
      <c r="D58" s="868"/>
      <c r="E58" s="305"/>
      <c r="F58" s="305"/>
      <c r="G58" s="305"/>
      <c r="H58" s="305"/>
      <c r="I58" s="305"/>
      <c r="J58" s="305"/>
      <c r="K58" s="305"/>
      <c r="L58" s="305"/>
      <c r="M58" s="305"/>
      <c r="N58" s="305"/>
      <c r="O58" s="305"/>
      <c r="P58" s="305"/>
      <c r="Q58" s="624"/>
      <c r="R58" s="624"/>
      <c r="S58" s="624"/>
      <c r="T58" s="624"/>
      <c r="U58" s="624"/>
      <c r="V58" s="624"/>
      <c r="W58" s="624"/>
      <c r="X58" s="624"/>
      <c r="Y58" s="624"/>
      <c r="Z58" s="454">
        <v>130.2863332715462</v>
      </c>
      <c r="AA58" s="454">
        <v>148.70393375022635</v>
      </c>
      <c r="AB58" s="454">
        <v>123.2011473354232</v>
      </c>
      <c r="AC58" s="454">
        <v>122.08791091068261</v>
      </c>
      <c r="AD58" s="454">
        <v>133.84585350177301</v>
      </c>
      <c r="AE58" s="454">
        <v>80.936378726555262</v>
      </c>
      <c r="AF58" s="454">
        <v>138.80929131094459</v>
      </c>
      <c r="AG58" s="454">
        <v>106.06859323112101</v>
      </c>
      <c r="AH58" s="454">
        <v>110.85446022903311</v>
      </c>
      <c r="AI58" s="454">
        <v>124.24916967836836</v>
      </c>
      <c r="AJ58" s="454">
        <v>140.33653785441658</v>
      </c>
      <c r="AK58" s="454">
        <v>154.85806251752169</v>
      </c>
      <c r="AL58" s="454">
        <v>126.36104065040655</v>
      </c>
      <c r="AM58" s="454">
        <v>157.55955536865713</v>
      </c>
      <c r="AN58" s="454">
        <v>121.74252032520332</v>
      </c>
      <c r="AO58" s="454">
        <v>135.39090571661805</v>
      </c>
      <c r="AP58" s="454">
        <v>133.9560050462573</v>
      </c>
      <c r="AQ58" s="454">
        <v>138.42120521446591</v>
      </c>
      <c r="AR58" s="454">
        <v>138.73650658816939</v>
      </c>
      <c r="AS58" s="454">
        <v>134.2611354079059</v>
      </c>
      <c r="AT58" s="454">
        <v>138.73650658816939</v>
      </c>
      <c r="AU58" s="726">
        <v>128.36458368376788</v>
      </c>
      <c r="AV58" s="726">
        <v>117.45281652134726</v>
      </c>
      <c r="AW58" s="688" t="s">
        <v>159</v>
      </c>
      <c r="AX58" s="579" t="s">
        <v>3</v>
      </c>
      <c r="AY58" s="54"/>
      <c r="AZ58" s="54" t="s">
        <v>236</v>
      </c>
      <c r="BA58" s="54" t="s">
        <v>237</v>
      </c>
      <c r="BB58" s="54" t="s">
        <v>238</v>
      </c>
      <c r="BC58" s="54" t="s">
        <v>239</v>
      </c>
    </row>
    <row r="59" spans="1:55" outlineLevel="1">
      <c r="A59" s="28" t="s">
        <v>227</v>
      </c>
      <c r="B59" s="3"/>
      <c r="C59" s="859" t="str">
        <f>C55</f>
        <v>Ability 11rev3_20Oct'21</v>
      </c>
      <c r="D59" s="860"/>
      <c r="E59" s="306">
        <v>290.613</v>
      </c>
      <c r="F59" s="93">
        <v>302.52800000000002</v>
      </c>
      <c r="G59" s="93">
        <v>320.20999999999998</v>
      </c>
      <c r="H59" s="625">
        <v>318.428</v>
      </c>
      <c r="I59" s="625">
        <v>304.23599999999999</v>
      </c>
      <c r="J59" s="624">
        <v>311</v>
      </c>
      <c r="K59" s="624">
        <v>316.3</v>
      </c>
      <c r="L59" s="223">
        <v>308.76</v>
      </c>
      <c r="M59" s="624">
        <v>274.16699999999997</v>
      </c>
      <c r="N59" s="624">
        <v>269</v>
      </c>
      <c r="O59" s="624">
        <v>299.5</v>
      </c>
      <c r="P59" s="626">
        <v>248.80099999999999</v>
      </c>
      <c r="Q59" s="624">
        <v>225</v>
      </c>
      <c r="R59" s="624">
        <v>238.5</v>
      </c>
      <c r="S59" s="624">
        <f>251.608-1</f>
        <v>250.608</v>
      </c>
      <c r="T59" s="624">
        <v>270.3</v>
      </c>
      <c r="U59" s="624">
        <v>276</v>
      </c>
      <c r="V59" s="624">
        <v>279.80200000000002</v>
      </c>
      <c r="W59" s="624">
        <v>255.7</v>
      </c>
      <c r="X59" s="223">
        <v>267.7</v>
      </c>
      <c r="Y59" s="624">
        <v>277.40185793868551</v>
      </c>
      <c r="Z59" s="624">
        <v>254.34023227435031</v>
      </c>
      <c r="AA59" s="624">
        <f>286-1</f>
        <v>285</v>
      </c>
      <c r="AB59" s="624">
        <v>264.5</v>
      </c>
      <c r="AC59" s="624">
        <v>290.161</v>
      </c>
      <c r="AD59" s="624">
        <v>283.28385350177302</v>
      </c>
      <c r="AE59" s="93">
        <v>214</v>
      </c>
      <c r="AF59" s="93">
        <v>279</v>
      </c>
      <c r="AG59" s="625">
        <v>256.75632875843218</v>
      </c>
      <c r="AH59" s="625">
        <v>242.24027184122048</v>
      </c>
      <c r="AI59" s="625">
        <v>257.97827817290158</v>
      </c>
      <c r="AJ59" s="625">
        <v>271.07009928877699</v>
      </c>
      <c r="AK59" s="625">
        <v>295.37387931034482</v>
      </c>
      <c r="AL59" s="625">
        <v>261.73965517241385</v>
      </c>
      <c r="AM59" s="625">
        <v>289.78318965517246</v>
      </c>
      <c r="AN59" s="625">
        <v>266.93534482758628</v>
      </c>
      <c r="AO59" s="625">
        <v>265.11650862068961</v>
      </c>
      <c r="AP59" s="625">
        <v>255.4913793103448</v>
      </c>
      <c r="AQ59" s="625">
        <v>264.00775862068963</v>
      </c>
      <c r="AR59" s="625">
        <v>264.20818965517242</v>
      </c>
      <c r="AS59" s="625">
        <v>255.68534482758628</v>
      </c>
      <c r="AT59" s="625">
        <v>264.20818965517242</v>
      </c>
      <c r="AU59" s="725">
        <v>249.78879310344828</v>
      </c>
      <c r="AV59" s="725">
        <v>242.90483077594604</v>
      </c>
      <c r="AW59" s="688" t="s">
        <v>159</v>
      </c>
      <c r="AX59" s="579" t="s">
        <v>3</v>
      </c>
      <c r="AY59" s="358">
        <f>SUM(Y59:AJ59)+SUM(Y64:AJ64)</f>
        <v>3338.9669217761398</v>
      </c>
      <c r="AZ59" s="727">
        <f>AZ63+AZ65</f>
        <v>60.096642000000003</v>
      </c>
      <c r="BA59" s="727">
        <f t="shared" ref="BA59:BB59" si="27">BA63+BA65</f>
        <v>219.57681900000003</v>
      </c>
      <c r="BB59" s="727">
        <f t="shared" si="27"/>
        <v>234.63619200000002</v>
      </c>
      <c r="BC59" s="294"/>
    </row>
    <row r="60" spans="1:55" outlineLevel="1">
      <c r="A60" s="28" t="s">
        <v>228</v>
      </c>
      <c r="B60" s="3"/>
      <c r="C60" s="862">
        <v>44480</v>
      </c>
      <c r="D60" s="863"/>
      <c r="E60" s="306"/>
      <c r="F60" s="93"/>
      <c r="G60" s="93"/>
      <c r="H60" s="625"/>
      <c r="I60" s="625"/>
      <c r="J60" s="624"/>
      <c r="K60" s="624"/>
      <c r="L60" s="223"/>
      <c r="M60" s="624"/>
      <c r="N60" s="624"/>
      <c r="O60" s="279">
        <v>0.68</v>
      </c>
      <c r="P60" s="627">
        <v>0.7</v>
      </c>
      <c r="Q60" s="627">
        <v>0.6</v>
      </c>
      <c r="R60" s="627">
        <v>0</v>
      </c>
      <c r="S60" s="627">
        <v>0.6</v>
      </c>
      <c r="T60" s="279">
        <v>0.6</v>
      </c>
      <c r="U60" s="279">
        <v>1.2</v>
      </c>
      <c r="V60" s="628">
        <v>0</v>
      </c>
      <c r="W60" s="628">
        <v>0.6</v>
      </c>
      <c r="X60" s="627">
        <v>1.88</v>
      </c>
      <c r="Y60" s="384">
        <v>0</v>
      </c>
      <c r="Z60" s="437">
        <v>2.4</v>
      </c>
      <c r="AA60" s="423">
        <v>1.2</v>
      </c>
      <c r="AB60" s="423">
        <v>1.2</v>
      </c>
      <c r="AC60" s="423">
        <v>1.2</v>
      </c>
      <c r="AD60" s="728">
        <v>0</v>
      </c>
      <c r="AE60" s="629">
        <v>0</v>
      </c>
      <c r="AF60" s="629">
        <v>0.6</v>
      </c>
      <c r="AG60" s="629">
        <v>0.6</v>
      </c>
      <c r="AH60" s="629">
        <v>1.8</v>
      </c>
      <c r="AI60" s="629">
        <v>1.2</v>
      </c>
      <c r="AJ60" s="629">
        <v>1.2</v>
      </c>
      <c r="AK60" s="306" t="s">
        <v>146</v>
      </c>
      <c r="AL60" s="306" t="s">
        <v>146</v>
      </c>
      <c r="AM60" s="306" t="s">
        <v>146</v>
      </c>
      <c r="AN60" s="306" t="s">
        <v>146</v>
      </c>
      <c r="AO60" s="306" t="s">
        <v>146</v>
      </c>
      <c r="AP60" s="306" t="s">
        <v>146</v>
      </c>
      <c r="AQ60" s="306" t="s">
        <v>146</v>
      </c>
      <c r="AR60" s="306" t="s">
        <v>146</v>
      </c>
      <c r="AS60" s="306" t="s">
        <v>146</v>
      </c>
      <c r="AT60" s="306" t="s">
        <v>146</v>
      </c>
      <c r="AU60" s="725" t="s">
        <v>146</v>
      </c>
      <c r="AV60" s="725" t="s">
        <v>146</v>
      </c>
      <c r="AW60" s="688" t="s">
        <v>159</v>
      </c>
      <c r="AX60" s="579" t="s">
        <v>3</v>
      </c>
      <c r="AY60" s="729">
        <f>BB68</f>
        <v>0.40604287816137052</v>
      </c>
      <c r="AZ60" s="730">
        <v>1</v>
      </c>
      <c r="BA60" s="730">
        <f>BB68</f>
        <v>0.40604287816137052</v>
      </c>
      <c r="BB60" s="730">
        <f>BB68</f>
        <v>0.40604287816137052</v>
      </c>
      <c r="BC60" s="730"/>
    </row>
    <row r="61" spans="1:55" outlineLevel="1">
      <c r="A61" s="28" t="s">
        <v>33</v>
      </c>
      <c r="B61" s="3"/>
      <c r="C61" s="862">
        <v>44490</v>
      </c>
      <c r="D61" s="863"/>
      <c r="E61" s="629">
        <v>15.573</v>
      </c>
      <c r="F61" s="73">
        <v>16</v>
      </c>
      <c r="G61" s="629">
        <v>21</v>
      </c>
      <c r="H61" s="73">
        <v>25</v>
      </c>
      <c r="I61" s="73">
        <v>25</v>
      </c>
      <c r="J61" s="73">
        <v>22</v>
      </c>
      <c r="K61" s="188">
        <v>23</v>
      </c>
      <c r="L61" s="188">
        <v>25</v>
      </c>
      <c r="M61" s="624">
        <f>23-3</f>
        <v>20</v>
      </c>
      <c r="N61" s="233">
        <v>18</v>
      </c>
      <c r="O61" s="223">
        <v>7</v>
      </c>
      <c r="P61" s="223">
        <v>2</v>
      </c>
      <c r="Q61" s="630">
        <v>6</v>
      </c>
      <c r="R61" s="630">
        <v>0</v>
      </c>
      <c r="S61" s="631">
        <v>4</v>
      </c>
      <c r="T61" s="631">
        <v>1.2</v>
      </c>
      <c r="U61" s="631">
        <v>0</v>
      </c>
      <c r="V61" s="631">
        <v>0</v>
      </c>
      <c r="W61" s="221">
        <v>13</v>
      </c>
      <c r="X61" s="221">
        <v>11.6</v>
      </c>
      <c r="Y61" s="221">
        <v>19</v>
      </c>
      <c r="Z61" s="221">
        <f>3+12</f>
        <v>15</v>
      </c>
      <c r="AA61" s="631">
        <v>0</v>
      </c>
      <c r="AB61" s="631">
        <v>2</v>
      </c>
      <c r="AC61" s="631">
        <v>0</v>
      </c>
      <c r="AD61" s="629">
        <v>0</v>
      </c>
      <c r="AE61" s="629">
        <v>0</v>
      </c>
      <c r="AF61" s="629">
        <v>0</v>
      </c>
      <c r="AG61" s="629">
        <v>0</v>
      </c>
      <c r="AH61" s="629">
        <v>1</v>
      </c>
      <c r="AI61" s="629">
        <v>0</v>
      </c>
      <c r="AJ61" s="629">
        <v>0</v>
      </c>
      <c r="AK61" s="629">
        <v>0</v>
      </c>
      <c r="AL61" s="629">
        <v>0</v>
      </c>
      <c r="AM61" s="629">
        <v>0</v>
      </c>
      <c r="AN61" s="629">
        <v>0</v>
      </c>
      <c r="AO61" s="629">
        <v>0</v>
      </c>
      <c r="AP61" s="629">
        <v>0</v>
      </c>
      <c r="AQ61" s="629">
        <v>0</v>
      </c>
      <c r="AR61" s="629">
        <v>0</v>
      </c>
      <c r="AS61" s="629">
        <v>0</v>
      </c>
      <c r="AT61" s="629">
        <v>0</v>
      </c>
      <c r="AU61" s="731">
        <v>0</v>
      </c>
      <c r="AV61" s="731">
        <v>0</v>
      </c>
      <c r="AW61" s="688" t="s">
        <v>159</v>
      </c>
      <c r="AX61" s="579" t="s">
        <v>3</v>
      </c>
      <c r="AY61" s="19"/>
      <c r="AZ61" s="19"/>
      <c r="BA61" s="19"/>
      <c r="BB61" s="19"/>
    </row>
    <row r="62" spans="1:55" outlineLevel="1">
      <c r="A62" s="28" t="s">
        <v>229</v>
      </c>
      <c r="B62" s="3"/>
      <c r="C62" s="862">
        <v>44495</v>
      </c>
      <c r="D62" s="863"/>
      <c r="E62" s="629">
        <v>8.4</v>
      </c>
      <c r="F62" s="629">
        <v>6.2</v>
      </c>
      <c r="G62" s="73">
        <v>7.2</v>
      </c>
      <c r="H62" s="192">
        <v>7.2</v>
      </c>
      <c r="I62" s="73">
        <v>7.4</v>
      </c>
      <c r="J62" s="73">
        <v>6.7</v>
      </c>
      <c r="K62" s="631">
        <v>0</v>
      </c>
      <c r="L62" s="224">
        <v>3.96</v>
      </c>
      <c r="M62" s="631">
        <v>6.37</v>
      </c>
      <c r="N62" s="631">
        <v>6.1</v>
      </c>
      <c r="O62" s="631">
        <v>6.4799999999999995</v>
      </c>
      <c r="P62" s="631">
        <v>4.3</v>
      </c>
      <c r="Q62" s="631">
        <v>3</v>
      </c>
      <c r="R62" s="631">
        <v>3</v>
      </c>
      <c r="S62" s="631">
        <v>3.5</v>
      </c>
      <c r="T62" s="631">
        <v>3</v>
      </c>
      <c r="U62" s="221">
        <v>3.6</v>
      </c>
      <c r="V62" s="221">
        <f>8.06-2+0.7</f>
        <v>6.7600000000000007</v>
      </c>
      <c r="W62" s="221">
        <v>6.06</v>
      </c>
      <c r="X62" s="224">
        <v>6.67</v>
      </c>
      <c r="Y62" s="224">
        <v>8.3699999999999992</v>
      </c>
      <c r="Z62" s="224">
        <f>6.48+0.6+0.6</f>
        <v>7.68</v>
      </c>
      <c r="AA62" s="224">
        <v>6.63</v>
      </c>
      <c r="AB62" s="631">
        <v>5.73</v>
      </c>
      <c r="AC62" s="221">
        <v>5.76</v>
      </c>
      <c r="AD62" s="629">
        <f>5.78-0.81-0.11</f>
        <v>4.8600000000000003</v>
      </c>
      <c r="AE62" s="73">
        <f>6.12-0.72</f>
        <v>5.4</v>
      </c>
      <c r="AF62" s="629">
        <v>6.12</v>
      </c>
      <c r="AG62" s="629">
        <v>5.4</v>
      </c>
      <c r="AH62" s="73">
        <f>5.4-0.9</f>
        <v>4.5</v>
      </c>
      <c r="AI62" s="629">
        <v>7.4</v>
      </c>
      <c r="AJ62" s="629">
        <v>5.4</v>
      </c>
      <c r="AK62" s="629">
        <v>6.12</v>
      </c>
      <c r="AL62" s="629">
        <v>6.12</v>
      </c>
      <c r="AM62" s="629">
        <v>6.12</v>
      </c>
      <c r="AN62" s="629">
        <v>6.12</v>
      </c>
      <c r="AO62" s="629">
        <v>6.12</v>
      </c>
      <c r="AP62" s="629">
        <v>6.12</v>
      </c>
      <c r="AQ62" s="629">
        <v>6.12</v>
      </c>
      <c r="AR62" s="629">
        <v>6.12</v>
      </c>
      <c r="AS62" s="629">
        <v>6.12</v>
      </c>
      <c r="AT62" s="629">
        <v>6.12</v>
      </c>
      <c r="AU62" s="731">
        <v>6.12</v>
      </c>
      <c r="AV62" s="731">
        <v>6.12</v>
      </c>
      <c r="AW62" s="688" t="s">
        <v>159</v>
      </c>
      <c r="AX62" s="579" t="s">
        <v>3</v>
      </c>
      <c r="AY62" s="54" t="s">
        <v>240</v>
      </c>
      <c r="AZ62" s="54" t="s">
        <v>236</v>
      </c>
      <c r="BA62" s="54" t="s">
        <v>237</v>
      </c>
      <c r="BB62" s="54" t="s">
        <v>238</v>
      </c>
    </row>
    <row r="63" spans="1:55" outlineLevel="1">
      <c r="A63" s="28" t="s">
        <v>230</v>
      </c>
      <c r="B63" s="3"/>
      <c r="C63" s="862">
        <v>44480</v>
      </c>
      <c r="D63" s="863"/>
      <c r="E63" s="629">
        <v>5.89</v>
      </c>
      <c r="F63" s="629">
        <v>6.22</v>
      </c>
      <c r="G63" s="629">
        <v>5.89</v>
      </c>
      <c r="H63" s="629">
        <v>6.05</v>
      </c>
      <c r="I63" s="629">
        <v>5.85</v>
      </c>
      <c r="J63" s="629">
        <v>6.05</v>
      </c>
      <c r="K63" s="221">
        <v>6.7</v>
      </c>
      <c r="L63" s="631">
        <v>6.05</v>
      </c>
      <c r="M63" s="631">
        <v>6.2</v>
      </c>
      <c r="N63" s="631">
        <v>5.66</v>
      </c>
      <c r="O63" s="631">
        <v>6.0449999999999999</v>
      </c>
      <c r="P63" s="631">
        <v>5.85</v>
      </c>
      <c r="Q63" s="631">
        <v>4.5999999999999996</v>
      </c>
      <c r="R63" s="631">
        <v>5.7</v>
      </c>
      <c r="S63" s="631">
        <v>5.7</v>
      </c>
      <c r="T63" s="631">
        <v>5.68</v>
      </c>
      <c r="U63" s="631">
        <v>5.4</v>
      </c>
      <c r="V63" s="224">
        <v>5.8</v>
      </c>
      <c r="W63" s="224">
        <v>5.4</v>
      </c>
      <c r="X63" s="224">
        <v>5.58</v>
      </c>
      <c r="Y63" s="224">
        <v>5.4870000000000001</v>
      </c>
      <c r="Z63" s="224">
        <v>5.32</v>
      </c>
      <c r="AA63" s="224">
        <v>5.74</v>
      </c>
      <c r="AB63" s="631">
        <v>5.8220000000000001</v>
      </c>
      <c r="AC63" s="631">
        <v>5.7350000000000003</v>
      </c>
      <c r="AD63" s="629">
        <v>5.99</v>
      </c>
      <c r="AE63" s="629">
        <v>5.7350000000000003</v>
      </c>
      <c r="AF63" s="629">
        <v>5.7350000000000003</v>
      </c>
      <c r="AG63" s="629">
        <v>5.55</v>
      </c>
      <c r="AH63" s="73">
        <f>5.735-0.279</f>
        <v>5.4560000000000004</v>
      </c>
      <c r="AI63" s="629">
        <v>5.55</v>
      </c>
      <c r="AJ63" s="629">
        <v>5.7350000000000003</v>
      </c>
      <c r="AK63" s="629">
        <v>5.7350000000000003</v>
      </c>
      <c r="AL63" s="629">
        <v>5.7350000000000003</v>
      </c>
      <c r="AM63" s="629">
        <v>5.7350000000000003</v>
      </c>
      <c r="AN63" s="629">
        <v>5.7350000000000003</v>
      </c>
      <c r="AO63" s="629">
        <v>5.7350000000000003</v>
      </c>
      <c r="AP63" s="629">
        <v>5.7350000000000003</v>
      </c>
      <c r="AQ63" s="629">
        <v>5.7350000000000003</v>
      </c>
      <c r="AR63" s="629">
        <v>5.7350000000000003</v>
      </c>
      <c r="AS63" s="629">
        <v>5.7350000000000003</v>
      </c>
      <c r="AT63" s="629">
        <v>5.7350000000000003</v>
      </c>
      <c r="AU63" s="731">
        <v>5.7350000000000003</v>
      </c>
      <c r="AV63" s="731">
        <v>5.7350000000000003</v>
      </c>
      <c r="AW63" s="688" t="s">
        <v>159</v>
      </c>
      <c r="AX63" s="579" t="s">
        <v>3</v>
      </c>
      <c r="AY63" s="732"/>
      <c r="AZ63" s="19">
        <v>13</v>
      </c>
      <c r="BA63" s="19">
        <f>(22*3)-AZ63</f>
        <v>53</v>
      </c>
      <c r="BB63" s="19">
        <f>22*3</f>
        <v>66</v>
      </c>
    </row>
    <row r="64" spans="1:55" ht="15" outlineLevel="1" thickBot="1">
      <c r="A64" s="35" t="s">
        <v>231</v>
      </c>
      <c r="B64" s="36"/>
      <c r="C64" s="864">
        <v>44470</v>
      </c>
      <c r="D64" s="866"/>
      <c r="E64" s="629">
        <v>15.6</v>
      </c>
      <c r="F64" s="629">
        <v>16.100000000000001</v>
      </c>
      <c r="G64" s="629">
        <v>16.027000000000001</v>
      </c>
      <c r="H64" s="629">
        <v>14</v>
      </c>
      <c r="I64" s="629">
        <v>15.45</v>
      </c>
      <c r="J64" s="629">
        <v>10.85</v>
      </c>
      <c r="K64" s="630">
        <v>13.15</v>
      </c>
      <c r="L64" s="630">
        <v>13.26</v>
      </c>
      <c r="M64" s="630">
        <v>17</v>
      </c>
      <c r="N64" s="630">
        <v>17.5</v>
      </c>
      <c r="O64" s="630">
        <v>15</v>
      </c>
      <c r="P64" s="631">
        <v>16.5</v>
      </c>
      <c r="Q64" s="630">
        <v>15</v>
      </c>
      <c r="R64" s="631">
        <v>14.5</v>
      </c>
      <c r="S64" s="631">
        <v>15.5</v>
      </c>
      <c r="T64" s="631">
        <v>13.04</v>
      </c>
      <c r="U64" s="631">
        <v>17.2</v>
      </c>
      <c r="V64" s="221">
        <v>15.83</v>
      </c>
      <c r="W64" s="631">
        <v>16.2</v>
      </c>
      <c r="X64" s="224">
        <v>15.4</v>
      </c>
      <c r="Y64" s="221">
        <v>11</v>
      </c>
      <c r="Z64" s="224">
        <v>6.72</v>
      </c>
      <c r="AA64" s="224">
        <v>13.5</v>
      </c>
      <c r="AB64" s="224">
        <v>15</v>
      </c>
      <c r="AC64" s="224">
        <v>15.5</v>
      </c>
      <c r="AD64" s="192">
        <f>13.95-1.5</f>
        <v>12.45</v>
      </c>
      <c r="AE64" s="192">
        <v>9</v>
      </c>
      <c r="AF64" s="192">
        <v>13</v>
      </c>
      <c r="AG64" s="192">
        <v>16.5</v>
      </c>
      <c r="AH64" s="192">
        <v>18.445</v>
      </c>
      <c r="AI64" s="192">
        <v>15.75</v>
      </c>
      <c r="AJ64" s="192">
        <v>16.37</v>
      </c>
      <c r="AK64" s="192">
        <v>17.515000000000001</v>
      </c>
      <c r="AL64" s="192">
        <v>16.52</v>
      </c>
      <c r="AM64" s="192">
        <v>18.445</v>
      </c>
      <c r="AN64" s="192">
        <v>12</v>
      </c>
      <c r="AO64" s="192">
        <v>17.824999999999999</v>
      </c>
      <c r="AP64" s="192">
        <v>15.9</v>
      </c>
      <c r="AQ64" s="192">
        <v>6.2</v>
      </c>
      <c r="AR64" s="192">
        <v>8.06</v>
      </c>
      <c r="AS64" s="192">
        <v>1.56</v>
      </c>
      <c r="AT64" s="192">
        <v>0.36</v>
      </c>
      <c r="AU64" s="731">
        <v>2.2000000000000002</v>
      </c>
      <c r="AV64" s="731">
        <v>1.6</v>
      </c>
      <c r="AW64" s="688" t="s">
        <v>159</v>
      </c>
      <c r="AX64" s="579" t="s">
        <v>3</v>
      </c>
      <c r="AY64" s="54" t="s">
        <v>241</v>
      </c>
      <c r="AZ64" s="54" t="s">
        <v>236</v>
      </c>
      <c r="BA64" s="54" t="s">
        <v>237</v>
      </c>
      <c r="BB64" s="54" t="s">
        <v>238</v>
      </c>
    </row>
    <row r="65" spans="1:58" ht="15" outlineLevel="1" thickBot="1">
      <c r="A65" s="852" t="s">
        <v>232</v>
      </c>
      <c r="B65" s="853"/>
      <c r="C65" s="853"/>
      <c r="D65" s="853"/>
      <c r="E65" s="42">
        <f>SUM(E59:E64)</f>
        <v>336.07599999999996</v>
      </c>
      <c r="F65" s="43">
        <f t="shared" ref="F65:AV65" si="28">SUM(F59:F64)</f>
        <v>347.04800000000006</v>
      </c>
      <c r="G65" s="43">
        <f t="shared" si="28"/>
        <v>370.32699999999994</v>
      </c>
      <c r="H65" s="43">
        <f t="shared" si="28"/>
        <v>370.678</v>
      </c>
      <c r="I65" s="43">
        <f t="shared" si="28"/>
        <v>357.93599999999998</v>
      </c>
      <c r="J65" s="43">
        <f t="shared" si="28"/>
        <v>356.6</v>
      </c>
      <c r="K65" s="43">
        <f t="shared" si="28"/>
        <v>359.15</v>
      </c>
      <c r="L65" s="43">
        <f t="shared" si="28"/>
        <v>357.03</v>
      </c>
      <c r="M65" s="43">
        <f t="shared" si="28"/>
        <v>323.73699999999997</v>
      </c>
      <c r="N65" s="43">
        <f t="shared" si="28"/>
        <v>316.26000000000005</v>
      </c>
      <c r="O65" s="43">
        <f t="shared" si="28"/>
        <v>334.70500000000004</v>
      </c>
      <c r="P65" s="43">
        <f t="shared" si="28"/>
        <v>278.15100000000001</v>
      </c>
      <c r="Q65" s="43">
        <f t="shared" si="28"/>
        <v>254.2</v>
      </c>
      <c r="R65" s="43">
        <f t="shared" si="28"/>
        <v>261.7</v>
      </c>
      <c r="S65" s="43">
        <f>SUM(S59:S64)</f>
        <v>279.90799999999996</v>
      </c>
      <c r="T65" s="43">
        <f>SUM(T59:T64)</f>
        <v>293.82000000000005</v>
      </c>
      <c r="U65" s="43">
        <f>SUM(U59:U64)</f>
        <v>303.39999999999998</v>
      </c>
      <c r="V65" s="43">
        <f t="shared" si="28"/>
        <v>308.19200000000001</v>
      </c>
      <c r="W65" s="43">
        <f t="shared" si="28"/>
        <v>296.95999999999998</v>
      </c>
      <c r="X65" s="43">
        <f t="shared" si="28"/>
        <v>308.83</v>
      </c>
      <c r="Y65" s="43">
        <f t="shared" si="28"/>
        <v>321.25885793868554</v>
      </c>
      <c r="Z65" s="43">
        <f t="shared" si="28"/>
        <v>291.46023227435035</v>
      </c>
      <c r="AA65" s="43">
        <f t="shared" si="28"/>
        <v>312.07</v>
      </c>
      <c r="AB65" s="43">
        <f t="shared" si="28"/>
        <v>294.25200000000001</v>
      </c>
      <c r="AC65" s="43">
        <f t="shared" si="28"/>
        <v>318.35599999999999</v>
      </c>
      <c r="AD65" s="43">
        <f t="shared" si="28"/>
        <v>306.58385350177304</v>
      </c>
      <c r="AE65" s="43">
        <f t="shared" si="28"/>
        <v>234.13500000000002</v>
      </c>
      <c r="AF65" s="43">
        <f t="shared" si="28"/>
        <v>304.45500000000004</v>
      </c>
      <c r="AG65" s="43">
        <f t="shared" si="28"/>
        <v>284.80632875843219</v>
      </c>
      <c r="AH65" s="43">
        <f t="shared" si="28"/>
        <v>273.4412718412205</v>
      </c>
      <c r="AI65" s="43">
        <f t="shared" si="28"/>
        <v>287.87827817290156</v>
      </c>
      <c r="AJ65" s="43">
        <f t="shared" si="28"/>
        <v>299.77509928877697</v>
      </c>
      <c r="AK65" s="43">
        <f t="shared" si="28"/>
        <v>324.74387931034482</v>
      </c>
      <c r="AL65" s="43">
        <f t="shared" si="28"/>
        <v>290.11465517241385</v>
      </c>
      <c r="AM65" s="43">
        <f t="shared" si="28"/>
        <v>320.08318965517248</v>
      </c>
      <c r="AN65" s="43">
        <f t="shared" si="28"/>
        <v>290.7903448275863</v>
      </c>
      <c r="AO65" s="43">
        <f t="shared" si="28"/>
        <v>294.79650862068962</v>
      </c>
      <c r="AP65" s="43">
        <f t="shared" si="28"/>
        <v>283.24637931034476</v>
      </c>
      <c r="AQ65" s="43">
        <f t="shared" si="28"/>
        <v>282.06275862068964</v>
      </c>
      <c r="AR65" s="43">
        <f t="shared" si="28"/>
        <v>284.12318965517244</v>
      </c>
      <c r="AS65" s="43">
        <f t="shared" si="28"/>
        <v>269.1003448275863</v>
      </c>
      <c r="AT65" s="43">
        <f t="shared" si="28"/>
        <v>276.42318965517245</v>
      </c>
      <c r="AU65" s="43">
        <f t="shared" si="28"/>
        <v>263.84379310344826</v>
      </c>
      <c r="AV65" s="43">
        <f t="shared" si="28"/>
        <v>256.35983077594608</v>
      </c>
      <c r="AW65" s="689" t="s">
        <v>5</v>
      </c>
      <c r="AX65" s="579" t="s">
        <v>3</v>
      </c>
      <c r="AY65" s="732"/>
      <c r="AZ65" s="19">
        <v>47.096642000000003</v>
      </c>
      <c r="BA65" s="19">
        <v>166.57681900000003</v>
      </c>
      <c r="BB65" s="19">
        <v>168.63619200000002</v>
      </c>
    </row>
    <row r="66" spans="1:58" ht="15" outlineLevel="1" thickBot="1">
      <c r="A66" s="26" t="s">
        <v>242</v>
      </c>
      <c r="B66" s="18"/>
      <c r="C66" s="19"/>
      <c r="D66" s="19"/>
      <c r="E66" s="19"/>
      <c r="F66" s="19"/>
      <c r="G66" s="19"/>
      <c r="H66" s="19"/>
      <c r="I66" s="19"/>
      <c r="J66" s="19"/>
      <c r="K66" s="19"/>
      <c r="L66" s="19"/>
      <c r="M66" s="19"/>
      <c r="N66" s="19"/>
      <c r="O66" s="19"/>
      <c r="P66" s="294"/>
      <c r="Q66" s="294"/>
      <c r="R66" s="294"/>
      <c r="S66" s="294"/>
      <c r="T66" s="294"/>
      <c r="U66" s="294"/>
      <c r="V66" s="294"/>
      <c r="W66" s="294">
        <v>25</v>
      </c>
      <c r="X66" s="294">
        <v>9</v>
      </c>
      <c r="Y66" s="294"/>
      <c r="Z66" s="294"/>
      <c r="AA66" s="294"/>
      <c r="AB66" s="294"/>
      <c r="AC66" s="294"/>
      <c r="AD66" s="294"/>
      <c r="AE66" s="294"/>
      <c r="AF66" s="294"/>
      <c r="AG66" s="294"/>
      <c r="AH66" s="294"/>
      <c r="AI66" s="294"/>
      <c r="AJ66" s="294"/>
      <c r="AK66" s="294"/>
      <c r="AL66" s="294"/>
      <c r="AM66" s="294"/>
      <c r="AN66" s="294"/>
      <c r="AO66" s="294"/>
      <c r="AP66" s="294"/>
      <c r="AQ66" s="294"/>
      <c r="AR66" s="294"/>
      <c r="AS66" s="294"/>
      <c r="AT66" s="294"/>
      <c r="AU66" s="294"/>
      <c r="AV66" s="294"/>
      <c r="AW66" s="613"/>
      <c r="AX66" s="19"/>
      <c r="AY66" s="19"/>
      <c r="AZ66" s="19"/>
      <c r="BA66" s="19"/>
      <c r="BB66" s="19"/>
    </row>
    <row r="67" spans="1:58" s="55" customFormat="1" ht="15" outlineLevel="1" thickBot="1">
      <c r="A67" s="848" t="s">
        <v>180</v>
      </c>
      <c r="B67" s="849"/>
      <c r="C67" s="849" t="s">
        <v>220</v>
      </c>
      <c r="D67" s="849"/>
      <c r="E67" s="59">
        <f t="shared" ref="E67:AV67" si="29">E3</f>
        <v>43587</v>
      </c>
      <c r="F67" s="60">
        <f t="shared" si="29"/>
        <v>43618</v>
      </c>
      <c r="G67" s="60">
        <f t="shared" si="29"/>
        <v>43648</v>
      </c>
      <c r="H67" s="60">
        <f t="shared" si="29"/>
        <v>43679</v>
      </c>
      <c r="I67" s="60">
        <f t="shared" si="29"/>
        <v>43710</v>
      </c>
      <c r="J67" s="60">
        <f t="shared" si="29"/>
        <v>43740</v>
      </c>
      <c r="K67" s="60">
        <f t="shared" si="29"/>
        <v>43771</v>
      </c>
      <c r="L67" s="60">
        <f t="shared" si="29"/>
        <v>43801</v>
      </c>
      <c r="M67" s="60">
        <f t="shared" si="29"/>
        <v>43832</v>
      </c>
      <c r="N67" s="60">
        <f t="shared" si="29"/>
        <v>43863</v>
      </c>
      <c r="O67" s="60">
        <f t="shared" si="29"/>
        <v>43892</v>
      </c>
      <c r="P67" s="60">
        <f t="shared" si="29"/>
        <v>43923</v>
      </c>
      <c r="Q67" s="60">
        <f t="shared" si="29"/>
        <v>43953</v>
      </c>
      <c r="R67" s="60">
        <f t="shared" si="29"/>
        <v>43984</v>
      </c>
      <c r="S67" s="60">
        <f t="shared" si="29"/>
        <v>44014</v>
      </c>
      <c r="T67" s="60">
        <f t="shared" si="29"/>
        <v>44045</v>
      </c>
      <c r="U67" s="60">
        <f t="shared" si="29"/>
        <v>44076</v>
      </c>
      <c r="V67" s="60">
        <f t="shared" si="29"/>
        <v>44106</v>
      </c>
      <c r="W67" s="60">
        <f t="shared" si="29"/>
        <v>44137</v>
      </c>
      <c r="X67" s="60">
        <f t="shared" si="29"/>
        <v>44167</v>
      </c>
      <c r="Y67" s="60">
        <f t="shared" si="29"/>
        <v>44198</v>
      </c>
      <c r="Z67" s="60">
        <f t="shared" si="29"/>
        <v>44229</v>
      </c>
      <c r="AA67" s="60">
        <f t="shared" si="29"/>
        <v>44257</v>
      </c>
      <c r="AB67" s="60">
        <f t="shared" si="29"/>
        <v>44288</v>
      </c>
      <c r="AC67" s="60">
        <f t="shared" si="29"/>
        <v>44318</v>
      </c>
      <c r="AD67" s="60">
        <f t="shared" si="29"/>
        <v>44349</v>
      </c>
      <c r="AE67" s="60">
        <f t="shared" si="29"/>
        <v>44379</v>
      </c>
      <c r="AF67" s="60">
        <f t="shared" si="29"/>
        <v>44410</v>
      </c>
      <c r="AG67" s="60">
        <f t="shared" si="29"/>
        <v>44441</v>
      </c>
      <c r="AH67" s="60">
        <f t="shared" si="29"/>
        <v>44471</v>
      </c>
      <c r="AI67" s="60">
        <f t="shared" si="29"/>
        <v>44502</v>
      </c>
      <c r="AJ67" s="60">
        <f t="shared" si="29"/>
        <v>44532</v>
      </c>
      <c r="AK67" s="60">
        <f t="shared" si="29"/>
        <v>44563</v>
      </c>
      <c r="AL67" s="60">
        <f t="shared" si="29"/>
        <v>44594</v>
      </c>
      <c r="AM67" s="60">
        <f t="shared" si="29"/>
        <v>44622</v>
      </c>
      <c r="AN67" s="60">
        <f t="shared" si="29"/>
        <v>44653</v>
      </c>
      <c r="AO67" s="60">
        <f t="shared" si="29"/>
        <v>44683</v>
      </c>
      <c r="AP67" s="60">
        <f t="shared" si="29"/>
        <v>44714</v>
      </c>
      <c r="AQ67" s="60">
        <f t="shared" si="29"/>
        <v>44744</v>
      </c>
      <c r="AR67" s="60">
        <f t="shared" si="29"/>
        <v>44775</v>
      </c>
      <c r="AS67" s="60">
        <f t="shared" si="29"/>
        <v>44806</v>
      </c>
      <c r="AT67" s="60">
        <f t="shared" si="29"/>
        <v>44836</v>
      </c>
      <c r="AU67" s="60">
        <f t="shared" si="29"/>
        <v>44867</v>
      </c>
      <c r="AV67" s="60">
        <f t="shared" si="29"/>
        <v>44897</v>
      </c>
      <c r="AW67" s="717"/>
      <c r="AX67" s="54"/>
      <c r="AY67" s="54"/>
      <c r="AZ67" s="54"/>
      <c r="BA67" s="54"/>
      <c r="BB67" s="54"/>
      <c r="BD67" s="55" t="s">
        <v>99</v>
      </c>
      <c r="BE67" s="55" t="s">
        <v>119</v>
      </c>
    </row>
    <row r="68" spans="1:58" s="55" customFormat="1" ht="15" outlineLevel="1" thickBot="1">
      <c r="A68" s="16" t="s">
        <v>222</v>
      </c>
      <c r="B68" s="27"/>
      <c r="C68" s="857"/>
      <c r="D68" s="858"/>
      <c r="E68" s="59"/>
      <c r="F68" s="60"/>
      <c r="G68" s="60"/>
      <c r="H68" s="60"/>
      <c r="I68" s="60"/>
      <c r="J68" s="60"/>
      <c r="K68" s="60"/>
      <c r="L68" s="60"/>
      <c r="M68" s="60"/>
      <c r="N68" s="60"/>
      <c r="O68" s="60"/>
      <c r="P68" s="60"/>
      <c r="Q68" s="49">
        <f t="shared" ref="Q68:AV69" si="30">Q55-Q42</f>
        <v>0</v>
      </c>
      <c r="R68" s="49">
        <f t="shared" si="30"/>
        <v>-0.53409090909087809</v>
      </c>
      <c r="S68" s="49">
        <f t="shared" si="30"/>
        <v>0.35240909090906314</v>
      </c>
      <c r="T68" s="49">
        <f t="shared" si="30"/>
        <v>0.76000000000000512</v>
      </c>
      <c r="U68" s="49">
        <f t="shared" si="30"/>
        <v>0</v>
      </c>
      <c r="V68" s="49">
        <f t="shared" si="30"/>
        <v>0.8960000000000008</v>
      </c>
      <c r="W68" s="49">
        <f t="shared" si="30"/>
        <v>1.8689999999999998</v>
      </c>
      <c r="X68" s="49">
        <f t="shared" si="30"/>
        <v>5.5799999999999983</v>
      </c>
      <c r="Y68" s="49">
        <f t="shared" si="30"/>
        <v>-0.51461927084508829</v>
      </c>
      <c r="Z68" s="49">
        <f t="shared" si="30"/>
        <v>2.4733540685734425</v>
      </c>
      <c r="AA68" s="49">
        <f t="shared" si="30"/>
        <v>1.3666768101536775</v>
      </c>
      <c r="AB68" s="49">
        <f t="shared" si="30"/>
        <v>-5.5052059025918965</v>
      </c>
      <c r="AC68" s="49">
        <f t="shared" si="30"/>
        <v>-6</v>
      </c>
      <c r="AD68" s="49">
        <f t="shared" si="30"/>
        <v>0.20900000000000318</v>
      </c>
      <c r="AE68" s="49">
        <f t="shared" si="30"/>
        <v>-5.2158853834375947</v>
      </c>
      <c r="AF68" s="49">
        <f t="shared" si="30"/>
        <v>0.212325415636613</v>
      </c>
      <c r="AG68" s="49">
        <f t="shared" si="30"/>
        <v>0.32244292826847243</v>
      </c>
      <c r="AH68" s="49">
        <f t="shared" si="30"/>
        <v>0.39428184455800874</v>
      </c>
      <c r="AI68" s="49">
        <f t="shared" si="30"/>
        <v>0</v>
      </c>
      <c r="AJ68" s="49">
        <f t="shared" si="30"/>
        <v>0</v>
      </c>
      <c r="AK68" s="49">
        <f t="shared" si="30"/>
        <v>0</v>
      </c>
      <c r="AL68" s="49">
        <f t="shared" si="30"/>
        <v>0</v>
      </c>
      <c r="AM68" s="49">
        <f t="shared" si="30"/>
        <v>0</v>
      </c>
      <c r="AN68" s="49">
        <f t="shared" si="30"/>
        <v>0</v>
      </c>
      <c r="AO68" s="49">
        <f t="shared" si="30"/>
        <v>0</v>
      </c>
      <c r="AP68" s="49">
        <f t="shared" si="30"/>
        <v>0</v>
      </c>
      <c r="AQ68" s="49">
        <f t="shared" si="30"/>
        <v>0</v>
      </c>
      <c r="AR68" s="49">
        <f t="shared" si="30"/>
        <v>0</v>
      </c>
      <c r="AS68" s="49">
        <f t="shared" si="30"/>
        <v>0</v>
      </c>
      <c r="AT68" s="49">
        <f t="shared" si="30"/>
        <v>0</v>
      </c>
      <c r="AU68" s="49">
        <f t="shared" si="30"/>
        <v>-2.7035712082982712</v>
      </c>
      <c r="AV68" s="49">
        <f t="shared" si="30"/>
        <v>-0.59190145780767978</v>
      </c>
      <c r="AW68" s="689" t="s">
        <v>5</v>
      </c>
      <c r="AX68" s="579" t="s">
        <v>3</v>
      </c>
      <c r="AY68" s="54" t="s">
        <v>101</v>
      </c>
      <c r="AZ68" s="54" t="s">
        <v>243</v>
      </c>
      <c r="BA68" s="733">
        <f>SUM(Y168:AJ168)</f>
        <v>1545.885</v>
      </c>
      <c r="BB68" s="734">
        <f>BA68/(BA68+BA69)</f>
        <v>0.40604287816137052</v>
      </c>
      <c r="BD68" s="735">
        <f>AZ59+(BA59*BA60)+(BB59*BB60)</f>
        <v>244.52660028478229</v>
      </c>
      <c r="BE68" s="735">
        <f>AY59*AY60</f>
        <v>1355.7637390035954</v>
      </c>
      <c r="BF68" s="736">
        <f>BD68/BE68</f>
        <v>0.18036077618102886</v>
      </c>
    </row>
    <row r="69" spans="1:58" s="55" customFormat="1" ht="15" outlineLevel="1" thickBot="1">
      <c r="A69" s="28" t="s">
        <v>224</v>
      </c>
      <c r="B69" s="3"/>
      <c r="C69" s="859"/>
      <c r="D69" s="860"/>
      <c r="E69" s="59"/>
      <c r="F69" s="60"/>
      <c r="G69" s="60"/>
      <c r="H69" s="60"/>
      <c r="I69" s="60"/>
      <c r="J69" s="60"/>
      <c r="K69" s="60"/>
      <c r="L69" s="60"/>
      <c r="M69" s="60"/>
      <c r="N69" s="60"/>
      <c r="O69" s="60"/>
      <c r="P69" s="60"/>
      <c r="Q69" s="48">
        <f t="shared" si="30"/>
        <v>0</v>
      </c>
      <c r="R69" s="48">
        <f t="shared" si="30"/>
        <v>-1.0589090909091112</v>
      </c>
      <c r="S69" s="48">
        <f t="shared" si="30"/>
        <v>-1.0878876727270779</v>
      </c>
      <c r="T69" s="48">
        <f t="shared" si="30"/>
        <v>-1.3999999999999773</v>
      </c>
      <c r="U69" s="48">
        <f t="shared" si="30"/>
        <v>0</v>
      </c>
      <c r="V69" s="48">
        <f t="shared" si="30"/>
        <v>-9.4899999999999807</v>
      </c>
      <c r="W69" s="48">
        <f t="shared" si="30"/>
        <v>1.6589999999999918</v>
      </c>
      <c r="X69" s="48">
        <f t="shared" si="30"/>
        <v>23.974999999999966</v>
      </c>
      <c r="Y69" s="48">
        <f t="shared" si="30"/>
        <v>0.63147720953054431</v>
      </c>
      <c r="Z69" s="48">
        <f t="shared" si="30"/>
        <v>5.8668782057768567</v>
      </c>
      <c r="AA69" s="48">
        <f t="shared" si="30"/>
        <v>-1.8815558949461035</v>
      </c>
      <c r="AB69" s="48">
        <f t="shared" si="30"/>
        <v>-5.5529557300557428</v>
      </c>
      <c r="AC69" s="48">
        <f t="shared" si="30"/>
        <v>9.0079999999999814</v>
      </c>
      <c r="AD69" s="48">
        <f t="shared" si="30"/>
        <v>-0.40126296542575801</v>
      </c>
      <c r="AE69" s="48">
        <f t="shared" si="30"/>
        <v>1.8046653453705801</v>
      </c>
      <c r="AF69" s="48">
        <f t="shared" si="30"/>
        <v>-3.579448526997794</v>
      </c>
      <c r="AG69" s="48">
        <f t="shared" si="30"/>
        <v>-1.5887958694448798</v>
      </c>
      <c r="AH69" s="48">
        <f t="shared" si="30"/>
        <v>-0.70342894189542449</v>
      </c>
      <c r="AI69" s="48">
        <f t="shared" si="30"/>
        <v>0</v>
      </c>
      <c r="AJ69" s="48">
        <f t="shared" si="30"/>
        <v>0</v>
      </c>
      <c r="AK69" s="48">
        <f t="shared" si="30"/>
        <v>0</v>
      </c>
      <c r="AL69" s="48">
        <f t="shared" si="30"/>
        <v>0</v>
      </c>
      <c r="AM69" s="48">
        <f t="shared" si="30"/>
        <v>0</v>
      </c>
      <c r="AN69" s="48">
        <f t="shared" si="30"/>
        <v>0</v>
      </c>
      <c r="AO69" s="48">
        <f t="shared" si="30"/>
        <v>0</v>
      </c>
      <c r="AP69" s="48">
        <f t="shared" si="30"/>
        <v>0</v>
      </c>
      <c r="AQ69" s="48">
        <f t="shared" si="30"/>
        <v>0</v>
      </c>
      <c r="AR69" s="48">
        <f t="shared" si="30"/>
        <v>0</v>
      </c>
      <c r="AS69" s="48">
        <f t="shared" si="30"/>
        <v>0</v>
      </c>
      <c r="AT69" s="48">
        <f t="shared" si="30"/>
        <v>0</v>
      </c>
      <c r="AU69" s="48">
        <f t="shared" si="30"/>
        <v>-11.715825343425877</v>
      </c>
      <c r="AV69" s="48">
        <f t="shared" si="30"/>
        <v>-20.711457421418714</v>
      </c>
      <c r="AW69" s="689" t="s">
        <v>5</v>
      </c>
      <c r="AX69" s="579" t="s">
        <v>3</v>
      </c>
      <c r="AY69" s="54"/>
      <c r="AZ69" s="54" t="s">
        <v>244</v>
      </c>
      <c r="BA69" s="733">
        <f>SUM(Y178:AF178,Y166:AJ166,AG178:AJ178)</f>
        <v>2261.3114394499999</v>
      </c>
      <c r="BB69" s="734">
        <f>BA69/(BA68+BA69)</f>
        <v>0.59395712183862948</v>
      </c>
      <c r="BD69" s="735">
        <f>(BA59*BB69)+(BB59*BB69)</f>
        <v>269.78305271521776</v>
      </c>
      <c r="BE69" s="735">
        <f>AY59*BB69</f>
        <v>1983.2031827725443</v>
      </c>
    </row>
    <row r="70" spans="1:58" s="55" customFormat="1" ht="15" outlineLevel="1" thickBot="1">
      <c r="A70" s="550" t="s">
        <v>225</v>
      </c>
      <c r="B70" s="3"/>
      <c r="C70" s="18"/>
      <c r="D70" s="309"/>
      <c r="E70" s="59"/>
      <c r="F70" s="60"/>
      <c r="G70" s="60"/>
      <c r="H70" s="60"/>
      <c r="I70" s="60"/>
      <c r="J70" s="60"/>
      <c r="K70" s="60"/>
      <c r="L70" s="60"/>
      <c r="M70" s="60"/>
      <c r="N70" s="60"/>
      <c r="O70" s="60"/>
      <c r="P70" s="60"/>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689" t="s">
        <v>5</v>
      </c>
      <c r="AX70" s="579" t="s">
        <v>3</v>
      </c>
      <c r="AY70" s="54"/>
      <c r="AZ70" s="54"/>
      <c r="BA70" s="54"/>
      <c r="BB70" s="54"/>
    </row>
    <row r="71" spans="1:58" s="55" customFormat="1" ht="15" outlineLevel="1" thickBot="1">
      <c r="A71" s="550" t="s">
        <v>226</v>
      </c>
      <c r="B71" s="3"/>
      <c r="C71" s="18"/>
      <c r="D71" s="309"/>
      <c r="E71" s="59"/>
      <c r="F71" s="60"/>
      <c r="G71" s="60"/>
      <c r="H71" s="60"/>
      <c r="I71" s="60"/>
      <c r="J71" s="60"/>
      <c r="K71" s="60"/>
      <c r="L71" s="60"/>
      <c r="M71" s="60"/>
      <c r="N71" s="60"/>
      <c r="O71" s="60"/>
      <c r="P71" s="60"/>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689" t="s">
        <v>5</v>
      </c>
      <c r="AX71" s="579" t="s">
        <v>3</v>
      </c>
      <c r="AY71" s="54"/>
      <c r="AZ71" s="54"/>
      <c r="BA71" s="54"/>
      <c r="BB71" s="54"/>
      <c r="BD71" s="735">
        <f>SUM(BD68:BD69)</f>
        <v>514.30965300000003</v>
      </c>
      <c r="BE71" s="735">
        <f>SUM(BE68:BE69)</f>
        <v>3338.9669217761398</v>
      </c>
    </row>
    <row r="72" spans="1:58" outlineLevel="1">
      <c r="A72" s="28" t="s">
        <v>227</v>
      </c>
      <c r="B72" s="3"/>
      <c r="C72" s="859"/>
      <c r="D72" s="860"/>
      <c r="E72" s="41">
        <f t="shared" ref="E72:AV72" si="31">E59-E46</f>
        <v>0</v>
      </c>
      <c r="F72" s="49">
        <f t="shared" si="31"/>
        <v>0</v>
      </c>
      <c r="G72" s="49">
        <f t="shared" si="31"/>
        <v>-10.29000000000002</v>
      </c>
      <c r="H72" s="49">
        <f t="shared" si="31"/>
        <v>0.47800000000000864</v>
      </c>
      <c r="I72" s="49">
        <f t="shared" si="31"/>
        <v>-15.26400000000001</v>
      </c>
      <c r="J72" s="49">
        <f t="shared" si="31"/>
        <v>-3</v>
      </c>
      <c r="K72" s="49">
        <f t="shared" si="31"/>
        <v>1.3000000000000114</v>
      </c>
      <c r="L72" s="49">
        <f t="shared" si="31"/>
        <v>-1.2400000000000091</v>
      </c>
      <c r="M72" s="49">
        <f t="shared" si="31"/>
        <v>-13.833000000000027</v>
      </c>
      <c r="N72" s="49">
        <f t="shared" si="31"/>
        <v>-1.4499999999999886</v>
      </c>
      <c r="O72" s="49">
        <f t="shared" si="31"/>
        <v>-13.600000000000023</v>
      </c>
      <c r="P72" s="49">
        <f t="shared" si="31"/>
        <v>-42.199000000000012</v>
      </c>
      <c r="Q72" s="48">
        <f t="shared" si="31"/>
        <v>0</v>
      </c>
      <c r="R72" s="48">
        <f t="shared" si="31"/>
        <v>-0.68258821384330304</v>
      </c>
      <c r="S72" s="48">
        <f t="shared" si="31"/>
        <v>-0.73547858181800052</v>
      </c>
      <c r="T72" s="48">
        <f t="shared" si="31"/>
        <v>-0.63999999999998636</v>
      </c>
      <c r="U72" s="48">
        <f t="shared" si="31"/>
        <v>0</v>
      </c>
      <c r="V72" s="48">
        <f t="shared" si="31"/>
        <v>-8.5939999999999941</v>
      </c>
      <c r="W72" s="48">
        <f t="shared" si="31"/>
        <v>3.5279999999999916</v>
      </c>
      <c r="X72" s="48">
        <f t="shared" si="31"/>
        <v>29.554999999999978</v>
      </c>
      <c r="Y72" s="48">
        <f t="shared" si="31"/>
        <v>0.11685793868548444</v>
      </c>
      <c r="Z72" s="48">
        <f t="shared" si="31"/>
        <v>8.3402322743503134</v>
      </c>
      <c r="AA72" s="48">
        <f t="shared" si="31"/>
        <v>-0.51487908479242606</v>
      </c>
      <c r="AB72" s="48">
        <f t="shared" si="31"/>
        <v>-7.8330849453320184</v>
      </c>
      <c r="AC72" s="48">
        <f t="shared" si="31"/>
        <v>3.0079999999999814</v>
      </c>
      <c r="AD72" s="48">
        <f t="shared" si="31"/>
        <v>-0.19226296542575483</v>
      </c>
      <c r="AE72" s="48">
        <f t="shared" si="31"/>
        <v>-3.4112200380670004</v>
      </c>
      <c r="AF72" s="48">
        <f>AF59-AF46</f>
        <v>-3.3671231113611952</v>
      </c>
      <c r="AG72" s="48">
        <f t="shared" si="31"/>
        <v>-1.2663529411764216</v>
      </c>
      <c r="AH72" s="48">
        <f t="shared" si="31"/>
        <v>-0.30914709733741574</v>
      </c>
      <c r="AI72" s="48">
        <f t="shared" si="31"/>
        <v>0</v>
      </c>
      <c r="AJ72" s="48">
        <f t="shared" si="31"/>
        <v>0</v>
      </c>
      <c r="AK72" s="48">
        <f t="shared" si="31"/>
        <v>0</v>
      </c>
      <c r="AL72" s="48">
        <f t="shared" si="31"/>
        <v>0</v>
      </c>
      <c r="AM72" s="48">
        <f t="shared" si="31"/>
        <v>0</v>
      </c>
      <c r="AN72" s="48">
        <f t="shared" si="31"/>
        <v>0</v>
      </c>
      <c r="AO72" s="48">
        <f t="shared" si="31"/>
        <v>0</v>
      </c>
      <c r="AP72" s="48">
        <f t="shared" si="31"/>
        <v>0</v>
      </c>
      <c r="AQ72" s="48">
        <f t="shared" si="31"/>
        <v>0</v>
      </c>
      <c r="AR72" s="48">
        <f t="shared" si="31"/>
        <v>0</v>
      </c>
      <c r="AS72" s="48">
        <f t="shared" si="31"/>
        <v>0</v>
      </c>
      <c r="AT72" s="48">
        <f t="shared" si="31"/>
        <v>0</v>
      </c>
      <c r="AU72" s="48">
        <f t="shared" si="31"/>
        <v>-14.419396551724134</v>
      </c>
      <c r="AV72" s="48">
        <f t="shared" si="31"/>
        <v>-21.30335887922638</v>
      </c>
      <c r="AW72" s="689" t="s">
        <v>5</v>
      </c>
      <c r="AX72" s="579" t="s">
        <v>3</v>
      </c>
      <c r="AY72" s="19"/>
      <c r="AZ72" s="19"/>
      <c r="BA72" s="19"/>
      <c r="BB72" s="19"/>
      <c r="BD72" s="737">
        <f>BD71-AZ59-BA59-BB59</f>
        <v>0</v>
      </c>
      <c r="BE72" s="737">
        <f>BE71-AY59</f>
        <v>0</v>
      </c>
    </row>
    <row r="73" spans="1:58" outlineLevel="1">
      <c r="A73" s="28" t="s">
        <v>33</v>
      </c>
      <c r="B73" s="3"/>
      <c r="C73" s="862"/>
      <c r="D73" s="859"/>
      <c r="E73" s="44">
        <f t="shared" ref="E73:AV76" si="32">E61-E48</f>
        <v>0</v>
      </c>
      <c r="F73" s="48">
        <f t="shared" si="32"/>
        <v>-3</v>
      </c>
      <c r="G73" s="48">
        <f t="shared" si="32"/>
        <v>2</v>
      </c>
      <c r="H73" s="48">
        <f t="shared" si="32"/>
        <v>0</v>
      </c>
      <c r="I73" s="48">
        <f t="shared" si="32"/>
        <v>0</v>
      </c>
      <c r="J73" s="48">
        <f t="shared" si="32"/>
        <v>-3</v>
      </c>
      <c r="K73" s="48">
        <f t="shared" si="32"/>
        <v>2</v>
      </c>
      <c r="L73" s="48">
        <f t="shared" si="32"/>
        <v>1.5</v>
      </c>
      <c r="M73" s="48">
        <f t="shared" si="32"/>
        <v>-3</v>
      </c>
      <c r="N73" s="48">
        <f t="shared" si="32"/>
        <v>2</v>
      </c>
      <c r="O73" s="48">
        <f t="shared" si="32"/>
        <v>0</v>
      </c>
      <c r="P73" s="48">
        <f t="shared" si="32"/>
        <v>-12</v>
      </c>
      <c r="Q73" s="48">
        <f t="shared" si="32"/>
        <v>0</v>
      </c>
      <c r="R73" s="48">
        <f t="shared" si="32"/>
        <v>0</v>
      </c>
      <c r="S73" s="48">
        <f t="shared" si="32"/>
        <v>-4</v>
      </c>
      <c r="T73" s="48">
        <f t="shared" si="32"/>
        <v>1.2</v>
      </c>
      <c r="U73" s="48">
        <f t="shared" si="32"/>
        <v>-3</v>
      </c>
      <c r="V73" s="48">
        <f t="shared" si="32"/>
        <v>0</v>
      </c>
      <c r="W73" s="48">
        <f t="shared" si="32"/>
        <v>2</v>
      </c>
      <c r="X73" s="48">
        <f t="shared" si="32"/>
        <v>-2.4000000000000004</v>
      </c>
      <c r="Y73" s="48">
        <f t="shared" si="32"/>
        <v>16.5</v>
      </c>
      <c r="Z73" s="48">
        <f t="shared" si="32"/>
        <v>12</v>
      </c>
      <c r="AA73" s="48">
        <f t="shared" si="32"/>
        <v>0</v>
      </c>
      <c r="AB73" s="48">
        <f t="shared" si="32"/>
        <v>2</v>
      </c>
      <c r="AC73" s="48">
        <f t="shared" si="32"/>
        <v>0</v>
      </c>
      <c r="AD73" s="48">
        <f t="shared" si="32"/>
        <v>0</v>
      </c>
      <c r="AE73" s="48">
        <f t="shared" si="32"/>
        <v>0</v>
      </c>
      <c r="AF73" s="48">
        <f t="shared" si="32"/>
        <v>0</v>
      </c>
      <c r="AG73" s="48">
        <f t="shared" si="32"/>
        <v>0</v>
      </c>
      <c r="AH73" s="48">
        <f t="shared" si="32"/>
        <v>1</v>
      </c>
      <c r="AI73" s="48">
        <f t="shared" si="32"/>
        <v>0</v>
      </c>
      <c r="AJ73" s="48">
        <f t="shared" si="32"/>
        <v>0</v>
      </c>
      <c r="AK73" s="48">
        <f t="shared" si="32"/>
        <v>0</v>
      </c>
      <c r="AL73" s="48">
        <f t="shared" si="32"/>
        <v>0</v>
      </c>
      <c r="AM73" s="48">
        <f t="shared" si="32"/>
        <v>0</v>
      </c>
      <c r="AN73" s="48">
        <f t="shared" si="32"/>
        <v>0</v>
      </c>
      <c r="AO73" s="48">
        <f t="shared" si="32"/>
        <v>0</v>
      </c>
      <c r="AP73" s="48">
        <f t="shared" si="32"/>
        <v>0</v>
      </c>
      <c r="AQ73" s="48">
        <f t="shared" si="32"/>
        <v>0</v>
      </c>
      <c r="AR73" s="48">
        <f t="shared" si="32"/>
        <v>0</v>
      </c>
      <c r="AS73" s="48">
        <f t="shared" si="32"/>
        <v>0</v>
      </c>
      <c r="AT73" s="48">
        <f t="shared" si="32"/>
        <v>0</v>
      </c>
      <c r="AU73" s="48">
        <f t="shared" si="32"/>
        <v>0</v>
      </c>
      <c r="AV73" s="48">
        <f t="shared" si="32"/>
        <v>0</v>
      </c>
      <c r="AW73" s="689" t="s">
        <v>5</v>
      </c>
      <c r="AX73" s="579" t="s">
        <v>3</v>
      </c>
      <c r="AY73" s="19"/>
      <c r="AZ73" s="19"/>
      <c r="BA73" s="19"/>
      <c r="BB73" s="19"/>
    </row>
    <row r="74" spans="1:58" outlineLevel="1">
      <c r="A74" s="28" t="s">
        <v>229</v>
      </c>
      <c r="B74" s="3"/>
      <c r="C74" s="862"/>
      <c r="D74" s="859"/>
      <c r="E74" s="44">
        <f t="shared" si="32"/>
        <v>0</v>
      </c>
      <c r="F74" s="48">
        <f t="shared" si="32"/>
        <v>0</v>
      </c>
      <c r="G74" s="48">
        <f t="shared" si="32"/>
        <v>1.1000000000000005</v>
      </c>
      <c r="H74" s="48">
        <f t="shared" si="32"/>
        <v>0</v>
      </c>
      <c r="I74" s="48">
        <f t="shared" si="32"/>
        <v>0.70000000000000018</v>
      </c>
      <c r="J74" s="48">
        <f t="shared" si="32"/>
        <v>0</v>
      </c>
      <c r="K74" s="48">
        <f t="shared" si="32"/>
        <v>0</v>
      </c>
      <c r="L74" s="48">
        <f t="shared" si="32"/>
        <v>-1.4400000000000004</v>
      </c>
      <c r="M74" s="48">
        <f t="shared" si="32"/>
        <v>-0.83000000000000007</v>
      </c>
      <c r="N74" s="48">
        <f t="shared" si="32"/>
        <v>-0.40000000000000036</v>
      </c>
      <c r="O74" s="48">
        <f t="shared" si="32"/>
        <v>0</v>
      </c>
      <c r="P74" s="48">
        <f t="shared" si="32"/>
        <v>-2</v>
      </c>
      <c r="Q74" s="48">
        <f t="shared" si="32"/>
        <v>-3.5</v>
      </c>
      <c r="R74" s="48">
        <f t="shared" si="32"/>
        <v>-0.60000000000000009</v>
      </c>
      <c r="S74" s="48">
        <f t="shared" si="32"/>
        <v>-0.10000000000000009</v>
      </c>
      <c r="T74" s="48">
        <f t="shared" si="32"/>
        <v>-2</v>
      </c>
      <c r="U74" s="48">
        <f t="shared" si="32"/>
        <v>-0.64000000000000012</v>
      </c>
      <c r="V74" s="48">
        <f t="shared" si="32"/>
        <v>-0.59999999999999964</v>
      </c>
      <c r="W74" s="48">
        <f t="shared" si="32"/>
        <v>0.69999999999999929</v>
      </c>
      <c r="X74" s="48">
        <f t="shared" si="32"/>
        <v>1.2000000000000002</v>
      </c>
      <c r="Y74" s="48">
        <f t="shared" si="32"/>
        <v>2.169999999999999</v>
      </c>
      <c r="Z74" s="48">
        <f t="shared" si="32"/>
        <v>0.59999999999999964</v>
      </c>
      <c r="AA74" s="48">
        <f t="shared" si="32"/>
        <v>-0.44000000000000039</v>
      </c>
      <c r="AB74" s="48">
        <f t="shared" si="32"/>
        <v>-0.89999999999999947</v>
      </c>
      <c r="AC74" s="48">
        <f t="shared" si="32"/>
        <v>-2.0000000000000462E-2</v>
      </c>
      <c r="AD74" s="48">
        <f t="shared" si="32"/>
        <v>-0.91999999999999993</v>
      </c>
      <c r="AE74" s="48">
        <f t="shared" si="32"/>
        <v>-0.71999999999999975</v>
      </c>
      <c r="AF74" s="48">
        <f t="shared" si="32"/>
        <v>0</v>
      </c>
      <c r="AG74" s="48">
        <f t="shared" si="32"/>
        <v>0</v>
      </c>
      <c r="AH74" s="48">
        <f t="shared" si="32"/>
        <v>-0.90000000000000036</v>
      </c>
      <c r="AI74" s="48">
        <f t="shared" si="32"/>
        <v>2</v>
      </c>
      <c r="AJ74" s="48">
        <f t="shared" si="32"/>
        <v>-2</v>
      </c>
      <c r="AK74" s="48">
        <f t="shared" si="32"/>
        <v>0.71999999999999975</v>
      </c>
      <c r="AL74" s="48">
        <f t="shared" si="32"/>
        <v>0</v>
      </c>
      <c r="AM74" s="48">
        <f t="shared" si="32"/>
        <v>0</v>
      </c>
      <c r="AN74" s="48">
        <f t="shared" si="32"/>
        <v>0</v>
      </c>
      <c r="AO74" s="48">
        <f t="shared" si="32"/>
        <v>0</v>
      </c>
      <c r="AP74" s="48">
        <f t="shared" si="32"/>
        <v>0</v>
      </c>
      <c r="AQ74" s="48">
        <f t="shared" si="32"/>
        <v>0</v>
      </c>
      <c r="AR74" s="48">
        <f t="shared" si="32"/>
        <v>0</v>
      </c>
      <c r="AS74" s="48">
        <f t="shared" si="32"/>
        <v>0</v>
      </c>
      <c r="AT74" s="48">
        <f t="shared" si="32"/>
        <v>0</v>
      </c>
      <c r="AU74" s="48">
        <f t="shared" si="32"/>
        <v>0</v>
      </c>
      <c r="AV74" s="48">
        <f t="shared" si="32"/>
        <v>0</v>
      </c>
      <c r="AW74" s="689" t="s">
        <v>5</v>
      </c>
      <c r="AX74" s="579" t="s">
        <v>3</v>
      </c>
      <c r="AY74" s="19"/>
      <c r="AZ74" s="19"/>
      <c r="BA74" s="19"/>
      <c r="BB74" s="19"/>
    </row>
    <row r="75" spans="1:58" outlineLevel="1">
      <c r="A75" s="28" t="s">
        <v>230</v>
      </c>
      <c r="B75" s="3"/>
      <c r="C75" s="862"/>
      <c r="D75" s="859"/>
      <c r="E75" s="44">
        <f t="shared" si="32"/>
        <v>0</v>
      </c>
      <c r="F75" s="48">
        <f t="shared" si="32"/>
        <v>0.51999999999999957</v>
      </c>
      <c r="G75" s="48">
        <f t="shared" si="32"/>
        <v>0</v>
      </c>
      <c r="H75" s="48">
        <f t="shared" si="32"/>
        <v>0.16000000000000014</v>
      </c>
      <c r="I75" s="48">
        <f t="shared" si="32"/>
        <v>0</v>
      </c>
      <c r="J75" s="48">
        <f t="shared" si="32"/>
        <v>0</v>
      </c>
      <c r="K75" s="48">
        <f t="shared" si="32"/>
        <v>0.85000000000000053</v>
      </c>
      <c r="L75" s="48">
        <f t="shared" si="32"/>
        <v>0</v>
      </c>
      <c r="M75" s="48">
        <f t="shared" si="32"/>
        <v>0.15000000000000036</v>
      </c>
      <c r="N75" s="48">
        <f t="shared" si="32"/>
        <v>0</v>
      </c>
      <c r="O75" s="48">
        <f t="shared" si="32"/>
        <v>0</v>
      </c>
      <c r="P75" s="48">
        <f t="shared" si="32"/>
        <v>0</v>
      </c>
      <c r="Q75" s="48">
        <f t="shared" si="32"/>
        <v>-1.4500000000000002</v>
      </c>
      <c r="R75" s="48">
        <f t="shared" si="32"/>
        <v>0.29999999999999982</v>
      </c>
      <c r="S75" s="48">
        <f t="shared" si="32"/>
        <v>1.1400000000000006</v>
      </c>
      <c r="T75" s="48">
        <f t="shared" si="32"/>
        <v>9.9999999999999645E-2</v>
      </c>
      <c r="U75" s="48">
        <f t="shared" si="32"/>
        <v>-0.17999999999999972</v>
      </c>
      <c r="V75" s="48">
        <f t="shared" si="32"/>
        <v>0.21999999999999975</v>
      </c>
      <c r="W75" s="48">
        <f t="shared" si="32"/>
        <v>0</v>
      </c>
      <c r="X75" s="48">
        <f t="shared" si="32"/>
        <v>0</v>
      </c>
      <c r="Y75" s="48">
        <f t="shared" si="32"/>
        <v>-0.40299999999999958</v>
      </c>
      <c r="Z75" s="48">
        <f t="shared" si="32"/>
        <v>0</v>
      </c>
      <c r="AA75" s="48">
        <f t="shared" si="32"/>
        <v>-0.14999999999999947</v>
      </c>
      <c r="AB75" s="48">
        <f t="shared" si="32"/>
        <v>0.27200000000000024</v>
      </c>
      <c r="AC75" s="48">
        <f t="shared" si="32"/>
        <v>0</v>
      </c>
      <c r="AD75" s="48">
        <f t="shared" si="32"/>
        <v>0.44000000000000039</v>
      </c>
      <c r="AE75" s="48">
        <f t="shared" si="32"/>
        <v>0</v>
      </c>
      <c r="AF75" s="48">
        <f t="shared" si="32"/>
        <v>0</v>
      </c>
      <c r="AG75" s="48">
        <f t="shared" si="32"/>
        <v>0</v>
      </c>
      <c r="AH75" s="48">
        <f t="shared" si="32"/>
        <v>-0.27899999999999991</v>
      </c>
      <c r="AI75" s="48">
        <f t="shared" si="32"/>
        <v>0</v>
      </c>
      <c r="AJ75" s="48">
        <f t="shared" si="32"/>
        <v>0</v>
      </c>
      <c r="AK75" s="48">
        <f t="shared" si="32"/>
        <v>0</v>
      </c>
      <c r="AL75" s="48">
        <f t="shared" si="32"/>
        <v>0</v>
      </c>
      <c r="AM75" s="48">
        <f t="shared" si="32"/>
        <v>0</v>
      </c>
      <c r="AN75" s="48">
        <f t="shared" si="32"/>
        <v>0</v>
      </c>
      <c r="AO75" s="48">
        <f t="shared" si="32"/>
        <v>0</v>
      </c>
      <c r="AP75" s="48">
        <f t="shared" si="32"/>
        <v>0</v>
      </c>
      <c r="AQ75" s="48">
        <f t="shared" si="32"/>
        <v>0</v>
      </c>
      <c r="AR75" s="48">
        <f t="shared" si="32"/>
        <v>0</v>
      </c>
      <c r="AS75" s="48">
        <f t="shared" si="32"/>
        <v>0</v>
      </c>
      <c r="AT75" s="48">
        <f t="shared" si="32"/>
        <v>0</v>
      </c>
      <c r="AU75" s="48">
        <f t="shared" si="32"/>
        <v>0</v>
      </c>
      <c r="AV75" s="48">
        <f t="shared" si="32"/>
        <v>0</v>
      </c>
      <c r="AW75" s="689" t="s">
        <v>5</v>
      </c>
      <c r="AX75" s="579" t="s">
        <v>3</v>
      </c>
      <c r="AY75" s="19"/>
      <c r="AZ75" s="19"/>
      <c r="BA75" s="19"/>
      <c r="BB75" s="19"/>
    </row>
    <row r="76" spans="1:58" ht="15" outlineLevel="1" thickBot="1">
      <c r="A76" s="35" t="s">
        <v>231</v>
      </c>
      <c r="B76" s="36"/>
      <c r="C76" s="864"/>
      <c r="D76" s="869"/>
      <c r="E76" s="50">
        <f t="shared" si="32"/>
        <v>0</v>
      </c>
      <c r="F76" s="51">
        <f t="shared" si="32"/>
        <v>0.68000000000000149</v>
      </c>
      <c r="G76" s="51">
        <f t="shared" si="32"/>
        <v>0</v>
      </c>
      <c r="H76" s="51">
        <f t="shared" si="32"/>
        <v>-1.9299999999999997</v>
      </c>
      <c r="I76" s="51">
        <f t="shared" si="32"/>
        <v>0</v>
      </c>
      <c r="J76" s="51">
        <f t="shared" si="32"/>
        <v>0</v>
      </c>
      <c r="K76" s="51">
        <f t="shared" si="32"/>
        <v>2.6500000000000004</v>
      </c>
      <c r="L76" s="51">
        <f t="shared" si="32"/>
        <v>0</v>
      </c>
      <c r="M76" s="51">
        <f t="shared" si="32"/>
        <v>2.7189999999999994</v>
      </c>
      <c r="N76" s="51">
        <f t="shared" si="32"/>
        <v>1.5</v>
      </c>
      <c r="O76" s="51">
        <f t="shared" si="32"/>
        <v>-2</v>
      </c>
      <c r="P76" s="51">
        <f t="shared" si="32"/>
        <v>0.90000000000000036</v>
      </c>
      <c r="Q76" s="51">
        <f t="shared" si="32"/>
        <v>-2.0500000000000007</v>
      </c>
      <c r="R76" s="51">
        <f t="shared" si="32"/>
        <v>-1.0999999999999996</v>
      </c>
      <c r="S76" s="51">
        <f t="shared" si="32"/>
        <v>-1.2399999999999984</v>
      </c>
      <c r="T76" s="51">
        <f t="shared" si="32"/>
        <v>-1.5200000000000014</v>
      </c>
      <c r="U76" s="51">
        <f t="shared" si="32"/>
        <v>0</v>
      </c>
      <c r="V76" s="51">
        <f t="shared" si="32"/>
        <v>-0.90999999999999837</v>
      </c>
      <c r="W76" s="51">
        <f t="shared" si="32"/>
        <v>0</v>
      </c>
      <c r="X76" s="51">
        <f t="shared" si="32"/>
        <v>-0.72000000000000064</v>
      </c>
      <c r="Y76" s="51">
        <f t="shared" si="32"/>
        <v>-2.1199999999999992</v>
      </c>
      <c r="Z76" s="51">
        <f t="shared" si="32"/>
        <v>-2.1100000000000003</v>
      </c>
      <c r="AA76" s="51">
        <f t="shared" si="32"/>
        <v>-2.0600000000000005</v>
      </c>
      <c r="AB76" s="51">
        <f t="shared" si="32"/>
        <v>0</v>
      </c>
      <c r="AC76" s="51">
        <f t="shared" si="32"/>
        <v>0</v>
      </c>
      <c r="AD76" s="51">
        <f t="shared" si="32"/>
        <v>-1.5</v>
      </c>
      <c r="AE76" s="51">
        <f t="shared" si="32"/>
        <v>0.63000000000000078</v>
      </c>
      <c r="AF76" s="51">
        <f t="shared" si="32"/>
        <v>-1.5999999999999996</v>
      </c>
      <c r="AG76" s="51">
        <f t="shared" si="32"/>
        <v>1.5</v>
      </c>
      <c r="AH76" s="51">
        <f t="shared" si="32"/>
        <v>0</v>
      </c>
      <c r="AI76" s="51">
        <f t="shared" si="32"/>
        <v>0</v>
      </c>
      <c r="AJ76" s="51">
        <f t="shared" si="32"/>
        <v>0</v>
      </c>
      <c r="AK76" s="51">
        <f t="shared" si="32"/>
        <v>0</v>
      </c>
      <c r="AL76" s="51">
        <f t="shared" si="32"/>
        <v>0</v>
      </c>
      <c r="AM76" s="51">
        <f t="shared" si="32"/>
        <v>0</v>
      </c>
      <c r="AN76" s="51">
        <f t="shared" si="32"/>
        <v>0</v>
      </c>
      <c r="AO76" s="51">
        <f t="shared" si="32"/>
        <v>0</v>
      </c>
      <c r="AP76" s="51">
        <f t="shared" si="32"/>
        <v>0</v>
      </c>
      <c r="AQ76" s="51">
        <f t="shared" si="32"/>
        <v>0</v>
      </c>
      <c r="AR76" s="51">
        <f t="shared" si="32"/>
        <v>0</v>
      </c>
      <c r="AS76" s="51">
        <f t="shared" si="32"/>
        <v>0</v>
      </c>
      <c r="AT76" s="51">
        <f t="shared" si="32"/>
        <v>0</v>
      </c>
      <c r="AU76" s="51">
        <f t="shared" si="32"/>
        <v>1.8400000000000003</v>
      </c>
      <c r="AV76" s="51">
        <f t="shared" si="32"/>
        <v>1.2400000000000002</v>
      </c>
      <c r="AW76" s="689" t="s">
        <v>5</v>
      </c>
      <c r="AX76" s="579" t="s">
        <v>3</v>
      </c>
      <c r="AY76" s="19"/>
      <c r="AZ76" s="19"/>
      <c r="BA76" s="19"/>
      <c r="BB76" s="19"/>
    </row>
    <row r="77" spans="1:58" ht="15" outlineLevel="1" thickBot="1">
      <c r="A77" s="852" t="s">
        <v>232</v>
      </c>
      <c r="B77" s="853"/>
      <c r="C77" s="853"/>
      <c r="D77" s="853"/>
      <c r="E77" s="46">
        <f t="shared" ref="E77:Z77" si="33">SUM(E72:E76)</f>
        <v>0</v>
      </c>
      <c r="F77" s="47">
        <f t="shared" si="33"/>
        <v>-1.7999999999999989</v>
      </c>
      <c r="G77" s="47">
        <f t="shared" si="33"/>
        <v>-7.1900000000000199</v>
      </c>
      <c r="H77" s="47">
        <f t="shared" si="33"/>
        <v>-1.2919999999999909</v>
      </c>
      <c r="I77" s="47">
        <f t="shared" si="33"/>
        <v>-14.564000000000011</v>
      </c>
      <c r="J77" s="47">
        <f t="shared" si="33"/>
        <v>-6</v>
      </c>
      <c r="K77" s="47">
        <f t="shared" si="33"/>
        <v>6.8000000000000123</v>
      </c>
      <c r="L77" s="47">
        <f t="shared" si="33"/>
        <v>-1.1800000000000095</v>
      </c>
      <c r="M77" s="47">
        <f t="shared" si="33"/>
        <v>-14.794000000000027</v>
      </c>
      <c r="N77" s="47">
        <f t="shared" si="33"/>
        <v>1.650000000000011</v>
      </c>
      <c r="O77" s="47">
        <f t="shared" si="33"/>
        <v>-15.600000000000023</v>
      </c>
      <c r="P77" s="47">
        <f t="shared" si="33"/>
        <v>-55.299000000000014</v>
      </c>
      <c r="Q77" s="47">
        <f t="shared" si="33"/>
        <v>-7.0000000000000009</v>
      </c>
      <c r="R77" s="47">
        <f t="shared" si="33"/>
        <v>-2.0825882138433029</v>
      </c>
      <c r="S77" s="47">
        <f t="shared" si="33"/>
        <v>-4.935478581817998</v>
      </c>
      <c r="T77" s="47">
        <f t="shared" si="33"/>
        <v>-2.8599999999999879</v>
      </c>
      <c r="U77" s="47">
        <f t="shared" si="33"/>
        <v>-3.82</v>
      </c>
      <c r="V77" s="47">
        <f t="shared" si="33"/>
        <v>-9.8839999999999915</v>
      </c>
      <c r="W77" s="47">
        <f t="shared" si="33"/>
        <v>6.2279999999999909</v>
      </c>
      <c r="X77" s="47">
        <f t="shared" si="33"/>
        <v>27.634999999999977</v>
      </c>
      <c r="Y77" s="47">
        <f t="shared" si="33"/>
        <v>16.263857938685483</v>
      </c>
      <c r="Z77" s="47">
        <f t="shared" si="33"/>
        <v>18.830232274350315</v>
      </c>
      <c r="AA77" s="47">
        <f t="shared" ref="AA77:AV77" si="34">SUM(AA72:AA76)</f>
        <v>-3.1648790847924264</v>
      </c>
      <c r="AB77" s="47">
        <f t="shared" si="34"/>
        <v>-6.4610849453320176</v>
      </c>
      <c r="AC77" s="47">
        <f t="shared" si="34"/>
        <v>2.9879999999999809</v>
      </c>
      <c r="AD77" s="47">
        <f t="shared" si="34"/>
        <v>-2.1722629654257544</v>
      </c>
      <c r="AE77" s="47">
        <f t="shared" si="34"/>
        <v>-3.5012200380669993</v>
      </c>
      <c r="AF77" s="47">
        <f t="shared" si="34"/>
        <v>-4.9671231113611949</v>
      </c>
      <c r="AG77" s="47">
        <f t="shared" si="34"/>
        <v>0.23364705882357839</v>
      </c>
      <c r="AH77" s="47">
        <f t="shared" si="34"/>
        <v>-0.48814709733741601</v>
      </c>
      <c r="AI77" s="47">
        <f t="shared" si="34"/>
        <v>2</v>
      </c>
      <c r="AJ77" s="47">
        <f t="shared" si="34"/>
        <v>-2</v>
      </c>
      <c r="AK77" s="47">
        <f t="shared" si="34"/>
        <v>0.71999999999999975</v>
      </c>
      <c r="AL77" s="47">
        <f t="shared" si="34"/>
        <v>0</v>
      </c>
      <c r="AM77" s="47">
        <f t="shared" si="34"/>
        <v>0</v>
      </c>
      <c r="AN77" s="47">
        <f t="shared" si="34"/>
        <v>0</v>
      </c>
      <c r="AO77" s="47">
        <f t="shared" si="34"/>
        <v>0</v>
      </c>
      <c r="AP77" s="47">
        <f t="shared" si="34"/>
        <v>0</v>
      </c>
      <c r="AQ77" s="47">
        <f t="shared" si="34"/>
        <v>0</v>
      </c>
      <c r="AR77" s="47">
        <f t="shared" si="34"/>
        <v>0</v>
      </c>
      <c r="AS77" s="47">
        <f t="shared" si="34"/>
        <v>0</v>
      </c>
      <c r="AT77" s="47">
        <f t="shared" si="34"/>
        <v>0</v>
      </c>
      <c r="AU77" s="47">
        <f t="shared" si="34"/>
        <v>-12.579396551724134</v>
      </c>
      <c r="AV77" s="47">
        <f t="shared" si="34"/>
        <v>-20.063358879226378</v>
      </c>
      <c r="AW77" s="689" t="s">
        <v>5</v>
      </c>
      <c r="AX77" s="579" t="s">
        <v>3</v>
      </c>
      <c r="AY77" s="19"/>
      <c r="AZ77" s="19"/>
      <c r="BA77" s="19"/>
      <c r="BB77" s="19"/>
    </row>
    <row r="78" spans="1:58" ht="13.35" customHeight="1" outlineLevel="1">
      <c r="A78" s="217" t="s">
        <v>245</v>
      </c>
      <c r="B78" s="439"/>
      <c r="C78" s="439" t="s">
        <v>246</v>
      </c>
      <c r="D78" s="439"/>
      <c r="E78" s="45"/>
      <c r="F78" s="45"/>
      <c r="G78" s="45"/>
      <c r="H78" s="45"/>
      <c r="I78" s="45"/>
      <c r="J78" s="45"/>
      <c r="K78" s="45"/>
      <c r="L78" s="45"/>
      <c r="M78" s="45"/>
      <c r="N78" s="45"/>
      <c r="O78" s="45"/>
      <c r="P78" s="45"/>
      <c r="Q78" s="45"/>
      <c r="R78" s="45"/>
      <c r="S78" s="45"/>
      <c r="T78" s="45"/>
      <c r="U78" s="45"/>
      <c r="V78" s="45"/>
      <c r="W78" s="45"/>
      <c r="X78" s="45"/>
      <c r="Y78" s="45"/>
      <c r="Z78" s="288">
        <f t="shared" ref="Z78:AV78" si="35">IF(Z115&gt;Z8,Z8,Z115)</f>
        <v>39</v>
      </c>
      <c r="AA78" s="288">
        <f t="shared" si="35"/>
        <v>37</v>
      </c>
      <c r="AB78" s="288">
        <f t="shared" si="35"/>
        <v>29.5</v>
      </c>
      <c r="AC78" s="288">
        <f t="shared" si="35"/>
        <v>35</v>
      </c>
      <c r="AD78" s="288">
        <f t="shared" si="35"/>
        <v>31.5</v>
      </c>
      <c r="AE78" s="288">
        <f t="shared" si="35"/>
        <v>54.31</v>
      </c>
      <c r="AF78" s="288">
        <f t="shared" si="35"/>
        <v>26</v>
      </c>
      <c r="AG78" s="288">
        <f t="shared" si="35"/>
        <v>50.82</v>
      </c>
      <c r="AH78" s="288">
        <f t="shared" si="35"/>
        <v>42</v>
      </c>
      <c r="AI78" s="288">
        <f t="shared" si="35"/>
        <v>29</v>
      </c>
      <c r="AJ78" s="288">
        <f t="shared" si="35"/>
        <v>28</v>
      </c>
      <c r="AK78" s="288">
        <f t="shared" si="35"/>
        <v>10</v>
      </c>
      <c r="AL78" s="288">
        <f t="shared" si="35"/>
        <v>31</v>
      </c>
      <c r="AM78" s="288">
        <f t="shared" si="35"/>
        <v>21</v>
      </c>
      <c r="AN78" s="288">
        <f t="shared" si="35"/>
        <v>51</v>
      </c>
      <c r="AO78" s="288">
        <f t="shared" si="35"/>
        <v>44</v>
      </c>
      <c r="AP78" s="288">
        <f t="shared" si="35"/>
        <v>30</v>
      </c>
      <c r="AQ78" s="288">
        <f t="shared" si="35"/>
        <v>42</v>
      </c>
      <c r="AR78" s="288">
        <f t="shared" si="35"/>
        <v>41</v>
      </c>
      <c r="AS78" s="288">
        <f t="shared" si="35"/>
        <v>45</v>
      </c>
      <c r="AT78" s="288">
        <f t="shared" si="35"/>
        <v>52</v>
      </c>
      <c r="AU78" s="288">
        <f t="shared" si="35"/>
        <v>55.44</v>
      </c>
      <c r="AV78" s="288">
        <f t="shared" si="35"/>
        <v>56.06</v>
      </c>
      <c r="AW78" s="738"/>
      <c r="AX78" s="580" t="s">
        <v>158</v>
      </c>
      <c r="AY78" s="19"/>
      <c r="AZ78" s="19"/>
      <c r="BA78" s="19"/>
      <c r="BB78" s="19"/>
      <c r="BC78" s="822" t="s">
        <v>247</v>
      </c>
    </row>
    <row r="79" spans="1:58" ht="13.35" customHeight="1" outlineLevel="1">
      <c r="A79" s="216"/>
      <c r="B79" s="439"/>
      <c r="C79" s="439" t="s">
        <v>248</v>
      </c>
      <c r="D79" s="439"/>
      <c r="E79" s="45"/>
      <c r="F79" s="45"/>
      <c r="G79" s="45"/>
      <c r="H79" s="45"/>
      <c r="I79" s="45"/>
      <c r="J79" s="45"/>
      <c r="K79" s="45"/>
      <c r="L79" s="45"/>
      <c r="M79" s="45"/>
      <c r="N79" s="45"/>
      <c r="O79" s="45"/>
      <c r="P79" s="45"/>
      <c r="Q79" s="45"/>
      <c r="R79" s="45"/>
      <c r="S79" s="45"/>
      <c r="T79" s="45"/>
      <c r="U79" s="45"/>
      <c r="V79" s="45"/>
      <c r="W79" s="45"/>
      <c r="X79" s="45"/>
      <c r="Y79" s="45"/>
      <c r="Z79" s="288">
        <f t="shared" ref="Z79:AV79" si="36">IF(Z8=Z78,0,Z8-Z115)</f>
        <v>0</v>
      </c>
      <c r="AA79" s="288">
        <f t="shared" si="36"/>
        <v>0</v>
      </c>
      <c r="AB79" s="288">
        <f t="shared" si="36"/>
        <v>0</v>
      </c>
      <c r="AC79" s="288">
        <f t="shared" si="36"/>
        <v>0</v>
      </c>
      <c r="AD79" s="288">
        <f t="shared" si="36"/>
        <v>0</v>
      </c>
      <c r="AE79" s="288">
        <f t="shared" si="36"/>
        <v>45.69</v>
      </c>
      <c r="AF79" s="288">
        <f t="shared" si="36"/>
        <v>0</v>
      </c>
      <c r="AG79" s="288">
        <f t="shared" si="36"/>
        <v>0.17999999999999972</v>
      </c>
      <c r="AH79" s="288">
        <f t="shared" si="36"/>
        <v>0</v>
      </c>
      <c r="AI79" s="288">
        <f t="shared" si="36"/>
        <v>0</v>
      </c>
      <c r="AJ79" s="288">
        <f t="shared" si="36"/>
        <v>0</v>
      </c>
      <c r="AK79" s="288">
        <f t="shared" si="36"/>
        <v>0</v>
      </c>
      <c r="AL79" s="288">
        <f t="shared" si="36"/>
        <v>0</v>
      </c>
      <c r="AM79" s="288">
        <f t="shared" si="36"/>
        <v>0</v>
      </c>
      <c r="AN79" s="288">
        <f t="shared" si="36"/>
        <v>0</v>
      </c>
      <c r="AO79" s="288">
        <f t="shared" si="36"/>
        <v>0</v>
      </c>
      <c r="AP79" s="288">
        <f t="shared" si="36"/>
        <v>0</v>
      </c>
      <c r="AQ79" s="288">
        <f t="shared" si="36"/>
        <v>0</v>
      </c>
      <c r="AR79" s="288">
        <f t="shared" si="36"/>
        <v>0</v>
      </c>
      <c r="AS79" s="288">
        <f t="shared" si="36"/>
        <v>0</v>
      </c>
      <c r="AT79" s="288">
        <f t="shared" si="36"/>
        <v>0</v>
      </c>
      <c r="AU79" s="288">
        <f t="shared" si="36"/>
        <v>1.5600000000000023</v>
      </c>
      <c r="AV79" s="288">
        <f t="shared" si="36"/>
        <v>3.9399999999999977</v>
      </c>
      <c r="AW79" s="738"/>
      <c r="AX79" s="580" t="s">
        <v>158</v>
      </c>
      <c r="AY79" s="19"/>
      <c r="AZ79" s="19"/>
      <c r="BA79" s="19"/>
      <c r="BB79" s="19"/>
    </row>
    <row r="80" spans="1:58" outlineLevel="1">
      <c r="A80" s="216"/>
      <c r="B80" s="439"/>
      <c r="C80" s="439" t="s">
        <v>249</v>
      </c>
      <c r="D80" s="439"/>
      <c r="E80" s="45"/>
      <c r="F80" s="45"/>
      <c r="G80" s="45"/>
      <c r="H80" s="45"/>
      <c r="I80" s="45"/>
      <c r="J80" s="45"/>
      <c r="K80" s="45"/>
      <c r="L80" s="45"/>
      <c r="M80" s="45"/>
      <c r="N80" s="45"/>
      <c r="O80" s="45"/>
      <c r="P80" s="45"/>
      <c r="Q80" s="45"/>
      <c r="R80" s="45"/>
      <c r="S80" s="45"/>
      <c r="T80" s="45"/>
      <c r="U80" s="45"/>
      <c r="V80" s="45"/>
      <c r="W80" s="45"/>
      <c r="X80" s="45"/>
      <c r="Y80" s="45"/>
      <c r="Z80" s="288">
        <f t="shared" ref="Z80:AV80" si="37">IF(Z81+Z82&gt;Z8,0,Z8-(Z81+Z82))</f>
        <v>0</v>
      </c>
      <c r="AA80" s="288">
        <f t="shared" si="37"/>
        <v>0</v>
      </c>
      <c r="AB80" s="288">
        <f t="shared" si="37"/>
        <v>0</v>
      </c>
      <c r="AC80" s="288">
        <f t="shared" si="37"/>
        <v>0</v>
      </c>
      <c r="AD80" s="288">
        <f t="shared" si="37"/>
        <v>0</v>
      </c>
      <c r="AE80" s="288">
        <f>IF(AE81+AE82&gt;AE8,0,AE8-(AE81+AE82))</f>
        <v>32.69</v>
      </c>
      <c r="AF80" s="288">
        <f t="shared" si="37"/>
        <v>0</v>
      </c>
      <c r="AG80" s="288">
        <f t="shared" si="37"/>
        <v>0</v>
      </c>
      <c r="AH80" s="288">
        <f t="shared" si="37"/>
        <v>0</v>
      </c>
      <c r="AI80" s="288">
        <f t="shared" si="37"/>
        <v>0</v>
      </c>
      <c r="AJ80" s="288">
        <f t="shared" si="37"/>
        <v>0</v>
      </c>
      <c r="AK80" s="288">
        <f t="shared" si="37"/>
        <v>0</v>
      </c>
      <c r="AL80" s="288">
        <f t="shared" si="37"/>
        <v>0</v>
      </c>
      <c r="AM80" s="288">
        <f t="shared" si="37"/>
        <v>0</v>
      </c>
      <c r="AN80" s="288">
        <f t="shared" si="37"/>
        <v>0</v>
      </c>
      <c r="AO80" s="288">
        <f t="shared" si="37"/>
        <v>0</v>
      </c>
      <c r="AP80" s="288">
        <f t="shared" si="37"/>
        <v>0</v>
      </c>
      <c r="AQ80" s="288">
        <f t="shared" si="37"/>
        <v>0</v>
      </c>
      <c r="AR80" s="288">
        <f t="shared" si="37"/>
        <v>0</v>
      </c>
      <c r="AS80" s="288">
        <f t="shared" si="37"/>
        <v>0</v>
      </c>
      <c r="AT80" s="288">
        <f t="shared" si="37"/>
        <v>0</v>
      </c>
      <c r="AU80" s="288">
        <f t="shared" si="37"/>
        <v>0</v>
      </c>
      <c r="AV80" s="288">
        <f t="shared" si="37"/>
        <v>0</v>
      </c>
      <c r="AW80" s="738"/>
      <c r="AX80" s="580" t="s">
        <v>158</v>
      </c>
      <c r="AY80" s="19"/>
      <c r="AZ80" s="19"/>
      <c r="BA80" s="19"/>
      <c r="BB80" s="19"/>
    </row>
    <row r="81" spans="1:54" outlineLevel="1">
      <c r="A81" s="217" t="s">
        <v>245</v>
      </c>
      <c r="B81" s="632" t="s">
        <v>99</v>
      </c>
      <c r="C81" s="632" t="s">
        <v>246</v>
      </c>
      <c r="D81" s="632" t="s">
        <v>250</v>
      </c>
      <c r="E81" s="45"/>
      <c r="F81" s="45"/>
      <c r="G81" s="45"/>
      <c r="H81" s="45"/>
      <c r="I81" s="45"/>
      <c r="J81" s="45"/>
      <c r="K81" s="45"/>
      <c r="L81" s="45"/>
      <c r="M81" s="45"/>
      <c r="N81" s="45"/>
      <c r="O81" s="45"/>
      <c r="P81" s="45"/>
      <c r="Q81" s="45"/>
      <c r="R81" s="45"/>
      <c r="S81" s="45"/>
      <c r="T81" s="45"/>
      <c r="U81" s="45"/>
      <c r="V81" s="45"/>
      <c r="W81" s="45"/>
      <c r="X81" s="45"/>
      <c r="Y81" s="440">
        <v>6</v>
      </c>
      <c r="Z81" s="440">
        <f>Z78</f>
        <v>39</v>
      </c>
      <c r="AA81" s="440">
        <f t="shared" ref="AA81:AV81" si="38">AA78</f>
        <v>37</v>
      </c>
      <c r="AB81" s="440">
        <f t="shared" si="38"/>
        <v>29.5</v>
      </c>
      <c r="AC81" s="440">
        <f t="shared" si="38"/>
        <v>35</v>
      </c>
      <c r="AD81" s="440">
        <f>AD78</f>
        <v>31.5</v>
      </c>
      <c r="AE81" s="440">
        <f>AE78</f>
        <v>54.31</v>
      </c>
      <c r="AF81" s="440">
        <f t="shared" si="38"/>
        <v>26</v>
      </c>
      <c r="AG81" s="440">
        <f t="shared" si="38"/>
        <v>50.82</v>
      </c>
      <c r="AH81" s="440">
        <f t="shared" si="38"/>
        <v>42</v>
      </c>
      <c r="AI81" s="440">
        <f t="shared" si="38"/>
        <v>29</v>
      </c>
      <c r="AJ81" s="440">
        <f t="shared" si="38"/>
        <v>28</v>
      </c>
      <c r="AK81" s="440">
        <f t="shared" si="38"/>
        <v>10</v>
      </c>
      <c r="AL81" s="440">
        <f t="shared" si="38"/>
        <v>31</v>
      </c>
      <c r="AM81" s="440">
        <f t="shared" si="38"/>
        <v>21</v>
      </c>
      <c r="AN81" s="440">
        <f t="shared" si="38"/>
        <v>51</v>
      </c>
      <c r="AO81" s="440">
        <f t="shared" si="38"/>
        <v>44</v>
      </c>
      <c r="AP81" s="440">
        <f t="shared" si="38"/>
        <v>30</v>
      </c>
      <c r="AQ81" s="440">
        <f t="shared" si="38"/>
        <v>42</v>
      </c>
      <c r="AR81" s="440">
        <f t="shared" si="38"/>
        <v>41</v>
      </c>
      <c r="AS81" s="440">
        <f t="shared" si="38"/>
        <v>45</v>
      </c>
      <c r="AT81" s="440">
        <f t="shared" si="38"/>
        <v>52</v>
      </c>
      <c r="AU81" s="440">
        <f t="shared" si="38"/>
        <v>55.44</v>
      </c>
      <c r="AV81" s="440">
        <f t="shared" si="38"/>
        <v>56.06</v>
      </c>
      <c r="AW81" s="739"/>
      <c r="AX81" s="580" t="s">
        <v>158</v>
      </c>
      <c r="AY81" s="19"/>
      <c r="AZ81" s="19"/>
      <c r="BA81" s="19"/>
      <c r="BB81" s="19"/>
    </row>
    <row r="82" spans="1:54" outlineLevel="1">
      <c r="A82" s="216"/>
      <c r="B82" s="632" t="s">
        <v>99</v>
      </c>
      <c r="C82" s="632" t="s">
        <v>248</v>
      </c>
      <c r="D82" s="632" t="s">
        <v>250</v>
      </c>
      <c r="E82" s="45"/>
      <c r="F82" s="45"/>
      <c r="G82" s="45"/>
      <c r="H82" s="45"/>
      <c r="I82" s="45"/>
      <c r="J82" s="45"/>
      <c r="K82" s="45"/>
      <c r="L82" s="45"/>
      <c r="M82" s="45"/>
      <c r="N82" s="45"/>
      <c r="O82" s="45"/>
      <c r="P82" s="45"/>
      <c r="Q82" s="45"/>
      <c r="R82" s="45"/>
      <c r="S82" s="45"/>
      <c r="T82" s="45"/>
      <c r="U82" s="45"/>
      <c r="V82" s="45"/>
      <c r="W82" s="45"/>
      <c r="X82" s="45"/>
      <c r="Y82" s="45"/>
      <c r="Z82" s="440">
        <f t="shared" ref="Z82:AV82" si="39">IF(Z79&lt;Z119,Z79,Z119)</f>
        <v>0</v>
      </c>
      <c r="AA82" s="440">
        <f t="shared" si="39"/>
        <v>0</v>
      </c>
      <c r="AB82" s="440">
        <f t="shared" si="39"/>
        <v>0</v>
      </c>
      <c r="AC82" s="440">
        <f t="shared" si="39"/>
        <v>0</v>
      </c>
      <c r="AD82" s="440">
        <f t="shared" si="39"/>
        <v>0</v>
      </c>
      <c r="AE82" s="440">
        <f t="shared" si="39"/>
        <v>13</v>
      </c>
      <c r="AF82" s="440">
        <f t="shared" si="39"/>
        <v>0</v>
      </c>
      <c r="AG82" s="440">
        <f t="shared" si="39"/>
        <v>0.17999999999999972</v>
      </c>
      <c r="AH82" s="440">
        <f t="shared" si="39"/>
        <v>0</v>
      </c>
      <c r="AI82" s="440">
        <f t="shared" si="39"/>
        <v>0</v>
      </c>
      <c r="AJ82" s="440">
        <f t="shared" si="39"/>
        <v>0</v>
      </c>
      <c r="AK82" s="440">
        <f t="shared" si="39"/>
        <v>0</v>
      </c>
      <c r="AL82" s="440">
        <f t="shared" si="39"/>
        <v>0</v>
      </c>
      <c r="AM82" s="440">
        <f t="shared" si="39"/>
        <v>0</v>
      </c>
      <c r="AN82" s="440">
        <f t="shared" si="39"/>
        <v>0</v>
      </c>
      <c r="AO82" s="440">
        <f t="shared" si="39"/>
        <v>0</v>
      </c>
      <c r="AP82" s="440">
        <f t="shared" si="39"/>
        <v>0</v>
      </c>
      <c r="AQ82" s="440">
        <f t="shared" si="39"/>
        <v>0</v>
      </c>
      <c r="AR82" s="440">
        <f t="shared" si="39"/>
        <v>0</v>
      </c>
      <c r="AS82" s="440">
        <f t="shared" si="39"/>
        <v>0</v>
      </c>
      <c r="AT82" s="440">
        <f t="shared" si="39"/>
        <v>0</v>
      </c>
      <c r="AU82" s="440">
        <f t="shared" si="39"/>
        <v>1.5600000000000023</v>
      </c>
      <c r="AV82" s="440">
        <f t="shared" si="39"/>
        <v>3.9399999999999977</v>
      </c>
      <c r="AW82" s="739"/>
      <c r="AX82" s="580" t="s">
        <v>158</v>
      </c>
      <c r="AY82" s="19"/>
      <c r="AZ82" s="19"/>
      <c r="BA82" s="19"/>
      <c r="BB82" s="19"/>
    </row>
    <row r="83" spans="1:54" outlineLevel="1">
      <c r="A83" s="216"/>
      <c r="B83" s="632" t="s">
        <v>99</v>
      </c>
      <c r="C83" s="632" t="s">
        <v>249</v>
      </c>
      <c r="D83" s="632" t="s">
        <v>250</v>
      </c>
      <c r="E83" s="45"/>
      <c r="F83" s="45"/>
      <c r="G83" s="45"/>
      <c r="H83" s="45"/>
      <c r="I83" s="45"/>
      <c r="J83" s="45"/>
      <c r="K83" s="45"/>
      <c r="L83" s="45"/>
      <c r="M83" s="45"/>
      <c r="N83" s="45"/>
      <c r="O83" s="45"/>
      <c r="P83" s="45"/>
      <c r="Q83" s="45"/>
      <c r="R83" s="45"/>
      <c r="S83" s="45"/>
      <c r="T83" s="45"/>
      <c r="U83" s="45"/>
      <c r="V83" s="45"/>
      <c r="W83" s="45"/>
      <c r="X83" s="45"/>
      <c r="Y83" s="45"/>
      <c r="Z83" s="440">
        <f>Z80</f>
        <v>0</v>
      </c>
      <c r="AA83" s="440">
        <f t="shared" ref="AA83:AV83" si="40">AA80</f>
        <v>0</v>
      </c>
      <c r="AB83" s="440">
        <f t="shared" si="40"/>
        <v>0</v>
      </c>
      <c r="AC83" s="440">
        <f t="shared" si="40"/>
        <v>0</v>
      </c>
      <c r="AD83" s="440">
        <f t="shared" si="40"/>
        <v>0</v>
      </c>
      <c r="AE83" s="440">
        <f>AE80</f>
        <v>32.69</v>
      </c>
      <c r="AF83" s="440">
        <f t="shared" si="40"/>
        <v>0</v>
      </c>
      <c r="AG83" s="440">
        <f t="shared" si="40"/>
        <v>0</v>
      </c>
      <c r="AH83" s="440">
        <f t="shared" si="40"/>
        <v>0</v>
      </c>
      <c r="AI83" s="440">
        <f t="shared" si="40"/>
        <v>0</v>
      </c>
      <c r="AJ83" s="440">
        <f t="shared" si="40"/>
        <v>0</v>
      </c>
      <c r="AK83" s="440">
        <f t="shared" si="40"/>
        <v>0</v>
      </c>
      <c r="AL83" s="440">
        <f t="shared" si="40"/>
        <v>0</v>
      </c>
      <c r="AM83" s="440">
        <f t="shared" si="40"/>
        <v>0</v>
      </c>
      <c r="AN83" s="440">
        <f t="shared" si="40"/>
        <v>0</v>
      </c>
      <c r="AO83" s="440">
        <f t="shared" si="40"/>
        <v>0</v>
      </c>
      <c r="AP83" s="440">
        <f t="shared" si="40"/>
        <v>0</v>
      </c>
      <c r="AQ83" s="440">
        <f t="shared" si="40"/>
        <v>0</v>
      </c>
      <c r="AR83" s="440">
        <f t="shared" si="40"/>
        <v>0</v>
      </c>
      <c r="AS83" s="440">
        <f t="shared" si="40"/>
        <v>0</v>
      </c>
      <c r="AT83" s="440">
        <f t="shared" si="40"/>
        <v>0</v>
      </c>
      <c r="AU83" s="440">
        <f t="shared" si="40"/>
        <v>0</v>
      </c>
      <c r="AV83" s="440">
        <f t="shared" si="40"/>
        <v>0</v>
      </c>
      <c r="AW83" s="739"/>
      <c r="AX83" s="580" t="s">
        <v>158</v>
      </c>
      <c r="AY83" s="19"/>
      <c r="AZ83" s="19"/>
      <c r="BA83" s="19"/>
      <c r="BB83" s="19"/>
    </row>
    <row r="84" spans="1:54" ht="13.35" customHeight="1" outlineLevel="1">
      <c r="A84" s="216"/>
      <c r="B84" s="18"/>
      <c r="C84" s="438" t="s">
        <v>246</v>
      </c>
      <c r="D84" s="19"/>
      <c r="E84" s="45"/>
      <c r="F84" s="45"/>
      <c r="G84" s="45"/>
      <c r="H84" s="45"/>
      <c r="I84" s="45"/>
      <c r="J84" s="45"/>
      <c r="K84" s="633">
        <f t="shared" ref="K84:Q84" si="41">K115-K8</f>
        <v>53.24</v>
      </c>
      <c r="L84" s="633">
        <f t="shared" si="41"/>
        <v>59.77</v>
      </c>
      <c r="M84" s="633">
        <f t="shared" si="41"/>
        <v>70.308482029999993</v>
      </c>
      <c r="N84" s="633">
        <f t="shared" si="41"/>
        <v>62.170128779999992</v>
      </c>
      <c r="O84" s="633">
        <f t="shared" si="41"/>
        <v>67.39</v>
      </c>
      <c r="P84" s="633">
        <f t="shared" si="41"/>
        <v>52.08</v>
      </c>
      <c r="Q84" s="633">
        <f t="shared" si="41"/>
        <v>45.18</v>
      </c>
      <c r="R84" s="633">
        <f t="shared" ref="R84:AV84" si="42">R115-R8-R10</f>
        <v>47.39</v>
      </c>
      <c r="S84" s="633">
        <f t="shared" si="42"/>
        <v>32.54</v>
      </c>
      <c r="T84" s="633">
        <f t="shared" si="42"/>
        <v>32.6</v>
      </c>
      <c r="U84" s="633">
        <f t="shared" si="42"/>
        <v>43.42</v>
      </c>
      <c r="V84" s="633">
        <f t="shared" si="42"/>
        <v>55.54</v>
      </c>
      <c r="W84" s="633">
        <f t="shared" si="42"/>
        <v>27.382407709999995</v>
      </c>
      <c r="X84" s="633">
        <f t="shared" si="42"/>
        <v>35.423000000000002</v>
      </c>
      <c r="Y84" s="633">
        <f t="shared" si="42"/>
        <v>48.21</v>
      </c>
      <c r="Z84" s="634">
        <f t="shared" si="42"/>
        <v>13.25</v>
      </c>
      <c r="AA84" s="634">
        <f t="shared" si="42"/>
        <v>19.880000000000003</v>
      </c>
      <c r="AB84" s="634">
        <f t="shared" si="42"/>
        <v>17.78</v>
      </c>
      <c r="AC84" s="634">
        <f t="shared" si="42"/>
        <v>16.799999999999997</v>
      </c>
      <c r="AD84" s="634">
        <f t="shared" si="42"/>
        <v>19.739999999999995</v>
      </c>
      <c r="AE84" s="634">
        <f t="shared" si="42"/>
        <v>-45.69</v>
      </c>
      <c r="AF84" s="634">
        <f t="shared" si="42"/>
        <v>24.169999999999995</v>
      </c>
      <c r="AG84" s="634">
        <f t="shared" si="42"/>
        <v>-0.17999999999999972</v>
      </c>
      <c r="AH84" s="634">
        <f>AH115-AH8-AH10</f>
        <v>10.660000000000004</v>
      </c>
      <c r="AI84" s="634">
        <f t="shared" si="42"/>
        <v>22.78</v>
      </c>
      <c r="AJ84" s="634">
        <f t="shared" si="42"/>
        <v>29.369999999999997</v>
      </c>
      <c r="AK84" s="634">
        <f t="shared" si="42"/>
        <v>48.74</v>
      </c>
      <c r="AL84" s="634">
        <f t="shared" si="42"/>
        <v>24.369999999999997</v>
      </c>
      <c r="AM84" s="634">
        <f t="shared" si="42"/>
        <v>24.869999999999997</v>
      </c>
      <c r="AN84" s="634">
        <f t="shared" si="42"/>
        <v>4.5799999999999983</v>
      </c>
      <c r="AO84" s="634">
        <f t="shared" si="42"/>
        <v>13.189999999999998</v>
      </c>
      <c r="AP84" s="634">
        <f t="shared" si="42"/>
        <v>27.240000000000002</v>
      </c>
      <c r="AQ84" s="634">
        <f t="shared" si="42"/>
        <v>18.810000000000002</v>
      </c>
      <c r="AR84" s="634">
        <f t="shared" si="42"/>
        <v>20.340000000000003</v>
      </c>
      <c r="AS84" s="634">
        <f t="shared" si="42"/>
        <v>14.229999999999997</v>
      </c>
      <c r="AT84" s="634">
        <f t="shared" si="42"/>
        <v>7.9600000000000009</v>
      </c>
      <c r="AU84" s="634">
        <f t="shared" si="42"/>
        <v>-1.5600000000000023</v>
      </c>
      <c r="AV84" s="634">
        <f t="shared" si="42"/>
        <v>-3.9399999999999977</v>
      </c>
      <c r="AW84" s="634"/>
      <c r="AX84" s="580" t="s">
        <v>158</v>
      </c>
      <c r="AY84" s="19"/>
      <c r="AZ84" s="19"/>
      <c r="BA84" s="19"/>
      <c r="BB84" s="19"/>
    </row>
    <row r="85" spans="1:54" ht="13.35" customHeight="1" outlineLevel="1">
      <c r="A85" s="217"/>
      <c r="B85" s="18"/>
      <c r="C85" s="438" t="s">
        <v>248</v>
      </c>
      <c r="D85" s="19"/>
      <c r="E85" s="45"/>
      <c r="F85" s="45"/>
      <c r="G85" s="45"/>
      <c r="H85" s="45"/>
      <c r="I85" s="45"/>
      <c r="J85" s="45"/>
      <c r="K85" s="633"/>
      <c r="L85" s="633"/>
      <c r="M85" s="633"/>
      <c r="N85" s="633"/>
      <c r="O85" s="633"/>
      <c r="P85" s="633"/>
      <c r="Q85" s="633"/>
      <c r="R85" s="633"/>
      <c r="S85" s="633"/>
      <c r="T85" s="633"/>
      <c r="U85" s="633"/>
      <c r="V85" s="633"/>
      <c r="W85" s="633"/>
      <c r="X85" s="633"/>
      <c r="Y85" s="633"/>
      <c r="Z85" s="634">
        <f t="shared" ref="Z85:AV85" si="43">IF(Z84&gt;0,Z119,Z119+Z84)</f>
        <v>24.4</v>
      </c>
      <c r="AA85" s="634">
        <f t="shared" si="43"/>
        <v>26</v>
      </c>
      <c r="AB85" s="634">
        <f t="shared" si="43"/>
        <v>23.5</v>
      </c>
      <c r="AC85" s="634">
        <f t="shared" si="43"/>
        <v>22</v>
      </c>
      <c r="AD85" s="634">
        <f t="shared" si="43"/>
        <v>13.5</v>
      </c>
      <c r="AE85" s="634">
        <f t="shared" si="43"/>
        <v>-32.69</v>
      </c>
      <c r="AF85" s="634">
        <f t="shared" si="43"/>
        <v>12</v>
      </c>
      <c r="AG85" s="634">
        <f t="shared" si="43"/>
        <v>11.82</v>
      </c>
      <c r="AH85" s="634">
        <f t="shared" si="43"/>
        <v>13</v>
      </c>
      <c r="AI85" s="634">
        <f t="shared" si="43"/>
        <v>13</v>
      </c>
      <c r="AJ85" s="634">
        <f t="shared" si="43"/>
        <v>13</v>
      </c>
      <c r="AK85" s="634">
        <f t="shared" si="43"/>
        <v>14</v>
      </c>
      <c r="AL85" s="634">
        <f t="shared" si="43"/>
        <v>11</v>
      </c>
      <c r="AM85" s="634">
        <f t="shared" si="43"/>
        <v>14</v>
      </c>
      <c r="AN85" s="634">
        <f t="shared" si="43"/>
        <v>14</v>
      </c>
      <c r="AO85" s="634">
        <f t="shared" si="43"/>
        <v>14</v>
      </c>
      <c r="AP85" s="634">
        <f t="shared" si="43"/>
        <v>14</v>
      </c>
      <c r="AQ85" s="634">
        <f t="shared" si="43"/>
        <v>15</v>
      </c>
      <c r="AR85" s="634">
        <f t="shared" si="43"/>
        <v>15</v>
      </c>
      <c r="AS85" s="634">
        <f t="shared" si="43"/>
        <v>15</v>
      </c>
      <c r="AT85" s="634">
        <f t="shared" si="43"/>
        <v>15</v>
      </c>
      <c r="AU85" s="634">
        <f t="shared" si="43"/>
        <v>13.439999999999998</v>
      </c>
      <c r="AV85" s="634">
        <f t="shared" si="43"/>
        <v>11.060000000000002</v>
      </c>
      <c r="AW85" s="634"/>
      <c r="AX85" s="580" t="s">
        <v>158</v>
      </c>
      <c r="AY85" s="19"/>
      <c r="AZ85" s="19"/>
      <c r="BA85" s="19"/>
      <c r="BB85" s="19"/>
    </row>
    <row r="86" spans="1:54" ht="13.35" customHeight="1" outlineLevel="1">
      <c r="A86" s="217"/>
      <c r="B86" s="18"/>
      <c r="C86" s="438" t="s">
        <v>249</v>
      </c>
      <c r="D86" s="19"/>
      <c r="E86" s="45"/>
      <c r="F86" s="45"/>
      <c r="G86" s="45"/>
      <c r="H86" s="45"/>
      <c r="I86" s="45"/>
      <c r="J86" s="45"/>
      <c r="K86" s="633"/>
      <c r="L86" s="633"/>
      <c r="M86" s="633"/>
      <c r="N86" s="633"/>
      <c r="O86" s="633"/>
      <c r="P86" s="633"/>
      <c r="Q86" s="633"/>
      <c r="R86" s="633"/>
      <c r="S86" s="633"/>
      <c r="T86" s="633"/>
      <c r="U86" s="633"/>
      <c r="V86" s="633"/>
      <c r="W86" s="633"/>
      <c r="X86" s="633"/>
      <c r="Y86" s="633"/>
      <c r="Z86" s="634">
        <f t="shared" ref="Z86:AV86" si="44">IF(Z85&gt;=0,Z120,Z120+Z85)</f>
        <v>15</v>
      </c>
      <c r="AA86" s="634">
        <f t="shared" si="44"/>
        <v>17</v>
      </c>
      <c r="AB86" s="634">
        <f t="shared" si="44"/>
        <v>12.5</v>
      </c>
      <c r="AC86" s="634">
        <f t="shared" si="44"/>
        <v>14</v>
      </c>
      <c r="AD86" s="634">
        <f t="shared" si="44"/>
        <v>22.5</v>
      </c>
      <c r="AE86" s="634">
        <f t="shared" si="44"/>
        <v>-8.6899999999999977</v>
      </c>
      <c r="AF86" s="634">
        <f t="shared" si="44"/>
        <v>24</v>
      </c>
      <c r="AG86" s="634">
        <f t="shared" si="44"/>
        <v>24</v>
      </c>
      <c r="AH86" s="634">
        <f t="shared" si="44"/>
        <v>24</v>
      </c>
      <c r="AI86" s="634">
        <f t="shared" si="44"/>
        <v>25</v>
      </c>
      <c r="AJ86" s="634">
        <f t="shared" si="44"/>
        <v>26</v>
      </c>
      <c r="AK86" s="634">
        <f t="shared" si="44"/>
        <v>26</v>
      </c>
      <c r="AL86" s="634">
        <f t="shared" si="44"/>
        <v>23</v>
      </c>
      <c r="AM86" s="634">
        <f t="shared" si="44"/>
        <v>26</v>
      </c>
      <c r="AN86" s="634">
        <f t="shared" si="44"/>
        <v>26</v>
      </c>
      <c r="AO86" s="634">
        <f t="shared" si="44"/>
        <v>26</v>
      </c>
      <c r="AP86" s="634">
        <f t="shared" si="44"/>
        <v>26</v>
      </c>
      <c r="AQ86" s="634">
        <f t="shared" si="44"/>
        <v>27</v>
      </c>
      <c r="AR86" s="634">
        <f t="shared" si="44"/>
        <v>27</v>
      </c>
      <c r="AS86" s="634">
        <f t="shared" si="44"/>
        <v>27</v>
      </c>
      <c r="AT86" s="634">
        <f t="shared" si="44"/>
        <v>27</v>
      </c>
      <c r="AU86" s="634">
        <f t="shared" si="44"/>
        <v>27</v>
      </c>
      <c r="AV86" s="634">
        <f t="shared" si="44"/>
        <v>27</v>
      </c>
      <c r="AW86" s="634"/>
      <c r="AX86" s="580" t="s">
        <v>158</v>
      </c>
      <c r="AY86" s="19"/>
      <c r="AZ86" s="19"/>
      <c r="BA86" s="19"/>
      <c r="BB86" s="19"/>
    </row>
    <row r="87" spans="1:54" ht="13.35" customHeight="1" outlineLevel="1">
      <c r="A87" s="216"/>
      <c r="B87" s="635" t="s">
        <v>92</v>
      </c>
      <c r="C87" s="635" t="s">
        <v>246</v>
      </c>
      <c r="D87" s="635" t="s">
        <v>251</v>
      </c>
      <c r="E87" s="45"/>
      <c r="F87" s="45"/>
      <c r="G87" s="45"/>
      <c r="H87" s="45"/>
      <c r="I87" s="45"/>
      <c r="J87" s="45"/>
      <c r="K87" s="633"/>
      <c r="L87" s="633"/>
      <c r="M87" s="633"/>
      <c r="N87" s="633"/>
      <c r="O87" s="633"/>
      <c r="P87" s="633"/>
      <c r="Q87" s="633"/>
      <c r="R87" s="633"/>
      <c r="S87" s="633"/>
      <c r="T87" s="633"/>
      <c r="U87" s="633"/>
      <c r="V87" s="633"/>
      <c r="W87" s="633"/>
      <c r="X87" s="633"/>
      <c r="Y87" s="633">
        <f t="shared" ref="Y87:AV89" si="45">IF(Y84&lt;0,0,Y84)</f>
        <v>48.21</v>
      </c>
      <c r="Z87" s="633">
        <f t="shared" si="45"/>
        <v>13.25</v>
      </c>
      <c r="AA87" s="633">
        <f t="shared" si="45"/>
        <v>19.880000000000003</v>
      </c>
      <c r="AB87" s="633">
        <f t="shared" si="45"/>
        <v>17.78</v>
      </c>
      <c r="AC87" s="633">
        <f t="shared" si="45"/>
        <v>16.799999999999997</v>
      </c>
      <c r="AD87" s="633">
        <f t="shared" si="45"/>
        <v>19.739999999999995</v>
      </c>
      <c r="AE87" s="633">
        <f t="shared" si="45"/>
        <v>0</v>
      </c>
      <c r="AF87" s="633">
        <f t="shared" si="45"/>
        <v>24.169999999999995</v>
      </c>
      <c r="AG87" s="633">
        <f t="shared" si="45"/>
        <v>0</v>
      </c>
      <c r="AH87" s="633">
        <f t="shared" si="45"/>
        <v>10.660000000000004</v>
      </c>
      <c r="AI87" s="633">
        <f t="shared" si="45"/>
        <v>22.78</v>
      </c>
      <c r="AJ87" s="633">
        <f t="shared" si="45"/>
        <v>29.369999999999997</v>
      </c>
      <c r="AK87" s="633">
        <f t="shared" si="45"/>
        <v>48.74</v>
      </c>
      <c r="AL87" s="633">
        <f t="shared" si="45"/>
        <v>24.369999999999997</v>
      </c>
      <c r="AM87" s="633">
        <f t="shared" si="45"/>
        <v>24.869999999999997</v>
      </c>
      <c r="AN87" s="633">
        <f t="shared" si="45"/>
        <v>4.5799999999999983</v>
      </c>
      <c r="AO87" s="633">
        <f t="shared" si="45"/>
        <v>13.189999999999998</v>
      </c>
      <c r="AP87" s="633">
        <f t="shared" si="45"/>
        <v>27.240000000000002</v>
      </c>
      <c r="AQ87" s="633">
        <f t="shared" si="45"/>
        <v>18.810000000000002</v>
      </c>
      <c r="AR87" s="633">
        <f t="shared" si="45"/>
        <v>20.340000000000003</v>
      </c>
      <c r="AS87" s="633">
        <f t="shared" si="45"/>
        <v>14.229999999999997</v>
      </c>
      <c r="AT87" s="633">
        <f t="shared" si="45"/>
        <v>7.9600000000000009</v>
      </c>
      <c r="AU87" s="633">
        <f t="shared" si="45"/>
        <v>0</v>
      </c>
      <c r="AV87" s="633">
        <f t="shared" si="45"/>
        <v>0</v>
      </c>
      <c r="AW87" s="634"/>
      <c r="AX87" s="580" t="s">
        <v>158</v>
      </c>
      <c r="AY87" s="19"/>
      <c r="AZ87" s="19"/>
      <c r="BA87" s="19"/>
      <c r="BB87" s="19"/>
    </row>
    <row r="88" spans="1:54" ht="13.35" customHeight="1" outlineLevel="1">
      <c r="A88" s="216"/>
      <c r="B88" s="635" t="s">
        <v>92</v>
      </c>
      <c r="C88" s="635" t="s">
        <v>248</v>
      </c>
      <c r="D88" s="635" t="s">
        <v>251</v>
      </c>
      <c r="E88" s="45"/>
      <c r="F88" s="45"/>
      <c r="G88" s="45"/>
      <c r="H88" s="45"/>
      <c r="I88" s="45"/>
      <c r="J88" s="45"/>
      <c r="K88" s="633"/>
      <c r="L88" s="633"/>
      <c r="M88" s="633"/>
      <c r="N88" s="633"/>
      <c r="O88" s="633"/>
      <c r="P88" s="633"/>
      <c r="Q88" s="633"/>
      <c r="R88" s="633"/>
      <c r="S88" s="633"/>
      <c r="T88" s="633"/>
      <c r="U88" s="633"/>
      <c r="V88" s="633"/>
      <c r="W88" s="633"/>
      <c r="X88" s="633"/>
      <c r="Y88" s="633"/>
      <c r="Z88" s="633">
        <f t="shared" si="45"/>
        <v>24.4</v>
      </c>
      <c r="AA88" s="633">
        <f t="shared" si="45"/>
        <v>26</v>
      </c>
      <c r="AB88" s="633">
        <f t="shared" si="45"/>
        <v>23.5</v>
      </c>
      <c r="AC88" s="633">
        <f t="shared" si="45"/>
        <v>22</v>
      </c>
      <c r="AD88" s="633">
        <f t="shared" si="45"/>
        <v>13.5</v>
      </c>
      <c r="AE88" s="633">
        <f t="shared" si="45"/>
        <v>0</v>
      </c>
      <c r="AF88" s="633">
        <f t="shared" si="45"/>
        <v>12</v>
      </c>
      <c r="AG88" s="633">
        <f t="shared" si="45"/>
        <v>11.82</v>
      </c>
      <c r="AH88" s="633">
        <f t="shared" si="45"/>
        <v>13</v>
      </c>
      <c r="AI88" s="633">
        <f t="shared" si="45"/>
        <v>13</v>
      </c>
      <c r="AJ88" s="633">
        <f t="shared" si="45"/>
        <v>13</v>
      </c>
      <c r="AK88" s="633">
        <f t="shared" si="45"/>
        <v>14</v>
      </c>
      <c r="AL88" s="633">
        <f t="shared" si="45"/>
        <v>11</v>
      </c>
      <c r="AM88" s="633">
        <f t="shared" si="45"/>
        <v>14</v>
      </c>
      <c r="AN88" s="633">
        <f t="shared" si="45"/>
        <v>14</v>
      </c>
      <c r="AO88" s="633">
        <f t="shared" si="45"/>
        <v>14</v>
      </c>
      <c r="AP88" s="633">
        <f t="shared" si="45"/>
        <v>14</v>
      </c>
      <c r="AQ88" s="633">
        <f t="shared" si="45"/>
        <v>15</v>
      </c>
      <c r="AR88" s="633">
        <f t="shared" si="45"/>
        <v>15</v>
      </c>
      <c r="AS88" s="633">
        <f t="shared" si="45"/>
        <v>15</v>
      </c>
      <c r="AT88" s="633">
        <f t="shared" si="45"/>
        <v>15</v>
      </c>
      <c r="AU88" s="633">
        <f t="shared" si="45"/>
        <v>13.439999999999998</v>
      </c>
      <c r="AV88" s="633">
        <f t="shared" si="45"/>
        <v>11.060000000000002</v>
      </c>
      <c r="AW88" s="634"/>
      <c r="AX88" s="580" t="s">
        <v>158</v>
      </c>
      <c r="AY88" s="19"/>
      <c r="AZ88" s="19"/>
      <c r="BA88" s="19"/>
      <c r="BB88" s="19"/>
    </row>
    <row r="89" spans="1:54" ht="13.35" customHeight="1" outlineLevel="1">
      <c r="A89" s="216"/>
      <c r="B89" s="635" t="s">
        <v>92</v>
      </c>
      <c r="C89" s="635" t="s">
        <v>249</v>
      </c>
      <c r="D89" s="635" t="s">
        <v>251</v>
      </c>
      <c r="E89" s="45"/>
      <c r="F89" s="45"/>
      <c r="G89" s="45"/>
      <c r="H89" s="45"/>
      <c r="I89" s="45"/>
      <c r="J89" s="45"/>
      <c r="K89" s="633"/>
      <c r="L89" s="633"/>
      <c r="M89" s="633"/>
      <c r="N89" s="633"/>
      <c r="O89" s="633"/>
      <c r="P89" s="633"/>
      <c r="Q89" s="633"/>
      <c r="R89" s="633"/>
      <c r="S89" s="633"/>
      <c r="T89" s="633"/>
      <c r="U89" s="633"/>
      <c r="V89" s="633"/>
      <c r="W89" s="633"/>
      <c r="X89" s="633"/>
      <c r="Y89" s="633"/>
      <c r="Z89" s="633">
        <f>IF(Z86&lt;0,0,Z86)</f>
        <v>15</v>
      </c>
      <c r="AA89" s="633">
        <f t="shared" si="45"/>
        <v>17</v>
      </c>
      <c r="AB89" s="633">
        <f t="shared" si="45"/>
        <v>12.5</v>
      </c>
      <c r="AC89" s="633">
        <f>IF(AC86&lt;0,0,AC86)</f>
        <v>14</v>
      </c>
      <c r="AD89" s="633">
        <f t="shared" si="45"/>
        <v>22.5</v>
      </c>
      <c r="AE89" s="633">
        <f>IF(AE86&lt;0,0,AE86)</f>
        <v>0</v>
      </c>
      <c r="AF89" s="633">
        <f t="shared" si="45"/>
        <v>24</v>
      </c>
      <c r="AG89" s="633">
        <f t="shared" si="45"/>
        <v>24</v>
      </c>
      <c r="AH89" s="633">
        <f t="shared" si="45"/>
        <v>24</v>
      </c>
      <c r="AI89" s="633">
        <f t="shared" si="45"/>
        <v>25</v>
      </c>
      <c r="AJ89" s="633">
        <f t="shared" si="45"/>
        <v>26</v>
      </c>
      <c r="AK89" s="633">
        <f t="shared" si="45"/>
        <v>26</v>
      </c>
      <c r="AL89" s="633">
        <f t="shared" si="45"/>
        <v>23</v>
      </c>
      <c r="AM89" s="633">
        <f t="shared" si="45"/>
        <v>26</v>
      </c>
      <c r="AN89" s="633">
        <f t="shared" si="45"/>
        <v>26</v>
      </c>
      <c r="AO89" s="633">
        <f t="shared" si="45"/>
        <v>26</v>
      </c>
      <c r="AP89" s="633">
        <f t="shared" si="45"/>
        <v>26</v>
      </c>
      <c r="AQ89" s="633">
        <f t="shared" si="45"/>
        <v>27</v>
      </c>
      <c r="AR89" s="633">
        <f t="shared" si="45"/>
        <v>27</v>
      </c>
      <c r="AS89" s="633">
        <f t="shared" si="45"/>
        <v>27</v>
      </c>
      <c r="AT89" s="633">
        <f t="shared" si="45"/>
        <v>27</v>
      </c>
      <c r="AU89" s="633">
        <f t="shared" si="45"/>
        <v>27</v>
      </c>
      <c r="AV89" s="633">
        <f t="shared" si="45"/>
        <v>27</v>
      </c>
      <c r="AW89" s="634"/>
      <c r="AX89" s="580" t="s">
        <v>158</v>
      </c>
      <c r="AY89" s="19"/>
      <c r="AZ89" s="19"/>
      <c r="BA89" s="19"/>
      <c r="BB89" s="19"/>
    </row>
    <row r="90" spans="1:54" outlineLevel="1">
      <c r="A90" s="214"/>
      <c r="B90" s="215" t="s">
        <v>252</v>
      </c>
      <c r="C90" s="214"/>
      <c r="D90" s="215" t="s">
        <v>253</v>
      </c>
      <c r="E90" s="45"/>
      <c r="F90" s="45"/>
      <c r="G90" s="45"/>
      <c r="H90" s="45"/>
      <c r="I90" s="45"/>
      <c r="J90" s="45"/>
      <c r="K90" s="213">
        <f>SUM(K115:K158)-K8-K61</f>
        <v>186.98999999999998</v>
      </c>
      <c r="L90" s="213">
        <f>SUM(L115:L158)-L8-L61</f>
        <v>176.72567744999995</v>
      </c>
      <c r="M90" s="213">
        <f>SUM(M115:M159)-M8-M61</f>
        <v>184.30329082000003</v>
      </c>
      <c r="N90" s="213">
        <f>SUM(N115:N159)-N8-N61</f>
        <v>172.28545953</v>
      </c>
      <c r="O90" s="213">
        <f>SUM(O115:O159)-O8-O61</f>
        <v>172.38000000000002</v>
      </c>
      <c r="P90" s="213">
        <f>SUM(P115:P159)-P8-P61</f>
        <v>142.44</v>
      </c>
      <c r="Q90" s="213">
        <f>SUM(Q115:Q159)-Q8-Q61</f>
        <v>138.16</v>
      </c>
      <c r="R90" s="213">
        <f t="shared" ref="R90:AV90" si="46">SUM(R115:R159)-R8-R61-R10</f>
        <v>154.13999999999999</v>
      </c>
      <c r="S90" s="213">
        <f t="shared" si="46"/>
        <v>152.03</v>
      </c>
      <c r="T90" s="213">
        <f t="shared" si="46"/>
        <v>164.28000000000006</v>
      </c>
      <c r="U90" s="213">
        <f t="shared" si="46"/>
        <v>174.54000000000002</v>
      </c>
      <c r="V90" s="213">
        <f t="shared" si="46"/>
        <v>191.40999999999997</v>
      </c>
      <c r="W90" s="213">
        <f t="shared" si="46"/>
        <v>148.50240770999997</v>
      </c>
      <c r="X90" s="213">
        <f t="shared" si="46"/>
        <v>163.09299999999999</v>
      </c>
      <c r="Y90" s="213">
        <f t="shared" si="46"/>
        <v>157.68</v>
      </c>
      <c r="Z90" s="213">
        <f t="shared" si="46"/>
        <v>129.34743945000002</v>
      </c>
      <c r="AA90" s="213">
        <f t="shared" si="46"/>
        <v>161.13999999999996</v>
      </c>
      <c r="AB90" s="213">
        <f t="shared" si="46"/>
        <v>135.09999999999997</v>
      </c>
      <c r="AC90" s="213">
        <f t="shared" si="46"/>
        <v>135.55000000000001</v>
      </c>
      <c r="AD90" s="213">
        <f t="shared" si="46"/>
        <v>146.10999999999999</v>
      </c>
      <c r="AE90" s="213">
        <f t="shared" si="46"/>
        <v>83.71999999999997</v>
      </c>
      <c r="AF90" s="213">
        <f t="shared" si="46"/>
        <v>145.25999999999996</v>
      </c>
      <c r="AG90" s="213">
        <f t="shared" si="46"/>
        <v>122</v>
      </c>
      <c r="AH90" s="213">
        <f t="shared" si="46"/>
        <v>133.03900000000002</v>
      </c>
      <c r="AI90" s="213">
        <f t="shared" si="46"/>
        <v>144.54</v>
      </c>
      <c r="AJ90" s="213">
        <f t="shared" si="46"/>
        <v>152.05999999999997</v>
      </c>
      <c r="AK90" s="213">
        <f t="shared" si="46"/>
        <v>173.16</v>
      </c>
      <c r="AL90" s="213">
        <f t="shared" si="46"/>
        <v>139.04999999999998</v>
      </c>
      <c r="AM90" s="213">
        <f t="shared" si="46"/>
        <v>160.49999999999997</v>
      </c>
      <c r="AN90" s="213">
        <f t="shared" si="46"/>
        <v>129.10999999999999</v>
      </c>
      <c r="AO90" s="213">
        <f t="shared" si="46"/>
        <v>135.86999999999998</v>
      </c>
      <c r="AP90" s="213">
        <f t="shared" si="46"/>
        <v>148.19999999999999</v>
      </c>
      <c r="AQ90" s="213">
        <f t="shared" si="46"/>
        <v>153.04</v>
      </c>
      <c r="AR90" s="213">
        <f t="shared" si="46"/>
        <v>153.62999999999997</v>
      </c>
      <c r="AS90" s="213">
        <f t="shared" si="46"/>
        <v>152.03999999999996</v>
      </c>
      <c r="AT90" s="213">
        <f t="shared" si="46"/>
        <v>148.17999999999998</v>
      </c>
      <c r="AU90" s="213">
        <f t="shared" si="46"/>
        <v>136.97999999999999</v>
      </c>
      <c r="AV90" s="213">
        <f t="shared" si="46"/>
        <v>136.86999999999998</v>
      </c>
      <c r="AW90" s="698" t="s">
        <v>254</v>
      </c>
      <c r="AX90" s="579" t="s">
        <v>3</v>
      </c>
      <c r="AY90" s="19"/>
      <c r="AZ90" s="19"/>
      <c r="BA90" s="19"/>
      <c r="BB90" s="19"/>
    </row>
    <row r="91" spans="1:54" outlineLevel="1">
      <c r="A91" s="214"/>
      <c r="B91" s="215"/>
      <c r="C91" s="214"/>
      <c r="D91" s="215"/>
      <c r="E91" s="45"/>
      <c r="F91" s="45"/>
      <c r="G91" s="45"/>
      <c r="H91" s="45"/>
      <c r="I91" s="45"/>
      <c r="J91" s="45"/>
      <c r="K91" s="213"/>
      <c r="L91" s="213"/>
      <c r="M91" s="213"/>
      <c r="N91" s="213"/>
      <c r="O91" s="213"/>
      <c r="P91" s="213"/>
      <c r="Q91" s="213"/>
      <c r="R91" s="213"/>
      <c r="S91" s="213"/>
      <c r="T91" s="213"/>
      <c r="U91" s="213"/>
      <c r="V91" s="213"/>
      <c r="W91" s="213"/>
      <c r="X91" s="213"/>
      <c r="Y91" s="213"/>
      <c r="Z91" s="213"/>
      <c r="AA91" s="213"/>
      <c r="AB91" s="213"/>
      <c r="AC91" s="213"/>
      <c r="AD91" s="213"/>
      <c r="AE91" s="213"/>
      <c r="AF91" s="213"/>
      <c r="AG91" s="213"/>
      <c r="AH91" s="213"/>
      <c r="AI91" s="213"/>
      <c r="AJ91" s="213"/>
      <c r="AK91" s="213"/>
      <c r="AL91" s="213"/>
      <c r="AM91" s="213"/>
      <c r="AN91" s="213"/>
      <c r="AO91" s="213"/>
      <c r="AP91" s="213"/>
      <c r="AQ91" s="213"/>
      <c r="AR91" s="213"/>
      <c r="AS91" s="213"/>
      <c r="AT91" s="213"/>
      <c r="AU91" s="213"/>
      <c r="AV91" s="213"/>
      <c r="AW91" s="698" t="s">
        <v>255</v>
      </c>
      <c r="AX91" s="579" t="s">
        <v>3</v>
      </c>
      <c r="AY91" s="19"/>
      <c r="AZ91" s="19"/>
      <c r="BA91" s="19"/>
      <c r="BB91" s="19"/>
    </row>
    <row r="92" spans="1:54" outlineLevel="1">
      <c r="A92" s="214"/>
      <c r="B92" s="215" t="s">
        <v>256</v>
      </c>
      <c r="C92" s="214"/>
      <c r="D92" s="215" t="s">
        <v>257</v>
      </c>
      <c r="E92" s="45"/>
      <c r="F92" s="45"/>
      <c r="G92" s="45"/>
      <c r="H92" s="45"/>
      <c r="I92" s="45"/>
      <c r="J92" s="45"/>
      <c r="K92" s="213">
        <f t="shared" ref="K92:AV92" si="47">K115+K116+K119+K120+K121+K123+K125+K128+K131+K133+K135+K136+K143+K146+K148+K151+K153+K155+K157-K8-K10</f>
        <v>171.64</v>
      </c>
      <c r="L92" s="213">
        <f t="shared" si="47"/>
        <v>177.10567744999997</v>
      </c>
      <c r="M92" s="213">
        <f t="shared" si="47"/>
        <v>181.64329082</v>
      </c>
      <c r="N92" s="213">
        <f t="shared" si="47"/>
        <v>172.19545952999999</v>
      </c>
      <c r="O92" s="213">
        <f t="shared" si="47"/>
        <v>161.47</v>
      </c>
      <c r="P92" s="213">
        <f t="shared" si="47"/>
        <v>132.49</v>
      </c>
      <c r="Q92" s="213">
        <f t="shared" si="47"/>
        <v>131.46</v>
      </c>
      <c r="R92" s="213">
        <f t="shared" si="47"/>
        <v>136.26</v>
      </c>
      <c r="S92" s="213">
        <f t="shared" si="47"/>
        <v>132.22999999999999</v>
      </c>
      <c r="T92" s="213">
        <f t="shared" si="47"/>
        <v>133.78</v>
      </c>
      <c r="U92" s="213">
        <f t="shared" si="47"/>
        <v>144.84</v>
      </c>
      <c r="V92" s="213">
        <f t="shared" si="47"/>
        <v>159.91</v>
      </c>
      <c r="W92" s="213">
        <f t="shared" si="47"/>
        <v>128.70240770999999</v>
      </c>
      <c r="X92" s="213">
        <f t="shared" si="47"/>
        <v>142.04300000000001</v>
      </c>
      <c r="Y92" s="213">
        <f t="shared" si="47"/>
        <v>150.13</v>
      </c>
      <c r="Z92" s="213">
        <f t="shared" si="47"/>
        <v>109.42743945000001</v>
      </c>
      <c r="AA92" s="213">
        <f t="shared" si="47"/>
        <v>125.11000000000001</v>
      </c>
      <c r="AB92" s="213">
        <f t="shared" si="47"/>
        <v>106.82999999999998</v>
      </c>
      <c r="AC92" s="213">
        <f t="shared" si="47"/>
        <v>105.82999999999998</v>
      </c>
      <c r="AD92" s="213">
        <f t="shared" si="47"/>
        <v>109.82</v>
      </c>
      <c r="AE92" s="213">
        <f t="shared" si="47"/>
        <v>45.269999999999982</v>
      </c>
      <c r="AF92" s="213">
        <f t="shared" si="47"/>
        <v>112.22999999999999</v>
      </c>
      <c r="AG92" s="213">
        <f t="shared" si="47"/>
        <v>87.949999999999989</v>
      </c>
      <c r="AH92" s="213">
        <f t="shared" si="47"/>
        <v>102.75900000000001</v>
      </c>
      <c r="AI92" s="213">
        <f t="shared" si="47"/>
        <v>111.63999999999999</v>
      </c>
      <c r="AJ92" s="213">
        <f t="shared" si="47"/>
        <v>120.66</v>
      </c>
      <c r="AK92" s="213">
        <f t="shared" si="47"/>
        <v>142.48000000000002</v>
      </c>
      <c r="AL92" s="213">
        <f t="shared" si="47"/>
        <v>108.37</v>
      </c>
      <c r="AM92" s="213">
        <f t="shared" si="47"/>
        <v>117.82</v>
      </c>
      <c r="AN92" s="213">
        <f t="shared" si="47"/>
        <v>95.43</v>
      </c>
      <c r="AO92" s="213">
        <f t="shared" si="47"/>
        <v>105.19</v>
      </c>
      <c r="AP92" s="213">
        <f t="shared" si="47"/>
        <v>117.52000000000001</v>
      </c>
      <c r="AQ92" s="213">
        <f t="shared" si="47"/>
        <v>113.56</v>
      </c>
      <c r="AR92" s="213">
        <f t="shared" si="47"/>
        <v>116.00999999999999</v>
      </c>
      <c r="AS92" s="213">
        <f t="shared" si="47"/>
        <v>107.91999999999999</v>
      </c>
      <c r="AT92" s="213">
        <f t="shared" si="47"/>
        <v>102.86000000000001</v>
      </c>
      <c r="AU92" s="213">
        <f t="shared" si="47"/>
        <v>93.5</v>
      </c>
      <c r="AV92" s="213">
        <f t="shared" si="47"/>
        <v>92.789999999999992</v>
      </c>
      <c r="AW92" s="698" t="s">
        <v>258</v>
      </c>
      <c r="AX92" s="579" t="s">
        <v>3</v>
      </c>
      <c r="AY92" s="19"/>
      <c r="AZ92" s="19"/>
      <c r="BA92" s="19"/>
      <c r="BB92" s="19"/>
    </row>
    <row r="93" spans="1:54" ht="15" outlineLevel="1" thickBot="1">
      <c r="A93" s="227"/>
      <c r="B93" s="228" t="s">
        <v>259</v>
      </c>
      <c r="C93" s="227"/>
      <c r="D93" s="229" t="s">
        <v>260</v>
      </c>
      <c r="E93" s="45"/>
      <c r="F93" s="45"/>
      <c r="G93" s="45"/>
      <c r="H93" s="45"/>
      <c r="I93" s="45"/>
      <c r="J93" s="45"/>
      <c r="K93" s="45"/>
      <c r="L93" s="45"/>
      <c r="M93" s="226">
        <f t="shared" ref="M93:AV93" si="48">M115+M116+M117+M166+M144+M143</f>
        <v>160.64329082</v>
      </c>
      <c r="N93" s="226">
        <f t="shared" si="48"/>
        <v>152.08545953000001</v>
      </c>
      <c r="O93" s="226">
        <f t="shared" si="48"/>
        <v>147.27000000000001</v>
      </c>
      <c r="P93" s="226">
        <f t="shared" si="48"/>
        <v>120.19</v>
      </c>
      <c r="Q93" s="226">
        <f t="shared" si="48"/>
        <v>121.35999999999999</v>
      </c>
      <c r="R93" s="226">
        <f t="shared" si="48"/>
        <v>125.03999999999999</v>
      </c>
      <c r="S93" s="226">
        <f t="shared" si="48"/>
        <v>142.72999999999999</v>
      </c>
      <c r="T93" s="226">
        <f t="shared" si="48"/>
        <v>149.02000000000001</v>
      </c>
      <c r="U93" s="226">
        <f t="shared" si="48"/>
        <v>147.04</v>
      </c>
      <c r="V93" s="226">
        <f t="shared" si="48"/>
        <v>149.34</v>
      </c>
      <c r="W93" s="226">
        <f t="shared" si="48"/>
        <v>148.90240770999998</v>
      </c>
      <c r="X93" s="226">
        <f t="shared" si="48"/>
        <v>148.19</v>
      </c>
      <c r="Y93" s="226">
        <f t="shared" si="48"/>
        <v>142.56</v>
      </c>
      <c r="Z93" s="226">
        <f t="shared" si="48"/>
        <v>137.14743945000001</v>
      </c>
      <c r="AA93" s="226">
        <f t="shared" si="48"/>
        <v>152.07</v>
      </c>
      <c r="AB93" s="226">
        <f t="shared" si="48"/>
        <v>134.78</v>
      </c>
      <c r="AC93" s="226">
        <f t="shared" si="48"/>
        <v>137.32999999999998</v>
      </c>
      <c r="AD93" s="226">
        <f t="shared" si="48"/>
        <v>137.26999999999998</v>
      </c>
      <c r="AE93" s="226">
        <f t="shared" si="48"/>
        <v>138.87</v>
      </c>
      <c r="AF93" s="226">
        <f t="shared" si="48"/>
        <v>134.82999999999998</v>
      </c>
      <c r="AG93" s="226">
        <f t="shared" si="48"/>
        <v>138.44999999999999</v>
      </c>
      <c r="AH93" s="226">
        <f>AH115+AH116+AH117+AH166+AH144+AH143</f>
        <v>141.98400000000001</v>
      </c>
      <c r="AI93" s="226">
        <f t="shared" si="48"/>
        <v>136.88999999999999</v>
      </c>
      <c r="AJ93" s="226">
        <f t="shared" si="48"/>
        <v>141.03</v>
      </c>
      <c r="AK93" s="226">
        <f t="shared" si="48"/>
        <v>144.995</v>
      </c>
      <c r="AL93" s="226">
        <f t="shared" si="48"/>
        <v>136.89000000000001</v>
      </c>
      <c r="AM93" s="226">
        <f t="shared" si="48"/>
        <v>144.26499999999999</v>
      </c>
      <c r="AN93" s="226">
        <f>AN115+AN116+AN117+AN166+AN144+AN143</f>
        <v>136.43</v>
      </c>
      <c r="AO93" s="226">
        <f t="shared" si="48"/>
        <v>142.01499999999999</v>
      </c>
      <c r="AP93" s="226">
        <f t="shared" si="48"/>
        <v>138.42000000000002</v>
      </c>
      <c r="AQ93" s="226">
        <f t="shared" si="48"/>
        <v>143.56</v>
      </c>
      <c r="AR93" s="226">
        <f t="shared" si="48"/>
        <v>145.01</v>
      </c>
      <c r="AS93" s="226">
        <f t="shared" si="48"/>
        <v>140.91999999999999</v>
      </c>
      <c r="AT93" s="226">
        <f t="shared" si="48"/>
        <v>142.86000000000001</v>
      </c>
      <c r="AU93" s="226">
        <f t="shared" si="48"/>
        <v>138.5</v>
      </c>
      <c r="AV93" s="226">
        <f t="shared" si="48"/>
        <v>140.79</v>
      </c>
      <c r="AW93" s="740"/>
      <c r="AX93" s="19"/>
      <c r="AY93" s="19"/>
      <c r="AZ93" s="19"/>
      <c r="BA93" s="19"/>
      <c r="BB93" s="19"/>
    </row>
    <row r="94" spans="1:54" ht="15" thickBot="1">
      <c r="A94" s="741"/>
      <c r="B94" s="418" t="s">
        <v>261</v>
      </c>
      <c r="C94" s="418" t="s">
        <v>36</v>
      </c>
      <c r="D94" s="282" t="s">
        <v>36</v>
      </c>
      <c r="E94" s="417"/>
      <c r="F94" s="417"/>
      <c r="G94" s="417"/>
      <c r="H94" s="417"/>
      <c r="I94" s="417"/>
      <c r="J94" s="417"/>
      <c r="K94" s="417"/>
      <c r="L94" s="417"/>
      <c r="M94" s="417"/>
      <c r="N94" s="417"/>
      <c r="O94" s="417"/>
      <c r="P94" s="417"/>
      <c r="Q94" s="417"/>
      <c r="R94" s="417"/>
      <c r="S94" s="417"/>
      <c r="T94" s="417"/>
      <c r="U94" s="417"/>
      <c r="V94" s="417"/>
      <c r="W94" s="417"/>
      <c r="X94" s="45"/>
      <c r="Y94" s="45"/>
      <c r="Z94" s="45"/>
      <c r="AA94" s="45"/>
      <c r="AB94" s="490">
        <v>12.1</v>
      </c>
      <c r="AC94" s="301">
        <f>16+1</f>
        <v>17</v>
      </c>
      <c r="AD94" s="501">
        <v>18</v>
      </c>
      <c r="AF94" s="742"/>
      <c r="AG94" s="45"/>
      <c r="AH94" s="743"/>
      <c r="AI94" s="744"/>
      <c r="AJ94" s="744"/>
      <c r="AK94" s="745">
        <f>5+8.18</f>
        <v>13.18</v>
      </c>
      <c r="AL94" s="746"/>
      <c r="AM94" s="744"/>
      <c r="AN94" s="747">
        <v>10</v>
      </c>
      <c r="AO94" s="191"/>
      <c r="AP94" s="191"/>
      <c r="AQ94" s="191"/>
      <c r="AR94" s="191"/>
      <c r="AS94" s="191"/>
      <c r="AT94" s="191"/>
      <c r="AU94" s="191"/>
      <c r="AV94" s="191"/>
      <c r="AW94" s="353"/>
      <c r="AX94" s="579" t="s">
        <v>3</v>
      </c>
      <c r="AY94" s="358">
        <f>SUM(Y94:AJ94)</f>
        <v>47.1</v>
      </c>
      <c r="BA94" s="732">
        <f t="shared" ref="BA94:BA96" si="49">SUM(AK94:AV94)</f>
        <v>23.18</v>
      </c>
    </row>
    <row r="95" spans="1:54">
      <c r="A95" s="741"/>
      <c r="B95" s="418" t="s">
        <v>262</v>
      </c>
      <c r="C95" s="418" t="s">
        <v>36</v>
      </c>
      <c r="D95" s="282" t="s">
        <v>36</v>
      </c>
      <c r="E95" s="417"/>
      <c r="F95" s="417"/>
      <c r="G95" s="417"/>
      <c r="H95" s="417"/>
      <c r="I95" s="417"/>
      <c r="J95" s="417"/>
      <c r="K95" s="417"/>
      <c r="L95" s="417"/>
      <c r="M95" s="417"/>
      <c r="N95" s="417"/>
      <c r="O95" s="417"/>
      <c r="P95" s="417"/>
      <c r="Q95" s="417"/>
      <c r="R95" s="417"/>
      <c r="S95" s="417"/>
      <c r="T95" s="417"/>
      <c r="U95" s="417"/>
      <c r="V95" s="417"/>
      <c r="W95" s="417"/>
      <c r="X95" s="45"/>
      <c r="Y95" s="45"/>
      <c r="Z95" s="45"/>
      <c r="AA95" s="45"/>
      <c r="AB95" s="490"/>
      <c r="AC95" s="301"/>
      <c r="AD95" s="501"/>
      <c r="AF95" s="742"/>
      <c r="AG95" s="45"/>
      <c r="AH95" s="743"/>
      <c r="AI95" s="191"/>
      <c r="AJ95" s="191"/>
      <c r="AK95" s="191"/>
      <c r="AL95" s="191"/>
      <c r="AM95" s="191"/>
      <c r="AN95" s="191"/>
      <c r="AO95" s="748">
        <v>13.481</v>
      </c>
      <c r="AP95" s="748">
        <v>13.045999999999999</v>
      </c>
      <c r="AQ95" s="748">
        <v>13.481</v>
      </c>
      <c r="AR95" s="748">
        <f>13.481-AR107</f>
        <v>8.4809999999999999</v>
      </c>
      <c r="AS95" s="748">
        <v>13.045999999999999</v>
      </c>
      <c r="AT95" s="748">
        <v>10.8</v>
      </c>
      <c r="AU95" s="748">
        <v>10.8</v>
      </c>
      <c r="AV95" s="748">
        <v>10.8</v>
      </c>
      <c r="AW95" s="353"/>
      <c r="AX95" s="579" t="s">
        <v>3</v>
      </c>
      <c r="AY95" s="358"/>
      <c r="BA95" s="732">
        <f t="shared" si="49"/>
        <v>93.935000000000002</v>
      </c>
    </row>
    <row r="96" spans="1:54">
      <c r="A96" s="741"/>
      <c r="B96" s="418" t="s">
        <v>262</v>
      </c>
      <c r="C96" s="418" t="s">
        <v>33</v>
      </c>
      <c r="D96" s="282" t="s">
        <v>33</v>
      </c>
      <c r="E96" s="417"/>
      <c r="F96" s="417"/>
      <c r="G96" s="417"/>
      <c r="H96" s="417"/>
      <c r="I96" s="417"/>
      <c r="J96" s="417"/>
      <c r="K96" s="417"/>
      <c r="L96" s="417"/>
      <c r="M96" s="417"/>
      <c r="N96" s="417"/>
      <c r="O96" s="417"/>
      <c r="P96" s="417"/>
      <c r="Q96" s="417"/>
      <c r="R96" s="417"/>
      <c r="S96" s="417"/>
      <c r="T96" s="417"/>
      <c r="U96" s="417"/>
      <c r="V96" s="417"/>
      <c r="W96" s="417"/>
      <c r="X96" s="45"/>
      <c r="Y96" s="45"/>
      <c r="Z96" s="45"/>
      <c r="AA96" s="45"/>
      <c r="AB96" s="490"/>
      <c r="AC96" s="301"/>
      <c r="AD96" s="501"/>
      <c r="AF96" s="742"/>
      <c r="AG96" s="45"/>
      <c r="AH96" s="743"/>
      <c r="AI96" s="191"/>
      <c r="AJ96" s="191"/>
      <c r="AK96" s="191"/>
      <c r="AL96" s="191"/>
      <c r="AM96" s="191"/>
      <c r="AN96" s="191"/>
      <c r="AO96" s="748"/>
      <c r="AP96" s="748">
        <v>34.861799729561781</v>
      </c>
      <c r="AQ96" s="748">
        <v>47.748060573613706</v>
      </c>
      <c r="AR96" s="748">
        <v>47.748059323430049</v>
      </c>
      <c r="AS96" s="748">
        <v>19.89204045832156</v>
      </c>
      <c r="AT96" s="748">
        <v>43.545179998576657</v>
      </c>
      <c r="AU96" s="748">
        <v>42.982199800729759</v>
      </c>
      <c r="AV96" s="748">
        <v>17.454420186460034</v>
      </c>
      <c r="AW96" s="353"/>
      <c r="AX96" s="579" t="s">
        <v>3</v>
      </c>
      <c r="AY96" s="358"/>
      <c r="BA96" s="732">
        <f t="shared" si="49"/>
        <v>254.23176007069355</v>
      </c>
    </row>
    <row r="97" spans="1:56" outlineLevel="1">
      <c r="A97" s="24"/>
      <c r="B97" s="749" t="s">
        <v>92</v>
      </c>
      <c r="C97" s="749" t="s">
        <v>263</v>
      </c>
      <c r="D97" s="750" t="s">
        <v>92</v>
      </c>
      <c r="E97" s="45"/>
      <c r="F97" s="45"/>
      <c r="G97" s="45"/>
      <c r="H97" s="45"/>
      <c r="I97" s="45"/>
      <c r="J97" s="45"/>
      <c r="K97" s="45"/>
      <c r="L97" s="45"/>
      <c r="M97" s="45"/>
      <c r="N97" s="45"/>
      <c r="O97" s="45"/>
      <c r="P97" s="45"/>
      <c r="Q97" s="45"/>
      <c r="R97" s="45"/>
      <c r="S97" s="45"/>
      <c r="T97" s="45"/>
      <c r="U97" s="45"/>
      <c r="V97" s="45"/>
      <c r="W97" s="45"/>
      <c r="X97" s="45"/>
      <c r="Y97" s="623">
        <f>Y107+Y108+Y94</f>
        <v>0</v>
      </c>
      <c r="Z97" s="623">
        <f>Z107+Z108+Z94</f>
        <v>9</v>
      </c>
      <c r="AA97" s="623">
        <f>AA107+AA108+AA94</f>
        <v>10.8</v>
      </c>
      <c r="AB97" s="623">
        <f>AB107+AB108+AB94</f>
        <v>22.7</v>
      </c>
      <c r="AC97" s="623">
        <f>AC107+AC108+AC94</f>
        <v>27.5</v>
      </c>
      <c r="AD97" s="751">
        <v>27</v>
      </c>
      <c r="AE97" s="751"/>
      <c r="AF97" s="751">
        <f t="shared" ref="AF97:AN97" si="50">AF107+AF108+AF94</f>
        <v>8.927999999999999</v>
      </c>
      <c r="AG97" s="751">
        <f t="shared" si="50"/>
        <v>11.821999999999999</v>
      </c>
      <c r="AH97" s="751">
        <f t="shared" si="50"/>
        <v>14</v>
      </c>
      <c r="AI97" s="751">
        <f t="shared" si="50"/>
        <v>10.8</v>
      </c>
      <c r="AJ97" s="751">
        <f t="shared" si="50"/>
        <v>10.8</v>
      </c>
      <c r="AK97" s="751">
        <f t="shared" si="50"/>
        <v>21.661000000000001</v>
      </c>
      <c r="AL97" s="751">
        <f t="shared" si="50"/>
        <v>3.9969999999999999</v>
      </c>
      <c r="AM97" s="751">
        <f t="shared" si="50"/>
        <v>13.481</v>
      </c>
      <c r="AN97" s="751">
        <f t="shared" si="50"/>
        <v>13.045999999999999</v>
      </c>
      <c r="AO97" s="751">
        <f>AO107+AO108+AO95</f>
        <v>13.481</v>
      </c>
      <c r="AP97" s="751">
        <f t="shared" ref="AP97:AU97" si="51">AP107+AP108+AP95</f>
        <v>13.045999999999999</v>
      </c>
      <c r="AQ97" s="751">
        <f t="shared" si="51"/>
        <v>13.481</v>
      </c>
      <c r="AR97" s="751">
        <f t="shared" si="51"/>
        <v>13.481</v>
      </c>
      <c r="AS97" s="751">
        <f t="shared" si="51"/>
        <v>13.045999999999999</v>
      </c>
      <c r="AT97" s="751">
        <f t="shared" si="51"/>
        <v>10.8</v>
      </c>
      <c r="AU97" s="751">
        <f t="shared" si="51"/>
        <v>10.8</v>
      </c>
      <c r="AV97" s="751">
        <f>AV107+AV108+AV95</f>
        <v>10.8</v>
      </c>
      <c r="AW97" s="752"/>
      <c r="AX97" s="579" t="s">
        <v>3</v>
      </c>
      <c r="AY97" s="19"/>
      <c r="AZ97" s="19"/>
      <c r="BA97" s="19"/>
      <c r="BB97" s="19"/>
    </row>
    <row r="98" spans="1:56" outlineLevel="1">
      <c r="A98" s="24"/>
      <c r="B98" s="617"/>
      <c r="C98" s="617" t="s">
        <v>264</v>
      </c>
      <c r="D98" s="636"/>
      <c r="E98" s="45"/>
      <c r="F98" s="45"/>
      <c r="G98" s="45"/>
      <c r="H98" s="45"/>
      <c r="I98" s="45"/>
      <c r="J98" s="45"/>
      <c r="K98" s="45"/>
      <c r="L98" s="45"/>
      <c r="M98" s="45"/>
      <c r="N98" s="45"/>
      <c r="O98" s="45"/>
      <c r="P98" s="45"/>
      <c r="Q98" s="45"/>
      <c r="R98" s="45"/>
      <c r="S98" s="45"/>
      <c r="T98" s="45"/>
      <c r="U98" s="45"/>
      <c r="V98" s="45"/>
      <c r="W98" s="45"/>
      <c r="X98" s="45"/>
      <c r="Y98" s="623"/>
      <c r="Z98" s="623"/>
      <c r="AA98" s="623"/>
      <c r="AB98" s="623"/>
      <c r="AC98" s="623"/>
      <c r="AD98" s="623"/>
      <c r="AE98" s="623"/>
      <c r="AF98" s="623"/>
      <c r="AG98" s="623"/>
      <c r="AH98" s="623"/>
      <c r="AI98" s="623"/>
      <c r="AJ98" s="623"/>
      <c r="AK98" s="191">
        <f>845*AK1/1000</f>
        <v>26.195</v>
      </c>
      <c r="AL98" s="191">
        <f t="shared" ref="AL98:AV98" si="52">845*AL1/1000</f>
        <v>23.66</v>
      </c>
      <c r="AM98" s="191">
        <f t="shared" si="52"/>
        <v>26.195</v>
      </c>
      <c r="AN98" s="191">
        <f t="shared" si="52"/>
        <v>25.35</v>
      </c>
      <c r="AO98" s="191">
        <f t="shared" si="52"/>
        <v>26.195</v>
      </c>
      <c r="AP98" s="191">
        <f t="shared" si="52"/>
        <v>25.35</v>
      </c>
      <c r="AQ98" s="191">
        <f t="shared" si="52"/>
        <v>26.195</v>
      </c>
      <c r="AR98" s="191">
        <f t="shared" si="52"/>
        <v>26.195</v>
      </c>
      <c r="AS98" s="191">
        <f t="shared" si="52"/>
        <v>25.35</v>
      </c>
      <c r="AT98" s="191">
        <f t="shared" si="52"/>
        <v>26.195</v>
      </c>
      <c r="AU98" s="191">
        <f t="shared" si="52"/>
        <v>26.195</v>
      </c>
      <c r="AV98" s="191">
        <f t="shared" si="52"/>
        <v>26.195</v>
      </c>
      <c r="AW98" s="353"/>
      <c r="AX98" s="580" t="s">
        <v>158</v>
      </c>
      <c r="AY98" s="19"/>
      <c r="AZ98" s="19"/>
      <c r="BA98" s="19"/>
      <c r="BB98" s="19"/>
    </row>
    <row r="99" spans="1:56" outlineLevel="1">
      <c r="A99" s="24"/>
      <c r="B99" s="617"/>
      <c r="C99" s="617"/>
      <c r="D99" s="636"/>
      <c r="E99" s="45"/>
      <c r="F99" s="45"/>
      <c r="G99" s="45"/>
      <c r="H99" s="45"/>
      <c r="I99" s="45"/>
      <c r="J99" s="45"/>
      <c r="K99" s="45"/>
      <c r="L99" s="45"/>
      <c r="M99" s="45"/>
      <c r="N99" s="45"/>
      <c r="O99" s="45"/>
      <c r="P99" s="45"/>
      <c r="Q99" s="45"/>
      <c r="R99" s="45"/>
      <c r="S99" s="45"/>
      <c r="T99" s="45"/>
      <c r="U99" s="45"/>
      <c r="V99" s="45"/>
      <c r="W99" s="45"/>
      <c r="X99" s="45"/>
      <c r="Y99" s="623"/>
      <c r="Z99" s="623"/>
      <c r="AA99" s="623"/>
      <c r="AB99" s="623"/>
      <c r="AC99" s="623"/>
      <c r="AD99" s="623"/>
      <c r="AE99" s="623"/>
      <c r="AF99" s="623"/>
      <c r="AG99" s="623"/>
      <c r="AH99" s="623"/>
      <c r="AI99" s="623"/>
      <c r="AJ99" s="623"/>
      <c r="AK99" s="753">
        <f>AK111-AK98</f>
        <v>-7.5100684931506869</v>
      </c>
      <c r="AL99" s="753">
        <f t="shared" ref="AL99:AV99" si="53">AL111-AL98</f>
        <v>-6.7832876712328769</v>
      </c>
      <c r="AM99" s="753">
        <f t="shared" si="53"/>
        <v>-7.5100684931506869</v>
      </c>
      <c r="AN99" s="753">
        <f t="shared" si="53"/>
        <v>-7.2678082191780859</v>
      </c>
      <c r="AO99" s="754">
        <f t="shared" si="53"/>
        <v>-7.5100684931506869</v>
      </c>
      <c r="AP99" s="754">
        <f t="shared" si="53"/>
        <v>-7.2678082191780859</v>
      </c>
      <c r="AQ99" s="754">
        <f t="shared" si="53"/>
        <v>-7.5100684931506869</v>
      </c>
      <c r="AR99" s="754">
        <f t="shared" si="53"/>
        <v>5.6419999999999995</v>
      </c>
      <c r="AS99" s="754">
        <f t="shared" si="53"/>
        <v>-7.2678082191780859</v>
      </c>
      <c r="AT99" s="754">
        <f t="shared" si="53"/>
        <v>-7.5100684931506869</v>
      </c>
      <c r="AU99" s="754">
        <f t="shared" si="53"/>
        <v>-7.5100684931506869</v>
      </c>
      <c r="AV99" s="754">
        <f t="shared" si="53"/>
        <v>-7.5100684931506869</v>
      </c>
      <c r="AW99" s="755"/>
      <c r="AX99" s="580" t="s">
        <v>158</v>
      </c>
      <c r="AY99" s="19"/>
      <c r="AZ99" s="19"/>
      <c r="BA99" s="19"/>
      <c r="BB99" s="19"/>
    </row>
    <row r="100" spans="1:56" outlineLevel="1">
      <c r="A100" s="24"/>
      <c r="B100" s="617"/>
      <c r="C100" s="617" t="s">
        <v>265</v>
      </c>
      <c r="D100" s="636"/>
      <c r="E100" s="45"/>
      <c r="F100" s="45"/>
      <c r="G100" s="45"/>
      <c r="H100" s="45"/>
      <c r="I100" s="45"/>
      <c r="J100" s="45"/>
      <c r="K100" s="45"/>
      <c r="L100" s="45"/>
      <c r="M100" s="45"/>
      <c r="N100" s="45"/>
      <c r="O100" s="45"/>
      <c r="P100" s="45"/>
      <c r="Q100" s="45"/>
      <c r="R100" s="45"/>
      <c r="S100" s="45"/>
      <c r="T100" s="45"/>
      <c r="U100" s="45"/>
      <c r="V100" s="45"/>
      <c r="W100" s="45"/>
      <c r="X100" s="45"/>
      <c r="Y100" s="623"/>
      <c r="Z100" s="623"/>
      <c r="AA100" s="623"/>
      <c r="AB100" s="623"/>
      <c r="AC100" s="623"/>
      <c r="AD100" s="623"/>
      <c r="AE100" s="623"/>
      <c r="AF100" s="623"/>
      <c r="AG100" s="623"/>
      <c r="AH100" s="623"/>
      <c r="AI100" s="623"/>
      <c r="AJ100" s="623"/>
      <c r="AK100" s="753"/>
      <c r="AL100" s="753"/>
      <c r="AM100" s="753"/>
      <c r="AN100" s="753"/>
      <c r="AO100" s="754"/>
      <c r="AP100" s="754"/>
      <c r="AQ100" s="754"/>
      <c r="AR100" s="754"/>
      <c r="AS100" s="754"/>
      <c r="AT100" s="754"/>
      <c r="AU100" s="754"/>
      <c r="AV100" s="754"/>
      <c r="AW100" s="755"/>
      <c r="AX100" s="580" t="s">
        <v>158</v>
      </c>
      <c r="AY100" s="19"/>
      <c r="AZ100" s="19"/>
      <c r="BA100" s="19"/>
      <c r="BB100" s="19"/>
    </row>
    <row r="101" spans="1:56" outlineLevel="1">
      <c r="A101" s="24"/>
      <c r="B101" s="617"/>
      <c r="C101" s="617" t="s">
        <v>266</v>
      </c>
      <c r="D101" s="636"/>
      <c r="E101" s="45"/>
      <c r="F101" s="45"/>
      <c r="G101" s="45"/>
      <c r="H101" s="45"/>
      <c r="I101" s="45"/>
      <c r="J101" s="45"/>
      <c r="K101" s="45"/>
      <c r="L101" s="45"/>
      <c r="M101" s="45"/>
      <c r="N101" s="45"/>
      <c r="O101" s="45"/>
      <c r="P101" s="45"/>
      <c r="Q101" s="45"/>
      <c r="R101" s="45"/>
      <c r="S101" s="45"/>
      <c r="T101" s="45"/>
      <c r="U101" s="45"/>
      <c r="V101" s="45"/>
      <c r="W101" s="45"/>
      <c r="X101" s="45"/>
      <c r="Y101" s="623"/>
      <c r="Z101" s="623"/>
      <c r="AA101" s="623"/>
      <c r="AB101" s="623"/>
      <c r="AC101" s="623"/>
      <c r="AD101" s="623"/>
      <c r="AE101" s="623"/>
      <c r="AF101" s="623"/>
      <c r="AG101" s="623"/>
      <c r="AH101" s="623"/>
      <c r="AI101" s="623"/>
      <c r="AJ101" s="623"/>
      <c r="AK101" s="754"/>
      <c r="AL101" s="754"/>
      <c r="AM101" s="754"/>
      <c r="AN101" s="754"/>
      <c r="AO101" s="489"/>
      <c r="AP101" s="489"/>
      <c r="AQ101" s="489"/>
      <c r="AR101" s="489"/>
      <c r="AS101" s="489"/>
      <c r="AT101" s="489"/>
      <c r="AU101" s="489"/>
      <c r="AV101" s="489"/>
      <c r="AW101" s="353"/>
      <c r="AX101" s="580" t="s">
        <v>158</v>
      </c>
      <c r="AY101" s="19"/>
      <c r="AZ101" s="19"/>
      <c r="BA101" s="19"/>
      <c r="BB101" s="19"/>
    </row>
    <row r="102" spans="1:56" outlineLevel="1">
      <c r="A102" s="24"/>
      <c r="B102" s="617"/>
      <c r="C102" s="617"/>
      <c r="D102" s="636"/>
      <c r="E102" s="45"/>
      <c r="F102" s="45"/>
      <c r="G102" s="45"/>
      <c r="H102" s="45"/>
      <c r="I102" s="45"/>
      <c r="J102" s="45"/>
      <c r="K102" s="45"/>
      <c r="L102" s="45"/>
      <c r="M102" s="45"/>
      <c r="N102" s="45"/>
      <c r="O102" s="45"/>
      <c r="P102" s="45"/>
      <c r="Q102" s="45"/>
      <c r="R102" s="45"/>
      <c r="S102" s="45"/>
      <c r="T102" s="45"/>
      <c r="U102" s="45"/>
      <c r="V102" s="45"/>
      <c r="W102" s="45"/>
      <c r="X102" s="45"/>
      <c r="Y102" s="623"/>
      <c r="Z102" s="623"/>
      <c r="AA102" s="623"/>
      <c r="AB102" s="623"/>
      <c r="AC102" s="623"/>
      <c r="AD102" s="623"/>
      <c r="AE102" s="623"/>
      <c r="AF102" s="623"/>
      <c r="AG102" s="623"/>
      <c r="AH102" s="623"/>
      <c r="AI102" s="623"/>
      <c r="AJ102" s="623"/>
      <c r="AK102" s="754"/>
      <c r="AL102" s="754"/>
      <c r="AM102" s="754"/>
      <c r="AN102" s="754"/>
      <c r="AO102" s="754"/>
      <c r="AP102" s="754"/>
      <c r="AQ102" s="754"/>
      <c r="AR102" s="754"/>
      <c r="AS102" s="754"/>
      <c r="AT102" s="754"/>
      <c r="AU102" s="754"/>
      <c r="AV102" s="754"/>
      <c r="AW102" s="755"/>
      <c r="AX102" s="19"/>
      <c r="AY102" s="19"/>
      <c r="AZ102" s="19"/>
      <c r="BA102" s="19"/>
      <c r="BB102" s="19"/>
    </row>
    <row r="103" spans="1:56" s="19" customFormat="1" ht="23.25" thickBot="1">
      <c r="A103" s="25" t="s">
        <v>101</v>
      </c>
      <c r="B103" s="617" t="s">
        <v>92</v>
      </c>
      <c r="C103" s="636" t="s">
        <v>267</v>
      </c>
      <c r="D103" s="636" t="s">
        <v>92</v>
      </c>
      <c r="E103" s="39">
        <v>97.96</v>
      </c>
      <c r="F103" s="39">
        <f>79+2</f>
        <v>81</v>
      </c>
      <c r="G103" s="39">
        <v>71</v>
      </c>
      <c r="H103" s="39">
        <f>67.5-0.5</f>
        <v>67</v>
      </c>
      <c r="I103" s="191">
        <f>61.5+0.5</f>
        <v>62</v>
      </c>
      <c r="J103" s="39">
        <v>63</v>
      </c>
      <c r="K103" s="39">
        <f>57+4+2+2</f>
        <v>65</v>
      </c>
      <c r="L103" s="78">
        <f>(59.5+5.5+1.5+2)-3</f>
        <v>65.5</v>
      </c>
      <c r="M103" s="39">
        <v>47</v>
      </c>
      <c r="N103" s="39">
        <v>22</v>
      </c>
      <c r="O103" s="78">
        <v>39</v>
      </c>
      <c r="P103" s="78">
        <f t="shared" ref="P103:AD103" si="54">P105+P106</f>
        <v>44.5</v>
      </c>
      <c r="Q103" s="78">
        <f t="shared" si="54"/>
        <v>43.5</v>
      </c>
      <c r="R103" s="191">
        <f t="shared" si="54"/>
        <v>55.5</v>
      </c>
      <c r="S103" s="191">
        <f t="shared" si="54"/>
        <v>47.93</v>
      </c>
      <c r="T103" s="191">
        <f t="shared" si="54"/>
        <v>56.379999999999995</v>
      </c>
      <c r="U103" s="191">
        <f t="shared" si="54"/>
        <v>42.91</v>
      </c>
      <c r="V103" s="191">
        <f t="shared" si="54"/>
        <v>43</v>
      </c>
      <c r="W103" s="191">
        <f t="shared" si="54"/>
        <v>48.4</v>
      </c>
      <c r="X103" s="191">
        <f t="shared" si="54"/>
        <v>58.5</v>
      </c>
      <c r="Y103" s="191">
        <f t="shared" si="54"/>
        <v>56.42</v>
      </c>
      <c r="Z103" s="191">
        <f t="shared" si="54"/>
        <v>40.159999999999997</v>
      </c>
      <c r="AA103" s="191">
        <f t="shared" si="54"/>
        <v>51.32</v>
      </c>
      <c r="AB103" s="191">
        <f t="shared" si="54"/>
        <v>33.5</v>
      </c>
      <c r="AC103" s="191">
        <f t="shared" si="54"/>
        <v>63</v>
      </c>
      <c r="AD103" s="191">
        <f t="shared" si="54"/>
        <v>59.579000000000008</v>
      </c>
      <c r="AE103" s="191">
        <f>AE105+AE106</f>
        <v>94.679000000000002</v>
      </c>
      <c r="AF103" s="756">
        <f>AF105+AF106</f>
        <v>64.073999999999998</v>
      </c>
      <c r="AG103" s="756">
        <f>AG105+AG106</f>
        <v>64.5</v>
      </c>
      <c r="AH103" s="756">
        <f>AH105+AH106</f>
        <v>41.120000000000005</v>
      </c>
      <c r="AI103" s="756">
        <f t="shared" ref="AI103:AU103" si="55">AI105+AI106</f>
        <v>29.6</v>
      </c>
      <c r="AJ103" s="756">
        <f>AJ105+AJ106</f>
        <v>33</v>
      </c>
      <c r="AK103" s="757">
        <f t="shared" si="55"/>
        <v>49.41424793675543</v>
      </c>
      <c r="AL103" s="757">
        <f t="shared" si="55"/>
        <v>64.536204922087478</v>
      </c>
      <c r="AM103" s="757">
        <f t="shared" si="55"/>
        <v>57.7794119749964</v>
      </c>
      <c r="AN103" s="191">
        <f t="shared" si="55"/>
        <v>76.796231377422913</v>
      </c>
      <c r="AO103" s="191">
        <f t="shared" si="55"/>
        <v>71.152847743341695</v>
      </c>
      <c r="AP103" s="191">
        <f t="shared" si="55"/>
        <v>48.76553555389637</v>
      </c>
      <c r="AQ103" s="191">
        <f t="shared" si="55"/>
        <v>49.505057299118015</v>
      </c>
      <c r="AR103" s="191">
        <f t="shared" si="55"/>
        <v>55.926453995704733</v>
      </c>
      <c r="AS103" s="191">
        <f t="shared" si="55"/>
        <v>44.268745275139821</v>
      </c>
      <c r="AT103" s="191">
        <f t="shared" si="55"/>
        <v>54.56210831463337</v>
      </c>
      <c r="AU103" s="191">
        <f t="shared" si="55"/>
        <v>52.657201307117887</v>
      </c>
      <c r="AV103" s="191">
        <f>AV105+AV106</f>
        <v>44.450519286513313</v>
      </c>
      <c r="AW103" s="353"/>
      <c r="AX103" s="579" t="s">
        <v>3</v>
      </c>
    </row>
    <row r="104" spans="1:56" s="55" customFormat="1" ht="15" thickBot="1">
      <c r="A104" s="61" t="s">
        <v>268</v>
      </c>
      <c r="B104" s="411" t="s">
        <v>269</v>
      </c>
      <c r="C104" s="302" t="s">
        <v>101</v>
      </c>
      <c r="D104" s="303" t="s">
        <v>270</v>
      </c>
      <c r="E104" s="319">
        <f t="shared" ref="E104:AV104" si="56">E3</f>
        <v>43587</v>
      </c>
      <c r="F104" s="319">
        <f t="shared" si="56"/>
        <v>43618</v>
      </c>
      <c r="G104" s="319">
        <f t="shared" si="56"/>
        <v>43648</v>
      </c>
      <c r="H104" s="319">
        <f t="shared" si="56"/>
        <v>43679</v>
      </c>
      <c r="I104" s="319">
        <f t="shared" si="56"/>
        <v>43710</v>
      </c>
      <c r="J104" s="319">
        <f t="shared" si="56"/>
        <v>43740</v>
      </c>
      <c r="K104" s="319">
        <f t="shared" si="56"/>
        <v>43771</v>
      </c>
      <c r="L104" s="319">
        <f t="shared" si="56"/>
        <v>43801</v>
      </c>
      <c r="M104" s="319">
        <f t="shared" si="56"/>
        <v>43832</v>
      </c>
      <c r="N104" s="319">
        <f t="shared" si="56"/>
        <v>43863</v>
      </c>
      <c r="O104" s="319">
        <f t="shared" si="56"/>
        <v>43892</v>
      </c>
      <c r="P104" s="319">
        <f t="shared" si="56"/>
        <v>43923</v>
      </c>
      <c r="Q104" s="319">
        <f t="shared" si="56"/>
        <v>43953</v>
      </c>
      <c r="R104" s="57">
        <f t="shared" si="56"/>
        <v>43984</v>
      </c>
      <c r="S104" s="58">
        <f t="shared" si="56"/>
        <v>44014</v>
      </c>
      <c r="T104" s="58">
        <f t="shared" si="56"/>
        <v>44045</v>
      </c>
      <c r="U104" s="58">
        <f t="shared" si="56"/>
        <v>44076</v>
      </c>
      <c r="V104" s="58">
        <f t="shared" si="56"/>
        <v>44106</v>
      </c>
      <c r="W104" s="58">
        <f t="shared" si="56"/>
        <v>44137</v>
      </c>
      <c r="X104" s="58">
        <f t="shared" si="56"/>
        <v>44167</v>
      </c>
      <c r="Y104" s="59">
        <f t="shared" si="56"/>
        <v>44198</v>
      </c>
      <c r="Z104" s="60">
        <f t="shared" si="56"/>
        <v>44229</v>
      </c>
      <c r="AA104" s="60">
        <f t="shared" si="56"/>
        <v>44257</v>
      </c>
      <c r="AB104" s="60">
        <f t="shared" si="56"/>
        <v>44288</v>
      </c>
      <c r="AC104" s="60">
        <f t="shared" si="56"/>
        <v>44318</v>
      </c>
      <c r="AD104" s="60">
        <f t="shared" si="56"/>
        <v>44349</v>
      </c>
      <c r="AE104" s="60">
        <f t="shared" si="56"/>
        <v>44379</v>
      </c>
      <c r="AF104" s="60">
        <f t="shared" si="56"/>
        <v>44410</v>
      </c>
      <c r="AG104" s="60">
        <f t="shared" si="56"/>
        <v>44441</v>
      </c>
      <c r="AH104" s="60">
        <f t="shared" si="56"/>
        <v>44471</v>
      </c>
      <c r="AI104" s="60">
        <f t="shared" si="56"/>
        <v>44502</v>
      </c>
      <c r="AJ104" s="60">
        <f t="shared" si="56"/>
        <v>44532</v>
      </c>
      <c r="AK104" s="57">
        <f t="shared" si="56"/>
        <v>44563</v>
      </c>
      <c r="AL104" s="58">
        <f t="shared" si="56"/>
        <v>44594</v>
      </c>
      <c r="AM104" s="58">
        <f t="shared" si="56"/>
        <v>44622</v>
      </c>
      <c r="AN104" s="58">
        <f t="shared" si="56"/>
        <v>44653</v>
      </c>
      <c r="AO104" s="58">
        <f t="shared" si="56"/>
        <v>44683</v>
      </c>
      <c r="AP104" s="58">
        <f t="shared" si="56"/>
        <v>44714</v>
      </c>
      <c r="AQ104" s="58">
        <f t="shared" si="56"/>
        <v>44744</v>
      </c>
      <c r="AR104" s="58">
        <f t="shared" si="56"/>
        <v>44775</v>
      </c>
      <c r="AS104" s="58">
        <f t="shared" si="56"/>
        <v>44806</v>
      </c>
      <c r="AT104" s="58">
        <f t="shared" si="56"/>
        <v>44836</v>
      </c>
      <c r="AU104" s="58">
        <f t="shared" si="56"/>
        <v>44867</v>
      </c>
      <c r="AV104" s="758">
        <f t="shared" si="56"/>
        <v>44897</v>
      </c>
      <c r="AW104" s="717"/>
      <c r="AX104" s="579" t="s">
        <v>3</v>
      </c>
      <c r="AY104" s="357" t="s">
        <v>188</v>
      </c>
      <c r="AZ104" s="19"/>
      <c r="BA104" s="357" t="s">
        <v>203</v>
      </c>
      <c r="BB104" s="19"/>
    </row>
    <row r="105" spans="1:56" ht="14.85" customHeight="1">
      <c r="A105" s="259" t="s">
        <v>243</v>
      </c>
      <c r="B105" s="637" t="s">
        <v>92</v>
      </c>
      <c r="C105" s="638" t="s">
        <v>271</v>
      </c>
      <c r="D105" s="639" t="s">
        <v>92</v>
      </c>
      <c r="E105" s="45"/>
      <c r="F105" s="45"/>
      <c r="G105" s="45"/>
      <c r="H105" s="45"/>
      <c r="I105" s="45"/>
      <c r="J105" s="45"/>
      <c r="K105" s="45"/>
      <c r="L105" s="45"/>
      <c r="M105" s="45"/>
      <c r="N105" s="45"/>
      <c r="O105" s="45"/>
      <c r="P105" s="640">
        <v>29</v>
      </c>
      <c r="Q105" s="640">
        <v>26</v>
      </c>
      <c r="R105" s="640">
        <v>26</v>
      </c>
      <c r="S105" s="345">
        <v>20.72</v>
      </c>
      <c r="T105" s="345">
        <v>20.38</v>
      </c>
      <c r="U105" s="345">
        <v>22.41</v>
      </c>
      <c r="V105" s="345">
        <v>27</v>
      </c>
      <c r="W105" s="387">
        <f>23+1.4</f>
        <v>24.4</v>
      </c>
      <c r="X105" s="387">
        <v>29</v>
      </c>
      <c r="Y105" s="428">
        <f>720*Y1/1000</f>
        <v>22.32</v>
      </c>
      <c r="Z105" s="427">
        <f>720*Z1/1000</f>
        <v>20.16</v>
      </c>
      <c r="AA105" s="452">
        <f>(720*AA1/1000)-2.5-1</f>
        <v>18.82</v>
      </c>
      <c r="AB105" s="500">
        <v>12</v>
      </c>
      <c r="AC105" s="507">
        <v>24</v>
      </c>
      <c r="AD105" s="427">
        <v>18.3</v>
      </c>
      <c r="AE105" s="500">
        <v>17</v>
      </c>
      <c r="AF105" s="427">
        <v>22.32</v>
      </c>
      <c r="AG105" s="427">
        <f>21.6-3.4</f>
        <v>18.200000000000003</v>
      </c>
      <c r="AH105" s="427">
        <f>22.32-5.208+0.008</f>
        <v>17.12</v>
      </c>
      <c r="AI105" s="427">
        <f>21.6-3.6-7.2</f>
        <v>10.8</v>
      </c>
      <c r="AJ105" s="427">
        <f>22.32-9.32</f>
        <v>13</v>
      </c>
      <c r="AK105" s="759">
        <v>22.32</v>
      </c>
      <c r="AL105" s="760">
        <v>20.16</v>
      </c>
      <c r="AM105" s="760">
        <v>22.32</v>
      </c>
      <c r="AN105" s="760">
        <v>21.6</v>
      </c>
      <c r="AO105" s="761">
        <f>22.2084001837763+(AO101*BD105)</f>
        <v>22.208400183776298</v>
      </c>
      <c r="AP105" s="761">
        <f>21.4950006120443+(AP101*BD105)</f>
        <v>21.495000612044301</v>
      </c>
      <c r="AQ105" s="761">
        <f>22.2084008824825+(AQ101*BD105)</f>
        <v>22.208400882482501</v>
      </c>
      <c r="AR105" s="762">
        <v>29</v>
      </c>
      <c r="AS105" s="761">
        <f>21.4920008540154+(AS101*BD105)</f>
        <v>21.492000854015402</v>
      </c>
      <c r="AT105" s="761">
        <f>22.2084008824825+(AT101*BD105)</f>
        <v>22.208400882482501</v>
      </c>
      <c r="AU105" s="761">
        <v>21.493800128102269</v>
      </c>
      <c r="AV105" s="763">
        <v>22.208687557995255</v>
      </c>
      <c r="AW105" s="764" t="s">
        <v>272</v>
      </c>
      <c r="AX105" s="579" t="s">
        <v>3</v>
      </c>
      <c r="AY105" s="358">
        <f>SUM(Y105:AJ105)</f>
        <v>214.04000000000002</v>
      </c>
      <c r="AZ105" s="19">
        <v>173</v>
      </c>
      <c r="BA105" s="732">
        <f>SUM(AK105:AV105)</f>
        <v>268.71469110089851</v>
      </c>
      <c r="BB105" s="732">
        <f>AZ105+AI105+AJ105</f>
        <v>196.8</v>
      </c>
      <c r="BC105" s="765">
        <v>260000</v>
      </c>
      <c r="BD105" s="766">
        <f>BC105/(BC112)</f>
        <v>0.25742574257425743</v>
      </c>
    </row>
    <row r="106" spans="1:56" s="19" customFormat="1">
      <c r="A106" s="24"/>
      <c r="B106" s="637" t="s">
        <v>92</v>
      </c>
      <c r="C106" s="617" t="s">
        <v>273</v>
      </c>
      <c r="D106" s="639" t="s">
        <v>92</v>
      </c>
      <c r="E106" s="71"/>
      <c r="F106" s="71"/>
      <c r="G106" s="71"/>
      <c r="H106" s="71"/>
      <c r="I106" s="71"/>
      <c r="J106" s="71"/>
      <c r="K106" s="71"/>
      <c r="L106" s="71"/>
      <c r="M106" s="71"/>
      <c r="N106" s="71"/>
      <c r="O106" s="71"/>
      <c r="P106" s="288">
        <v>15.5</v>
      </c>
      <c r="Q106" s="298">
        <v>17.5</v>
      </c>
      <c r="R106" s="301">
        <v>29.5</v>
      </c>
      <c r="S106" s="301">
        <f>31.21-4</f>
        <v>27.21</v>
      </c>
      <c r="T106" s="288">
        <f>31.25+7.5-2.75</f>
        <v>36</v>
      </c>
      <c r="U106" s="301">
        <v>20.5</v>
      </c>
      <c r="V106" s="288">
        <v>16</v>
      </c>
      <c r="W106" s="301">
        <v>24</v>
      </c>
      <c r="X106" s="391">
        <v>29.5</v>
      </c>
      <c r="Y106" s="361">
        <f>34.1</f>
        <v>34.1</v>
      </c>
      <c r="Z106" s="191">
        <f>25-5</f>
        <v>20</v>
      </c>
      <c r="AA106" s="78">
        <f>31.5+1</f>
        <v>32.5</v>
      </c>
      <c r="AB106" s="506">
        <v>21.5</v>
      </c>
      <c r="AC106" s="508">
        <v>39</v>
      </c>
      <c r="AD106" s="300">
        <f>35.032+3+3.24700000000001</f>
        <v>41.279000000000003</v>
      </c>
      <c r="AE106" s="506">
        <f>78.668-0.989000000000004</f>
        <v>77.679000000000002</v>
      </c>
      <c r="AF106" s="300">
        <f>41.754</f>
        <v>41.753999999999998</v>
      </c>
      <c r="AG106" s="300">
        <f>46.6-0.3</f>
        <v>46.300000000000004</v>
      </c>
      <c r="AH106" s="504">
        <f>46.626-11.626-5-4.2-1.8</f>
        <v>24</v>
      </c>
      <c r="AI106" s="300">
        <f>38.783-13.783+5-5-4-1-1.2</f>
        <v>18.8</v>
      </c>
      <c r="AJ106" s="300">
        <v>20</v>
      </c>
      <c r="AK106" s="443">
        <v>27.094247936755426</v>
      </c>
      <c r="AL106" s="436">
        <v>44.376204922087474</v>
      </c>
      <c r="AM106" s="436">
        <v>35.459411974996399</v>
      </c>
      <c r="AN106" s="436">
        <v>55.196231377422905</v>
      </c>
      <c r="AO106" s="436">
        <v>48.944447559565397</v>
      </c>
      <c r="AP106" s="436">
        <v>27.270534941852073</v>
      </c>
      <c r="AQ106" s="436">
        <v>27.296656416635514</v>
      </c>
      <c r="AR106" s="436">
        <v>26.926453995704733</v>
      </c>
      <c r="AS106" s="436">
        <v>22.77674442112442</v>
      </c>
      <c r="AT106" s="436">
        <v>32.35370743215087</v>
      </c>
      <c r="AU106" s="436">
        <v>31.163401179015615</v>
      </c>
      <c r="AV106" s="767">
        <v>22.241831728518061</v>
      </c>
      <c r="AW106" s="764" t="s">
        <v>272</v>
      </c>
      <c r="AX106" s="579" t="s">
        <v>3</v>
      </c>
      <c r="AY106" s="358">
        <f t="shared" ref="AY106:AY112" si="57">SUM(Y106:AJ106)</f>
        <v>416.91200000000003</v>
      </c>
      <c r="BA106" s="732">
        <f>SUM(AK106:AV106)</f>
        <v>401.09987388582891</v>
      </c>
      <c r="BB106" s="732">
        <f t="shared" ref="BB106:BB112" si="58">AZ106+AI106+AJ106</f>
        <v>38.799999999999997</v>
      </c>
      <c r="BC106" s="768"/>
      <c r="BD106" s="769"/>
    </row>
    <row r="107" spans="1:56">
      <c r="A107" s="28"/>
      <c r="B107" s="637" t="s">
        <v>92</v>
      </c>
      <c r="C107" s="636" t="s">
        <v>274</v>
      </c>
      <c r="D107" s="639" t="s">
        <v>92</v>
      </c>
      <c r="E107" s="39"/>
      <c r="F107" s="39"/>
      <c r="G107" s="39"/>
      <c r="H107" s="39"/>
      <c r="I107" s="191"/>
      <c r="J107" s="39"/>
      <c r="K107" s="39"/>
      <c r="L107" s="230"/>
      <c r="M107" s="39"/>
      <c r="N107" s="39"/>
      <c r="O107" s="78"/>
      <c r="P107" s="78"/>
      <c r="Q107" s="78"/>
      <c r="R107" s="78"/>
      <c r="S107" s="78"/>
      <c r="T107" s="78"/>
      <c r="U107" s="78"/>
      <c r="V107" s="78"/>
      <c r="W107" s="78"/>
      <c r="X107" s="78"/>
      <c r="Y107" s="354">
        <v>0</v>
      </c>
      <c r="Z107" s="278">
        <f>10.8-1.8</f>
        <v>9</v>
      </c>
      <c r="AA107" s="385">
        <v>10.8</v>
      </c>
      <c r="AB107" s="489">
        <v>10.6</v>
      </c>
      <c r="AC107" s="491">
        <v>10.5</v>
      </c>
      <c r="AD107" s="522">
        <f>11-1</f>
        <v>10</v>
      </c>
      <c r="AE107" s="441"/>
      <c r="AF107" s="385">
        <v>0.73099999999999998</v>
      </c>
      <c r="AG107" s="385">
        <v>4.9909999999999997</v>
      </c>
      <c r="AH107" s="522">
        <v>6.7</v>
      </c>
      <c r="AI107" s="522">
        <f>9.4-0.85</f>
        <v>8.5500000000000007</v>
      </c>
      <c r="AJ107" s="770">
        <f>13.784-AJ94-2.984</f>
        <v>10.8</v>
      </c>
      <c r="AK107" s="771">
        <f>13.481-5</f>
        <v>8.4809999999999999</v>
      </c>
      <c r="AL107" s="772">
        <f>12.177-8.18</f>
        <v>3.9969999999999999</v>
      </c>
      <c r="AM107" s="772">
        <f>13.481-AM94</f>
        <v>13.481</v>
      </c>
      <c r="AN107" s="772">
        <f>13.046-AN94</f>
        <v>3.0459999999999994</v>
      </c>
      <c r="AO107" s="772">
        <f>13.481-AO95</f>
        <v>0</v>
      </c>
      <c r="AP107" s="772">
        <f>13.046-AP95</f>
        <v>0</v>
      </c>
      <c r="AQ107" s="772">
        <f>13.481-AQ95</f>
        <v>0</v>
      </c>
      <c r="AR107" s="772">
        <v>5</v>
      </c>
      <c r="AS107" s="772">
        <f>13.046-AS95</f>
        <v>0</v>
      </c>
      <c r="AT107" s="772">
        <f>10.8-AT95</f>
        <v>0</v>
      </c>
      <c r="AU107" s="772">
        <f>10.8-AU95</f>
        <v>0</v>
      </c>
      <c r="AV107" s="773">
        <f>10.8-AV95</f>
        <v>0</v>
      </c>
      <c r="AW107" s="764" t="s">
        <v>272</v>
      </c>
      <c r="AX107" s="579" t="s">
        <v>3</v>
      </c>
      <c r="AY107" s="358">
        <f t="shared" si="57"/>
        <v>82.671999999999997</v>
      </c>
      <c r="AZ107" s="19">
        <v>117</v>
      </c>
      <c r="BA107" s="732">
        <f t="shared" ref="BA107:BA112" si="59">SUM(AK107:AV107)</f>
        <v>34.004999999999995</v>
      </c>
      <c r="BB107" s="732">
        <f>AZ107+AI107+AJ107+AI94</f>
        <v>136.35</v>
      </c>
      <c r="BC107" s="768"/>
      <c r="BD107" s="774"/>
    </row>
    <row r="108" spans="1:56">
      <c r="A108" s="28"/>
      <c r="B108" s="637" t="s">
        <v>92</v>
      </c>
      <c r="C108" s="636" t="s">
        <v>275</v>
      </c>
      <c r="D108" s="639" t="s">
        <v>92</v>
      </c>
      <c r="E108" s="39"/>
      <c r="F108" s="39"/>
      <c r="G108" s="39"/>
      <c r="H108" s="39"/>
      <c r="I108" s="191"/>
      <c r="J108" s="39"/>
      <c r="K108" s="39"/>
      <c r="L108" s="230"/>
      <c r="M108" s="39"/>
      <c r="N108" s="39"/>
      <c r="O108" s="78"/>
      <c r="P108" s="78"/>
      <c r="Q108" s="78"/>
      <c r="R108" s="78"/>
      <c r="S108" s="78"/>
      <c r="T108" s="78"/>
      <c r="U108" s="78"/>
      <c r="V108" s="78"/>
      <c r="W108" s="78"/>
      <c r="X108" s="78"/>
      <c r="Y108" s="354"/>
      <c r="Z108" s="385"/>
      <c r="AA108" s="385"/>
      <c r="AB108" s="351">
        <v>0</v>
      </c>
      <c r="AC108" s="278"/>
      <c r="AD108" s="278"/>
      <c r="AE108" s="441"/>
      <c r="AF108" s="385">
        <f>8.197</f>
        <v>8.1969999999999992</v>
      </c>
      <c r="AG108" s="385">
        <v>6.8310000000000004</v>
      </c>
      <c r="AH108" s="522">
        <v>7.3</v>
      </c>
      <c r="AI108" s="522">
        <f>2.5-0.25</f>
        <v>2.25</v>
      </c>
      <c r="AJ108" s="522"/>
      <c r="AK108" s="775"/>
      <c r="AL108" s="278"/>
      <c r="AM108" s="278"/>
      <c r="AN108" s="351"/>
      <c r="AO108" s="351"/>
      <c r="AP108" s="351"/>
      <c r="AQ108" s="351"/>
      <c r="AR108" s="351"/>
      <c r="AS108" s="351"/>
      <c r="AT108" s="351"/>
      <c r="AU108" s="351"/>
      <c r="AV108" s="776"/>
      <c r="AW108" s="764" t="s">
        <v>272</v>
      </c>
      <c r="AX108" s="579" t="s">
        <v>3</v>
      </c>
      <c r="AY108" s="358">
        <f t="shared" si="57"/>
        <v>24.577999999999999</v>
      </c>
      <c r="AZ108" s="19"/>
      <c r="BA108" s="732">
        <f t="shared" si="59"/>
        <v>0</v>
      </c>
      <c r="BB108" s="732"/>
      <c r="BC108" s="768"/>
      <c r="BD108" s="774"/>
    </row>
    <row r="109" spans="1:56">
      <c r="A109" s="28"/>
      <c r="B109" s="637" t="s">
        <v>92</v>
      </c>
      <c r="C109" s="636" t="s">
        <v>276</v>
      </c>
      <c r="D109" s="639" t="s">
        <v>92</v>
      </c>
      <c r="E109" s="39">
        <v>22.7</v>
      </c>
      <c r="F109" s="39">
        <v>32</v>
      </c>
      <c r="G109" s="99">
        <f>15+1</f>
        <v>16</v>
      </c>
      <c r="H109" s="99">
        <f>13+1</f>
        <v>14</v>
      </c>
      <c r="I109" s="191">
        <f>6+2</f>
        <v>8</v>
      </c>
      <c r="J109" s="191">
        <v>6</v>
      </c>
      <c r="K109" s="191">
        <v>6</v>
      </c>
      <c r="L109" s="191">
        <v>13</v>
      </c>
      <c r="M109" s="191">
        <v>12</v>
      </c>
      <c r="N109" s="191">
        <v>12</v>
      </c>
      <c r="O109" s="191">
        <f>12+25</f>
        <v>37</v>
      </c>
      <c r="P109" s="191">
        <f>12+9+5+6</f>
        <v>32</v>
      </c>
      <c r="Q109" s="289">
        <v>0</v>
      </c>
      <c r="R109" s="78"/>
      <c r="S109" s="191"/>
      <c r="T109" s="191"/>
      <c r="U109" s="191"/>
      <c r="V109" s="372"/>
      <c r="W109" s="191"/>
      <c r="X109" s="190"/>
      <c r="Y109" s="355"/>
      <c r="Z109" s="191">
        <f>15+2.5</f>
        <v>17.5</v>
      </c>
      <c r="AA109" s="191">
        <v>3.24</v>
      </c>
      <c r="AB109" s="78">
        <f>23+4.5+0.6</f>
        <v>28.1</v>
      </c>
      <c r="AC109" s="295">
        <v>30.8</v>
      </c>
      <c r="AD109" s="191">
        <f>17+2</f>
        <v>19</v>
      </c>
      <c r="AE109" s="300">
        <v>6</v>
      </c>
      <c r="AF109" s="300">
        <f>3+2+4.6</f>
        <v>9.6</v>
      </c>
      <c r="AG109" s="300">
        <f>3+6.7+4.3+4.2</f>
        <v>18.2</v>
      </c>
      <c r="AH109" s="300">
        <f>14+6+2</f>
        <v>22</v>
      </c>
      <c r="AI109" s="300">
        <f>16.7</f>
        <v>16.7</v>
      </c>
      <c r="AJ109" s="300">
        <f>3+8.7</f>
        <v>11.7</v>
      </c>
      <c r="AK109" s="355">
        <v>3</v>
      </c>
      <c r="AL109" s="352">
        <v>3</v>
      </c>
      <c r="AM109" s="352">
        <v>3</v>
      </c>
      <c r="AN109" s="352">
        <v>3</v>
      </c>
      <c r="AO109" s="352">
        <v>3</v>
      </c>
      <c r="AP109" s="352">
        <v>3</v>
      </c>
      <c r="AQ109" s="352">
        <v>3</v>
      </c>
      <c r="AR109" s="352">
        <v>3</v>
      </c>
      <c r="AS109" s="352">
        <v>3</v>
      </c>
      <c r="AT109" s="352">
        <v>3</v>
      </c>
      <c r="AU109" s="352">
        <v>3</v>
      </c>
      <c r="AV109" s="777">
        <v>3</v>
      </c>
      <c r="AW109" s="764" t="s">
        <v>272</v>
      </c>
      <c r="AX109" s="579" t="s">
        <v>3</v>
      </c>
      <c r="AY109" s="358">
        <f t="shared" si="57"/>
        <v>182.83999999999997</v>
      </c>
      <c r="AZ109" s="19"/>
      <c r="BA109" s="732">
        <f t="shared" si="59"/>
        <v>36</v>
      </c>
      <c r="BB109" s="732"/>
      <c r="BC109" s="768">
        <v>400000</v>
      </c>
      <c r="BD109" s="774">
        <f>BC109/BC112</f>
        <v>0.39603960396039606</v>
      </c>
    </row>
    <row r="110" spans="1:56">
      <c r="A110" s="28"/>
      <c r="B110" s="637" t="s">
        <v>92</v>
      </c>
      <c r="C110" s="636" t="s">
        <v>277</v>
      </c>
      <c r="D110" s="639" t="s">
        <v>92</v>
      </c>
      <c r="E110" s="39">
        <v>25.201000000000001</v>
      </c>
      <c r="F110" s="39">
        <v>1.85</v>
      </c>
      <c r="G110" s="39">
        <v>24.5</v>
      </c>
      <c r="H110" s="191">
        <v>25</v>
      </c>
      <c r="I110" s="190">
        <v>26.736999999999998</v>
      </c>
      <c r="J110" s="190">
        <v>33.479999999999997</v>
      </c>
      <c r="K110" s="190">
        <v>31.632000000000001</v>
      </c>
      <c r="L110" s="230">
        <v>25</v>
      </c>
      <c r="M110" s="39">
        <v>32.86</v>
      </c>
      <c r="N110" s="278">
        <v>25.4</v>
      </c>
      <c r="O110" s="278">
        <v>16.645</v>
      </c>
      <c r="P110" s="78">
        <v>24</v>
      </c>
      <c r="Q110" s="296">
        <v>21.957999999999998</v>
      </c>
      <c r="R110" s="78">
        <v>23.643999999999998</v>
      </c>
      <c r="S110" s="295">
        <v>25.8</v>
      </c>
      <c r="T110" s="191">
        <v>31.132362637362636</v>
      </c>
      <c r="U110" s="295">
        <v>30.3</v>
      </c>
      <c r="V110" s="191">
        <f>1060*31/1000</f>
        <v>32.86</v>
      </c>
      <c r="W110" s="191">
        <f>1040*30/1000</f>
        <v>31.2</v>
      </c>
      <c r="X110" s="78">
        <v>25.673999999999999</v>
      </c>
      <c r="Y110" s="382">
        <f>1040*Y1/1000</f>
        <v>32.24</v>
      </c>
      <c r="Z110" s="278">
        <v>28.1</v>
      </c>
      <c r="AA110" s="385">
        <f>1040*AA1/1000</f>
        <v>32.24</v>
      </c>
      <c r="AB110" s="278">
        <v>24.491</v>
      </c>
      <c r="AC110" s="278">
        <v>26.954999999999998</v>
      </c>
      <c r="AD110" s="385">
        <v>30.1</v>
      </c>
      <c r="AE110" s="278">
        <f>30.38+0.2-0.2</f>
        <v>30.38</v>
      </c>
      <c r="AF110" s="385">
        <f>32.55-3.698+1.67-1.577+0.46</f>
        <v>29.405000000000001</v>
      </c>
      <c r="AG110" s="385">
        <v>23.1</v>
      </c>
      <c r="AH110" s="522">
        <f>0+3-1.55-0.43</f>
        <v>1.02</v>
      </c>
      <c r="AI110" s="522">
        <f>31.28-4.58-2.4</f>
        <v>24.300000000000004</v>
      </c>
      <c r="AJ110" s="522">
        <f>32.55-1.5-1.6</f>
        <v>29.449999999999996</v>
      </c>
      <c r="AK110" s="778">
        <f>32.55</f>
        <v>32.549999999999997</v>
      </c>
      <c r="AL110" s="772">
        <v>29.4</v>
      </c>
      <c r="AM110" s="772">
        <v>32.549999999999997</v>
      </c>
      <c r="AN110" s="772">
        <f>31.5</f>
        <v>31.5</v>
      </c>
      <c r="AO110" s="772">
        <f>32.55+(AO101*BD109)</f>
        <v>32.549999999999997</v>
      </c>
      <c r="AP110" s="772">
        <f>31.5+(AP101*BD109)</f>
        <v>31.5</v>
      </c>
      <c r="AQ110" s="772">
        <f>32.55+(AQ101*BD109)</f>
        <v>32.549999999999997</v>
      </c>
      <c r="AR110" s="772">
        <v>13.65</v>
      </c>
      <c r="AS110" s="772">
        <f>31.5+(AS101*BD109)</f>
        <v>31.5</v>
      </c>
      <c r="AT110" s="772">
        <f>32.55+(AT101*BD109)</f>
        <v>32.549999999999997</v>
      </c>
      <c r="AU110" s="772">
        <v>31.5</v>
      </c>
      <c r="AV110" s="773">
        <v>32.549999999999997</v>
      </c>
      <c r="AW110" s="764" t="s">
        <v>272</v>
      </c>
      <c r="AX110" s="579" t="s">
        <v>3</v>
      </c>
      <c r="AY110" s="358">
        <f>SUM(Y110:AJ110)</f>
        <v>311.78100000000001</v>
      </c>
      <c r="AZ110" s="19">
        <v>258</v>
      </c>
      <c r="BA110" s="732">
        <f>SUM(AK110:AV110)</f>
        <v>364.35</v>
      </c>
      <c r="BB110" s="732">
        <f t="shared" si="58"/>
        <v>311.75</v>
      </c>
      <c r="BC110" s="768">
        <v>350000</v>
      </c>
      <c r="BD110" s="774">
        <f>BC110/(BC112)</f>
        <v>0.34653465346534651</v>
      </c>
    </row>
    <row r="111" spans="1:56" ht="15" thickBot="1">
      <c r="A111" s="28"/>
      <c r="B111" s="637" t="s">
        <v>92</v>
      </c>
      <c r="C111" s="636" t="s">
        <v>278</v>
      </c>
      <c r="D111" s="639" t="s">
        <v>92</v>
      </c>
      <c r="E111" s="39">
        <v>8.1080000000000005</v>
      </c>
      <c r="F111" s="78">
        <v>11.057</v>
      </c>
      <c r="G111" s="39">
        <f>30.837+1</f>
        <v>31.837</v>
      </c>
      <c r="H111" s="39">
        <v>31.837</v>
      </c>
      <c r="I111" s="39">
        <v>30.81</v>
      </c>
      <c r="J111" s="39">
        <v>31.837</v>
      </c>
      <c r="K111" s="39">
        <v>30.81</v>
      </c>
      <c r="L111" s="230">
        <v>23.632999999999999</v>
      </c>
      <c r="M111" s="230">
        <v>17.95</v>
      </c>
      <c r="N111" s="39">
        <f>26.179-0.873</f>
        <v>25.305999999999997</v>
      </c>
      <c r="O111" s="78">
        <f>28.022-0.417-0.922</f>
        <v>26.682999999999996</v>
      </c>
      <c r="P111" s="230">
        <v>20.55</v>
      </c>
      <c r="Q111" s="291">
        <v>8</v>
      </c>
      <c r="R111" s="39">
        <v>20</v>
      </c>
      <c r="S111" s="295">
        <v>22</v>
      </c>
      <c r="T111" s="353">
        <v>21.2</v>
      </c>
      <c r="U111" s="209">
        <v>21.2</v>
      </c>
      <c r="V111" s="209">
        <v>21.2</v>
      </c>
      <c r="W111" s="383">
        <v>21.2</v>
      </c>
      <c r="X111" s="410">
        <f>21.2+7.5</f>
        <v>28.7</v>
      </c>
      <c r="Y111" s="421">
        <f>21.672+1.635+2.9</f>
        <v>26.207000000000001</v>
      </c>
      <c r="Z111" s="191">
        <f>21.276</f>
        <v>21.276</v>
      </c>
      <c r="AA111" s="191">
        <v>23.556000000000001</v>
      </c>
      <c r="AB111" s="78">
        <f>18.7-22.796+22.796+1</f>
        <v>19.7</v>
      </c>
      <c r="AC111" s="504">
        <v>20.771999999999998</v>
      </c>
      <c r="AD111" s="191">
        <v>22.036000000000001</v>
      </c>
      <c r="AE111" s="191">
        <v>0</v>
      </c>
      <c r="AF111" s="99">
        <f>19.128-9.5+1.469</f>
        <v>11.097</v>
      </c>
      <c r="AG111" s="300">
        <v>21.884</v>
      </c>
      <c r="AH111" s="300">
        <f>31.844-11.586</f>
        <v>20.258000000000003</v>
      </c>
      <c r="AI111" s="504">
        <f>21.659+2</f>
        <v>23.658999999999999</v>
      </c>
      <c r="AJ111" s="191">
        <f>23.556+0.044</f>
        <v>23.6</v>
      </c>
      <c r="AK111" s="779">
        <f>(220/365)*AK1</f>
        <v>18.684931506849313</v>
      </c>
      <c r="AL111" s="504">
        <f t="shared" ref="AL111:AQ111" si="60">(220/365)*AL1-AL100</f>
        <v>16.876712328767123</v>
      </c>
      <c r="AM111" s="504">
        <f t="shared" si="60"/>
        <v>18.684931506849313</v>
      </c>
      <c r="AN111" s="504">
        <f t="shared" si="60"/>
        <v>18.082191780821915</v>
      </c>
      <c r="AO111" s="504">
        <f t="shared" si="60"/>
        <v>18.684931506849313</v>
      </c>
      <c r="AP111" s="504">
        <f t="shared" si="60"/>
        <v>18.082191780821915</v>
      </c>
      <c r="AQ111" s="504">
        <f t="shared" si="60"/>
        <v>18.684931506849313</v>
      </c>
      <c r="AR111" s="780">
        <v>31.837</v>
      </c>
      <c r="AS111" s="504">
        <f>(220/365)*AS1-AS100+(AS101*BD110)</f>
        <v>18.082191780821915</v>
      </c>
      <c r="AT111" s="504">
        <f>(220/365)*AT1-AT100+(AT101*BE110)</f>
        <v>18.684931506849313</v>
      </c>
      <c r="AU111" s="504">
        <f>(220/365)*AU1-AU100+(AU101*BF110)</f>
        <v>18.684931506849313</v>
      </c>
      <c r="AV111" s="781">
        <f>(220/365)*AV1-AV100+(AV101*BG110)</f>
        <v>18.684931506849313</v>
      </c>
      <c r="AW111" s="764" t="s">
        <v>272</v>
      </c>
      <c r="AX111" s="579" t="s">
        <v>3</v>
      </c>
      <c r="AY111" s="358">
        <f t="shared" si="57"/>
        <v>234.04500000000002</v>
      </c>
      <c r="AZ111" s="19">
        <v>160</v>
      </c>
      <c r="BA111" s="732">
        <f t="shared" si="59"/>
        <v>233.75480821917807</v>
      </c>
      <c r="BB111" s="732">
        <f t="shared" si="58"/>
        <v>207.25899999999999</v>
      </c>
      <c r="BC111" s="768"/>
      <c r="BD111" s="769"/>
    </row>
    <row r="112" spans="1:56" ht="15" thickBot="1">
      <c r="A112" s="3"/>
      <c r="B112" s="637" t="s">
        <v>92</v>
      </c>
      <c r="C112" s="636" t="s">
        <v>279</v>
      </c>
      <c r="D112" s="639" t="s">
        <v>92</v>
      </c>
      <c r="E112" s="39"/>
      <c r="F112" s="78"/>
      <c r="G112" s="39"/>
      <c r="H112" s="39"/>
      <c r="I112" s="39"/>
      <c r="J112" s="39"/>
      <c r="K112" s="39"/>
      <c r="L112" s="230"/>
      <c r="M112" s="230"/>
      <c r="N112" s="39"/>
      <c r="O112" s="78"/>
      <c r="P112" s="230"/>
      <c r="Q112" s="291"/>
      <c r="R112" s="39"/>
      <c r="S112" s="295"/>
      <c r="T112" s="353"/>
      <c r="U112" s="209"/>
      <c r="V112" s="209"/>
      <c r="W112" s="383"/>
      <c r="X112" s="410"/>
      <c r="Y112" s="442"/>
      <c r="Z112" s="78">
        <v>4.5</v>
      </c>
      <c r="AA112" s="78">
        <f>4+2.5+1</f>
        <v>7.5</v>
      </c>
      <c r="AB112" s="78">
        <f>7.2-7.2</f>
        <v>0</v>
      </c>
      <c r="AC112" s="505">
        <v>2</v>
      </c>
      <c r="AD112" s="191">
        <v>7.3249999999999993</v>
      </c>
      <c r="AE112" s="191"/>
      <c r="AF112" s="300"/>
      <c r="AG112" s="300">
        <f>5+3.4</f>
        <v>8.4</v>
      </c>
      <c r="AH112" s="623">
        <f>4+5.208</f>
        <v>9.2080000000000002</v>
      </c>
      <c r="AI112" s="782">
        <f>4.384+0.2</f>
        <v>4.5840000000000005</v>
      </c>
      <c r="AJ112" s="782">
        <v>6.4</v>
      </c>
      <c r="AK112" s="783">
        <v>4</v>
      </c>
      <c r="AL112" s="784">
        <v>4</v>
      </c>
      <c r="AM112" s="784">
        <v>4</v>
      </c>
      <c r="AN112" s="784">
        <v>3</v>
      </c>
      <c r="AO112" s="784">
        <v>3</v>
      </c>
      <c r="AP112" s="784">
        <v>5</v>
      </c>
      <c r="AQ112" s="784">
        <v>6</v>
      </c>
      <c r="AR112" s="784"/>
      <c r="AS112" s="784">
        <v>6</v>
      </c>
      <c r="AT112" s="784">
        <v>6</v>
      </c>
      <c r="AU112" s="784">
        <v>6</v>
      </c>
      <c r="AV112" s="785">
        <v>6</v>
      </c>
      <c r="AW112" s="764" t="s">
        <v>272</v>
      </c>
      <c r="AX112" s="579" t="s">
        <v>3</v>
      </c>
      <c r="AY112" s="358">
        <f t="shared" si="57"/>
        <v>49.917000000000002</v>
      </c>
      <c r="AZ112" s="19">
        <v>37</v>
      </c>
      <c r="BA112" s="732">
        <f t="shared" si="59"/>
        <v>53</v>
      </c>
      <c r="BB112" s="732">
        <f t="shared" si="58"/>
        <v>47.984000000000002</v>
      </c>
      <c r="BC112" s="786">
        <f>SUM(BC105:BC110)</f>
        <v>1010000</v>
      </c>
      <c r="BD112" s="787"/>
    </row>
    <row r="113" spans="1:60">
      <c r="A113" s="283" t="s">
        <v>280</v>
      </c>
      <c r="B113" s="642" t="s">
        <v>92</v>
      </c>
      <c r="C113" s="89" t="s">
        <v>281</v>
      </c>
      <c r="D113" s="643" t="s">
        <v>92</v>
      </c>
      <c r="E113" s="80"/>
      <c r="F113" s="80">
        <v>0.3</v>
      </c>
      <c r="G113" s="80">
        <v>0.6</v>
      </c>
      <c r="H113" s="80">
        <v>0.65355300000000005</v>
      </c>
      <c r="I113" s="80">
        <v>0.8</v>
      </c>
      <c r="J113" s="80">
        <v>0.64030200000000004</v>
      </c>
      <c r="K113" s="80">
        <v>0.60816493999999999</v>
      </c>
      <c r="L113" s="80">
        <v>0.60244565000000005</v>
      </c>
      <c r="M113" s="80">
        <v>0.8</v>
      </c>
      <c r="N113" s="80">
        <v>0.94</v>
      </c>
      <c r="O113" s="80">
        <v>0.65</v>
      </c>
      <c r="P113" s="212">
        <v>0.7</v>
      </c>
      <c r="Q113" s="80">
        <v>0.60859381000000001</v>
      </c>
      <c r="R113" s="80">
        <v>0.37617381999999999</v>
      </c>
      <c r="S113" s="212">
        <v>0.5</v>
      </c>
      <c r="T113" s="80">
        <v>0.27</v>
      </c>
      <c r="U113" s="212">
        <v>0.7</v>
      </c>
      <c r="V113" s="212">
        <v>0.65</v>
      </c>
      <c r="W113" s="80">
        <v>0.6</v>
      </c>
      <c r="X113" s="80">
        <v>0.6</v>
      </c>
      <c r="Y113" s="415">
        <v>0.6</v>
      </c>
      <c r="Z113" s="416">
        <v>0.6</v>
      </c>
      <c r="AA113" s="416">
        <v>0.6</v>
      </c>
      <c r="AB113" s="416">
        <v>0.6</v>
      </c>
      <c r="AC113" s="416">
        <v>0.6</v>
      </c>
      <c r="AD113" s="416">
        <v>0.85</v>
      </c>
      <c r="AE113" s="416">
        <v>0.5</v>
      </c>
      <c r="AF113" s="416">
        <f>0.6+0.08</f>
        <v>0.67999999999999994</v>
      </c>
      <c r="AG113" s="416">
        <f>0.55+0.18</f>
        <v>0.73</v>
      </c>
      <c r="AH113" s="416">
        <v>0.6</v>
      </c>
      <c r="AI113" s="416">
        <v>0.6</v>
      </c>
      <c r="AJ113" s="416">
        <v>0.5</v>
      </c>
      <c r="AK113" s="444">
        <v>0.5</v>
      </c>
      <c r="AL113" s="37">
        <v>0.5</v>
      </c>
      <c r="AM113" s="37">
        <v>0.5</v>
      </c>
      <c r="AN113" s="37">
        <v>0.5</v>
      </c>
      <c r="AO113" s="37">
        <v>0.5</v>
      </c>
      <c r="AP113" s="37">
        <v>0.5</v>
      </c>
      <c r="AQ113" s="37">
        <v>0.5</v>
      </c>
      <c r="AR113" s="37">
        <v>0.5</v>
      </c>
      <c r="AS113" s="37">
        <v>0.5</v>
      </c>
      <c r="AT113" s="37">
        <v>0.5</v>
      </c>
      <c r="AU113" s="788">
        <v>0.5</v>
      </c>
      <c r="AV113" s="788">
        <v>0.5</v>
      </c>
      <c r="AW113" s="764" t="s">
        <v>272</v>
      </c>
      <c r="AX113" s="579" t="s">
        <v>3</v>
      </c>
      <c r="AY113" s="358">
        <f>SUM(Y113:AJ113)</f>
        <v>7.4599999999999991</v>
      </c>
      <c r="AZ113" s="19"/>
      <c r="BA113" s="19"/>
      <c r="BB113" s="19"/>
    </row>
    <row r="114" spans="1:60">
      <c r="A114" s="3"/>
      <c r="B114" s="642" t="s">
        <v>92</v>
      </c>
      <c r="C114" s="225" t="s">
        <v>282</v>
      </c>
      <c r="D114" s="643" t="s">
        <v>92</v>
      </c>
      <c r="E114" s="80"/>
      <c r="F114" s="80"/>
      <c r="G114" s="80"/>
      <c r="H114" s="80"/>
      <c r="I114" s="80"/>
      <c r="J114" s="80"/>
      <c r="K114" s="80"/>
      <c r="L114" s="80">
        <v>0.5</v>
      </c>
      <c r="M114" s="80">
        <v>0.5</v>
      </c>
      <c r="N114" s="80">
        <v>0.62</v>
      </c>
      <c r="O114" s="80">
        <v>0.65</v>
      </c>
      <c r="P114" s="287">
        <v>0.75</v>
      </c>
      <c r="Q114" s="80">
        <v>0.75</v>
      </c>
      <c r="R114" s="80">
        <v>0.75</v>
      </c>
      <c r="S114" s="212">
        <v>0.9</v>
      </c>
      <c r="T114" s="80">
        <v>0.75</v>
      </c>
      <c r="U114" s="212">
        <v>0.75</v>
      </c>
      <c r="V114" s="80">
        <v>0.8</v>
      </c>
      <c r="W114" s="80">
        <v>0.8</v>
      </c>
      <c r="X114" s="80">
        <v>0.6</v>
      </c>
      <c r="Y114" s="360">
        <v>0.8</v>
      </c>
      <c r="Z114" s="80">
        <v>0.7</v>
      </c>
      <c r="AA114" s="80">
        <v>0.75</v>
      </c>
      <c r="AB114" s="80">
        <v>0.6</v>
      </c>
      <c r="AC114" s="212">
        <v>0.85</v>
      </c>
      <c r="AD114" s="80">
        <v>0.62</v>
      </c>
      <c r="AE114" s="212">
        <f>0.6+0.16</f>
        <v>0.76</v>
      </c>
      <c r="AF114" s="80">
        <v>0.65</v>
      </c>
      <c r="AG114" s="80">
        <v>0.5</v>
      </c>
      <c r="AH114" s="80">
        <v>0.45</v>
      </c>
      <c r="AI114" s="80">
        <v>0.9</v>
      </c>
      <c r="AJ114" s="80">
        <v>0.85</v>
      </c>
      <c r="AK114" s="360">
        <v>0.35</v>
      </c>
      <c r="AL114" s="80">
        <v>0.4</v>
      </c>
      <c r="AM114" s="80">
        <v>0.4</v>
      </c>
      <c r="AN114" s="80">
        <v>0.45</v>
      </c>
      <c r="AO114" s="80">
        <v>0.45</v>
      </c>
      <c r="AP114" s="80">
        <v>0.4</v>
      </c>
      <c r="AQ114" s="80">
        <v>0.6</v>
      </c>
      <c r="AR114" s="80">
        <v>0.6</v>
      </c>
      <c r="AS114" s="80">
        <v>0.6</v>
      </c>
      <c r="AT114" s="80">
        <v>0.6</v>
      </c>
      <c r="AU114" s="789">
        <v>0.6</v>
      </c>
      <c r="AV114" s="789">
        <v>0.6</v>
      </c>
      <c r="AW114" s="764" t="s">
        <v>272</v>
      </c>
      <c r="AX114" s="579" t="s">
        <v>3</v>
      </c>
      <c r="AY114" s="19"/>
      <c r="AZ114" s="54"/>
      <c r="BA114" s="734"/>
      <c r="BB114" s="19"/>
    </row>
    <row r="115" spans="1:60">
      <c r="A115" s="28"/>
      <c r="B115" s="637" t="s">
        <v>92</v>
      </c>
      <c r="C115" s="4" t="s">
        <v>246</v>
      </c>
      <c r="D115" s="644" t="s">
        <v>283</v>
      </c>
      <c r="E115" s="90">
        <v>64.069999999999993</v>
      </c>
      <c r="F115" s="96">
        <f>66.43791165-3</f>
        <v>63.437911650000004</v>
      </c>
      <c r="G115" s="185">
        <f>67.84931687-2</f>
        <v>65.849316869999996</v>
      </c>
      <c r="H115" s="90">
        <v>62.71</v>
      </c>
      <c r="I115" s="90">
        <v>69.459999999999994</v>
      </c>
      <c r="J115" s="90">
        <v>74.149546740000005</v>
      </c>
      <c r="K115" s="220">
        <v>64.84</v>
      </c>
      <c r="L115" s="220">
        <v>73.87</v>
      </c>
      <c r="M115" s="220">
        <v>70.308482029999993</v>
      </c>
      <c r="N115" s="220">
        <f>66.30012878+1.27-2</f>
        <v>65.57012877999999</v>
      </c>
      <c r="O115" s="96">
        <v>67.39</v>
      </c>
      <c r="P115" s="297">
        <v>52.08</v>
      </c>
      <c r="Q115" s="96">
        <v>47.18</v>
      </c>
      <c r="R115" s="96">
        <v>52.57</v>
      </c>
      <c r="S115" s="96">
        <v>56.54</v>
      </c>
      <c r="T115" s="96">
        <v>59.6</v>
      </c>
      <c r="U115" s="96">
        <v>57.42</v>
      </c>
      <c r="V115" s="96">
        <f>62.54</f>
        <v>62.54</v>
      </c>
      <c r="W115" s="220">
        <v>59.382407709999995</v>
      </c>
      <c r="X115" s="96">
        <v>56.1</v>
      </c>
      <c r="Y115" s="388">
        <f>51.21+3</f>
        <v>54.21</v>
      </c>
      <c r="Z115" s="78">
        <f>52.25</f>
        <v>52.25</v>
      </c>
      <c r="AA115" s="78">
        <v>56.88</v>
      </c>
      <c r="AB115" s="78">
        <v>48.78</v>
      </c>
      <c r="AC115" s="78">
        <v>51.8</v>
      </c>
      <c r="AD115" s="191">
        <f>49.86+0.76+0.62</f>
        <v>51.239999999999995</v>
      </c>
      <c r="AE115" s="78">
        <f>53.06+1.4-1.08-2.5+3.43</f>
        <v>54.31</v>
      </c>
      <c r="AF115" s="191">
        <f>51.73-1.56</f>
        <v>50.169999999999995</v>
      </c>
      <c r="AG115" s="191">
        <f>53.74-2.92</f>
        <v>50.82</v>
      </c>
      <c r="AH115" s="78">
        <f>50.45+2.33-0.12</f>
        <v>52.660000000000004</v>
      </c>
      <c r="AI115" s="191">
        <v>51.78</v>
      </c>
      <c r="AJ115" s="191">
        <v>57.37</v>
      </c>
      <c r="AK115" s="446">
        <v>58.74</v>
      </c>
      <c r="AL115" s="207">
        <v>55.37</v>
      </c>
      <c r="AM115" s="207">
        <v>45.87</v>
      </c>
      <c r="AN115" s="207">
        <v>55.58</v>
      </c>
      <c r="AO115" s="207">
        <v>57.19</v>
      </c>
      <c r="AP115" s="207">
        <v>57.24</v>
      </c>
      <c r="AQ115" s="207">
        <v>60.81</v>
      </c>
      <c r="AR115" s="207">
        <v>61.34</v>
      </c>
      <c r="AS115" s="207">
        <v>59.23</v>
      </c>
      <c r="AT115" s="207">
        <v>59.96</v>
      </c>
      <c r="AU115" s="790">
        <v>55.44</v>
      </c>
      <c r="AV115" s="790">
        <v>56.06</v>
      </c>
      <c r="AW115" s="764" t="s">
        <v>272</v>
      </c>
      <c r="AX115" s="579" t="s">
        <v>3</v>
      </c>
      <c r="AY115" s="733">
        <f>AF112*1000</f>
        <v>0</v>
      </c>
      <c r="AZ115" s="54"/>
      <c r="BA115" s="734" t="s">
        <v>284</v>
      </c>
      <c r="BB115" s="19" t="s">
        <v>285</v>
      </c>
    </row>
    <row r="116" spans="1:60">
      <c r="A116" s="28"/>
      <c r="B116" s="637" t="s">
        <v>92</v>
      </c>
      <c r="C116" s="4" t="s">
        <v>246</v>
      </c>
      <c r="D116" s="645" t="s">
        <v>286</v>
      </c>
      <c r="E116" s="34">
        <v>70.61</v>
      </c>
      <c r="F116" s="34">
        <v>67.131</v>
      </c>
      <c r="G116" s="34">
        <v>68.07940004999999</v>
      </c>
      <c r="H116" s="34">
        <f>67.46768497-1.17</f>
        <v>66.297684969999992</v>
      </c>
      <c r="I116" s="34">
        <v>68.81</v>
      </c>
      <c r="J116" s="34">
        <v>68.09418556</v>
      </c>
      <c r="K116" s="34">
        <v>70.55</v>
      </c>
      <c r="L116" s="34">
        <v>67.655677449999999</v>
      </c>
      <c r="M116" s="34">
        <v>67.334808789999997</v>
      </c>
      <c r="N116" s="34">
        <v>64.025330750000009</v>
      </c>
      <c r="O116" s="96">
        <v>61.08</v>
      </c>
      <c r="P116" s="96">
        <v>50.41</v>
      </c>
      <c r="Q116" s="96">
        <v>54.68</v>
      </c>
      <c r="R116" s="96">
        <v>53.87</v>
      </c>
      <c r="S116" s="96">
        <v>60.69</v>
      </c>
      <c r="T116" s="96">
        <v>61.18</v>
      </c>
      <c r="U116" s="96">
        <v>60.42</v>
      </c>
      <c r="V116" s="34">
        <v>61.37</v>
      </c>
      <c r="W116" s="96">
        <v>60.32</v>
      </c>
      <c r="X116" s="96">
        <v>64.62</v>
      </c>
      <c r="Y116" s="388">
        <v>61.92</v>
      </c>
      <c r="Z116" s="39">
        <v>56.777439450000003</v>
      </c>
      <c r="AA116" s="78">
        <v>62.23</v>
      </c>
      <c r="AB116" s="78">
        <v>53.05</v>
      </c>
      <c r="AC116" s="78">
        <v>53.03</v>
      </c>
      <c r="AD116" s="191">
        <f>53.29-0.05+1.46-0.62</f>
        <v>54.080000000000005</v>
      </c>
      <c r="AE116" s="78">
        <f>52.94-0.95-0.18+1.15+1</f>
        <v>53.959999999999994</v>
      </c>
      <c r="AF116" s="191">
        <f>53.53-1.47</f>
        <v>52.06</v>
      </c>
      <c r="AG116" s="39">
        <f>52.31-0.18</f>
        <v>52.13</v>
      </c>
      <c r="AH116" s="78">
        <f>51.24-0.8+0.279+4.11+0.27</f>
        <v>55.099000000000011</v>
      </c>
      <c r="AI116" s="39">
        <v>50.86</v>
      </c>
      <c r="AJ116" s="39">
        <v>52.29</v>
      </c>
      <c r="AK116" s="38">
        <v>53.74</v>
      </c>
      <c r="AL116" s="39">
        <v>50</v>
      </c>
      <c r="AM116" s="39">
        <v>52.95</v>
      </c>
      <c r="AN116" s="39">
        <v>50.85</v>
      </c>
      <c r="AO116" s="39">
        <v>52</v>
      </c>
      <c r="AP116" s="39">
        <v>50.28</v>
      </c>
      <c r="AQ116" s="39">
        <v>52.75</v>
      </c>
      <c r="AR116" s="39">
        <v>53.67</v>
      </c>
      <c r="AS116" s="39">
        <v>51.69</v>
      </c>
      <c r="AT116" s="39">
        <v>52.9</v>
      </c>
      <c r="AU116" s="791">
        <v>53.06</v>
      </c>
      <c r="AV116" s="791">
        <v>54.73</v>
      </c>
      <c r="AW116" s="764" t="s">
        <v>272</v>
      </c>
      <c r="AX116" s="579" t="s">
        <v>3</v>
      </c>
      <c r="AY116" s="54"/>
      <c r="AZ116" s="54"/>
      <c r="BA116" s="792">
        <v>21.6</v>
      </c>
      <c r="BB116" s="793">
        <f>(BA116/$BA$120)*$BB$120</f>
        <v>16.371420831989681</v>
      </c>
      <c r="BC116" s="737">
        <f>BB116-BA116</f>
        <v>-5.2285791680103202</v>
      </c>
    </row>
    <row r="117" spans="1:60">
      <c r="A117" s="28"/>
      <c r="B117" s="646" t="s">
        <v>92</v>
      </c>
      <c r="C117" s="5" t="s">
        <v>246</v>
      </c>
      <c r="D117" s="647" t="s">
        <v>287</v>
      </c>
      <c r="E117" s="34"/>
      <c r="F117" s="96"/>
      <c r="G117" s="34"/>
      <c r="H117" s="34">
        <v>2</v>
      </c>
      <c r="I117" s="34"/>
      <c r="J117" s="34"/>
      <c r="K117" s="208">
        <v>13.6</v>
      </c>
      <c r="L117" s="34"/>
      <c r="M117" s="34">
        <v>0.41</v>
      </c>
      <c r="N117" s="34">
        <v>1.27</v>
      </c>
      <c r="O117" s="34">
        <v>3.8000000000000003</v>
      </c>
      <c r="P117" s="34">
        <v>1.2</v>
      </c>
      <c r="Q117" s="34">
        <v>1.55</v>
      </c>
      <c r="R117" s="96">
        <v>4.0999999999999996</v>
      </c>
      <c r="S117" s="96">
        <v>7.4</v>
      </c>
      <c r="T117" s="96">
        <v>14.3</v>
      </c>
      <c r="U117" s="96">
        <v>12</v>
      </c>
      <c r="V117" s="96">
        <f>10.3-0.7</f>
        <v>9.6000000000000014</v>
      </c>
      <c r="W117" s="96">
        <v>13</v>
      </c>
      <c r="X117" s="96">
        <v>11.47</v>
      </c>
      <c r="Y117" s="388">
        <v>4.5</v>
      </c>
      <c r="Z117" s="78">
        <v>6.4</v>
      </c>
      <c r="AA117" s="78">
        <v>19.46</v>
      </c>
      <c r="AB117" s="78">
        <v>15.950000000000001</v>
      </c>
      <c r="AC117" s="39">
        <v>17</v>
      </c>
      <c r="AD117" s="191">
        <f>16+2+1.5</f>
        <v>19.5</v>
      </c>
      <c r="AE117" s="39">
        <v>21.6</v>
      </c>
      <c r="AF117" s="191">
        <f>18+1.6</f>
        <v>19.600000000000001</v>
      </c>
      <c r="AG117" s="39">
        <f>20.6-1.5-0.1</f>
        <v>19</v>
      </c>
      <c r="AH117" s="78">
        <f>18-1.95-1-0.27</f>
        <v>14.780000000000001</v>
      </c>
      <c r="AI117" s="39">
        <v>18.5</v>
      </c>
      <c r="AJ117" s="39">
        <v>15</v>
      </c>
      <c r="AK117" s="38">
        <v>15</v>
      </c>
      <c r="AL117" s="39">
        <v>15</v>
      </c>
      <c r="AM117" s="39">
        <v>27</v>
      </c>
      <c r="AN117" s="39">
        <v>18</v>
      </c>
      <c r="AO117" s="39">
        <v>15</v>
      </c>
      <c r="AP117" s="39">
        <v>15</v>
      </c>
      <c r="AQ117" s="39">
        <v>23.8</v>
      </c>
      <c r="AR117" s="39">
        <v>21.939999999999998</v>
      </c>
      <c r="AS117" s="39">
        <v>28.439999999999998</v>
      </c>
      <c r="AT117" s="39">
        <v>29.64</v>
      </c>
      <c r="AU117" s="791">
        <v>27.8</v>
      </c>
      <c r="AV117" s="791">
        <v>28.4</v>
      </c>
      <c r="AW117" s="764" t="s">
        <v>272</v>
      </c>
      <c r="AX117" s="579" t="s">
        <v>3</v>
      </c>
      <c r="AY117" s="54"/>
      <c r="AZ117" s="523"/>
      <c r="BA117" s="792">
        <v>30.23</v>
      </c>
      <c r="BB117" s="793">
        <f t="shared" ref="BB117:BB118" si="61">(BA117/$BA$120)*$BB$120</f>
        <v>22.912409803289265</v>
      </c>
      <c r="BC117" s="737">
        <f>BB117-BA117</f>
        <v>-7.3175901967107357</v>
      </c>
    </row>
    <row r="118" spans="1:60">
      <c r="A118" s="28"/>
      <c r="B118" s="646" t="s">
        <v>92</v>
      </c>
      <c r="C118" s="5" t="s">
        <v>246</v>
      </c>
      <c r="D118" s="647" t="s">
        <v>288</v>
      </c>
      <c r="E118" s="34"/>
      <c r="F118" s="96"/>
      <c r="G118" s="34"/>
      <c r="H118" s="34"/>
      <c r="I118" s="34"/>
      <c r="J118" s="34"/>
      <c r="K118" s="208"/>
      <c r="L118" s="34"/>
      <c r="M118" s="34"/>
      <c r="N118" s="34"/>
      <c r="O118" s="34"/>
      <c r="P118" s="34"/>
      <c r="Q118" s="34"/>
      <c r="R118" s="96"/>
      <c r="S118" s="96"/>
      <c r="T118" s="96"/>
      <c r="U118" s="34">
        <v>0.3</v>
      </c>
      <c r="V118" s="96">
        <v>0.6</v>
      </c>
      <c r="W118" s="34">
        <v>0.6</v>
      </c>
      <c r="X118" s="34">
        <v>0.6</v>
      </c>
      <c r="Y118" s="388">
        <v>0.25</v>
      </c>
      <c r="Z118" s="78">
        <v>0.4</v>
      </c>
      <c r="AA118" s="78">
        <v>0.5</v>
      </c>
      <c r="AB118" s="78">
        <v>0.5</v>
      </c>
      <c r="AC118" s="78">
        <v>0.4</v>
      </c>
      <c r="AD118" s="39">
        <f>0.4+0.15</f>
        <v>0.55000000000000004</v>
      </c>
      <c r="AE118" s="78">
        <f>0.5-0.05</f>
        <v>0.45</v>
      </c>
      <c r="AF118" s="191">
        <v>0.5</v>
      </c>
      <c r="AG118" s="39">
        <f>0.5+0.1+0.05</f>
        <v>0.65</v>
      </c>
      <c r="AH118" s="39">
        <v>0.5</v>
      </c>
      <c r="AI118" s="39">
        <v>0.6</v>
      </c>
      <c r="AJ118" s="39">
        <v>0.6</v>
      </c>
      <c r="AK118" s="359">
        <v>0.6</v>
      </c>
      <c r="AL118" s="53">
        <v>0.6</v>
      </c>
      <c r="AM118" s="53">
        <v>0.6</v>
      </c>
      <c r="AN118" s="53">
        <v>0.6</v>
      </c>
      <c r="AO118" s="53">
        <v>0.6</v>
      </c>
      <c r="AP118" s="53">
        <v>0.6</v>
      </c>
      <c r="AQ118" s="53">
        <v>0.6</v>
      </c>
      <c r="AR118" s="53">
        <v>0.6</v>
      </c>
      <c r="AS118" s="53">
        <v>0.6</v>
      </c>
      <c r="AT118" s="53">
        <v>0.6</v>
      </c>
      <c r="AU118" s="794">
        <v>0.6</v>
      </c>
      <c r="AV118" s="794">
        <v>0.6</v>
      </c>
      <c r="AW118" s="764" t="s">
        <v>272</v>
      </c>
      <c r="AX118" s="579" t="s">
        <v>3</v>
      </c>
      <c r="AY118" s="19"/>
      <c r="AZ118" s="523">
        <v>21.658999999999999</v>
      </c>
      <c r="BA118" s="792">
        <v>25.695</v>
      </c>
      <c r="BB118" s="793">
        <f t="shared" si="61"/>
        <v>19.475169364721062</v>
      </c>
      <c r="BC118" s="737">
        <f t="shared" ref="BC118" si="62">BB118-BA118</f>
        <v>-6.2198306352789388</v>
      </c>
    </row>
    <row r="119" spans="1:60">
      <c r="A119" s="28"/>
      <c r="B119" s="648" t="s">
        <v>92</v>
      </c>
      <c r="C119" s="649" t="s">
        <v>248</v>
      </c>
      <c r="D119" s="650" t="s">
        <v>250</v>
      </c>
      <c r="E119" s="52">
        <v>22</v>
      </c>
      <c r="F119" s="52">
        <v>22</v>
      </c>
      <c r="G119" s="52">
        <v>32</v>
      </c>
      <c r="H119" s="52">
        <v>32</v>
      </c>
      <c r="I119" s="200">
        <v>33.28</v>
      </c>
      <c r="J119" s="207">
        <v>33.6</v>
      </c>
      <c r="K119" s="207">
        <v>33.6</v>
      </c>
      <c r="L119" s="207">
        <v>33.6</v>
      </c>
      <c r="M119" s="207">
        <v>32</v>
      </c>
      <c r="N119" s="207">
        <v>32</v>
      </c>
      <c r="O119" s="277">
        <v>22</v>
      </c>
      <c r="P119" s="277">
        <v>20</v>
      </c>
      <c r="Q119" s="207">
        <v>20</v>
      </c>
      <c r="R119" s="277">
        <v>23</v>
      </c>
      <c r="S119" s="277">
        <v>27</v>
      </c>
      <c r="T119" s="277">
        <v>26</v>
      </c>
      <c r="U119" s="207">
        <v>26</v>
      </c>
      <c r="V119" s="207">
        <v>26</v>
      </c>
      <c r="W119" s="277">
        <v>25</v>
      </c>
      <c r="X119" s="277">
        <v>26</v>
      </c>
      <c r="Y119" s="364">
        <v>25</v>
      </c>
      <c r="Z119" s="277">
        <f>25-0.6</f>
        <v>24.4</v>
      </c>
      <c r="AA119" s="207">
        <v>26</v>
      </c>
      <c r="AB119" s="277">
        <v>23.5</v>
      </c>
      <c r="AC119" s="277">
        <v>22</v>
      </c>
      <c r="AD119" s="277">
        <f>13+0.5</f>
        <v>13.5</v>
      </c>
      <c r="AE119" s="207">
        <v>13</v>
      </c>
      <c r="AF119" s="207">
        <v>12</v>
      </c>
      <c r="AG119" s="207">
        <v>12</v>
      </c>
      <c r="AH119" s="207">
        <f>13</f>
        <v>13</v>
      </c>
      <c r="AI119" s="207">
        <v>13</v>
      </c>
      <c r="AJ119" s="207">
        <v>13</v>
      </c>
      <c r="AK119" s="361">
        <v>14</v>
      </c>
      <c r="AL119" s="191">
        <v>11</v>
      </c>
      <c r="AM119" s="191">
        <v>14</v>
      </c>
      <c r="AN119" s="191">
        <v>14</v>
      </c>
      <c r="AO119" s="191">
        <v>14</v>
      </c>
      <c r="AP119" s="191">
        <v>14</v>
      </c>
      <c r="AQ119" s="191">
        <v>15</v>
      </c>
      <c r="AR119" s="191">
        <v>15</v>
      </c>
      <c r="AS119" s="191">
        <v>15</v>
      </c>
      <c r="AT119" s="191">
        <v>15</v>
      </c>
      <c r="AU119" s="791">
        <v>15</v>
      </c>
      <c r="AV119" s="791">
        <v>15</v>
      </c>
      <c r="AW119" s="764" t="s">
        <v>272</v>
      </c>
      <c r="AX119" s="579" t="s">
        <v>3</v>
      </c>
      <c r="AY119" s="358">
        <f>SUM(Y119:AJ119)</f>
        <v>210.4</v>
      </c>
      <c r="AZ119" s="426"/>
      <c r="BA119" s="54"/>
      <c r="BB119" s="793"/>
    </row>
    <row r="120" spans="1:60">
      <c r="A120" s="28"/>
      <c r="B120" s="646" t="s">
        <v>92</v>
      </c>
      <c r="C120" s="651" t="s">
        <v>249</v>
      </c>
      <c r="D120" s="652" t="s">
        <v>250</v>
      </c>
      <c r="E120" s="53">
        <v>0</v>
      </c>
      <c r="F120" s="53">
        <v>14</v>
      </c>
      <c r="G120" s="53">
        <v>20</v>
      </c>
      <c r="H120" s="53">
        <v>14</v>
      </c>
      <c r="I120" s="201">
        <v>12.48</v>
      </c>
      <c r="J120" s="98">
        <v>12.6</v>
      </c>
      <c r="K120" s="98">
        <v>12.6</v>
      </c>
      <c r="L120" s="98">
        <v>12.6</v>
      </c>
      <c r="M120" s="98">
        <v>12</v>
      </c>
      <c r="N120" s="98">
        <v>12</v>
      </c>
      <c r="O120" s="94">
        <v>11</v>
      </c>
      <c r="P120" s="94">
        <v>10</v>
      </c>
      <c r="Q120" s="98">
        <v>11</v>
      </c>
      <c r="R120" s="94">
        <v>12</v>
      </c>
      <c r="S120" s="94">
        <v>12</v>
      </c>
      <c r="T120" s="94">
        <v>14</v>
      </c>
      <c r="U120" s="94">
        <v>15</v>
      </c>
      <c r="V120" s="98">
        <v>17</v>
      </c>
      <c r="W120" s="94">
        <v>16</v>
      </c>
      <c r="X120" s="94">
        <v>16</v>
      </c>
      <c r="Y120" s="94">
        <v>15</v>
      </c>
      <c r="Z120" s="94">
        <v>15</v>
      </c>
      <c r="AA120" s="98">
        <v>17</v>
      </c>
      <c r="AB120" s="94">
        <v>12.5</v>
      </c>
      <c r="AC120" s="94">
        <v>14</v>
      </c>
      <c r="AD120" s="94">
        <f>23-0.5</f>
        <v>22.5</v>
      </c>
      <c r="AE120" s="98">
        <v>24</v>
      </c>
      <c r="AF120" s="98">
        <v>24</v>
      </c>
      <c r="AG120" s="98">
        <v>24</v>
      </c>
      <c r="AH120" s="98">
        <v>24</v>
      </c>
      <c r="AI120" s="98">
        <v>25</v>
      </c>
      <c r="AJ120" s="98">
        <v>26</v>
      </c>
      <c r="AK120" s="361">
        <v>26</v>
      </c>
      <c r="AL120" s="191">
        <v>23</v>
      </c>
      <c r="AM120" s="191">
        <v>26</v>
      </c>
      <c r="AN120" s="191">
        <v>26</v>
      </c>
      <c r="AO120" s="191">
        <v>26</v>
      </c>
      <c r="AP120" s="191">
        <v>26</v>
      </c>
      <c r="AQ120" s="191">
        <v>27</v>
      </c>
      <c r="AR120" s="191">
        <v>27</v>
      </c>
      <c r="AS120" s="191">
        <v>27</v>
      </c>
      <c r="AT120" s="191">
        <v>27</v>
      </c>
      <c r="AU120" s="791">
        <v>27</v>
      </c>
      <c r="AV120" s="791">
        <v>27</v>
      </c>
      <c r="AW120" s="764" t="s">
        <v>272</v>
      </c>
      <c r="AX120" s="579" t="s">
        <v>3</v>
      </c>
      <c r="AY120" s="358">
        <f>SUM(Y120:AJ120)</f>
        <v>243</v>
      </c>
      <c r="AZ120" s="426"/>
      <c r="BA120" s="54">
        <f>SUM(BA116:BA118)</f>
        <v>77.525000000000006</v>
      </c>
      <c r="BB120" s="793">
        <f>SUM(AI105,AI110,AI111)</f>
        <v>58.759000000000007</v>
      </c>
      <c r="BC120" s="737"/>
    </row>
    <row r="121" spans="1:60">
      <c r="A121" s="28"/>
      <c r="B121" s="648" t="s">
        <v>92</v>
      </c>
      <c r="C121" s="6" t="s">
        <v>289</v>
      </c>
      <c r="D121" s="650" t="s">
        <v>250</v>
      </c>
      <c r="E121" s="52"/>
      <c r="F121" s="52"/>
      <c r="G121" s="52"/>
      <c r="H121" s="52"/>
      <c r="I121" s="52"/>
      <c r="J121" s="52"/>
      <c r="K121" s="52"/>
      <c r="L121" s="52"/>
      <c r="M121" s="52"/>
      <c r="N121" s="52"/>
      <c r="O121" s="52"/>
      <c r="P121" s="52"/>
      <c r="Q121" s="52"/>
      <c r="R121" s="52"/>
      <c r="S121" s="207"/>
      <c r="T121" s="52"/>
      <c r="U121" s="52"/>
      <c r="V121" s="52"/>
      <c r="W121" s="52"/>
      <c r="X121" s="392"/>
      <c r="Y121" s="363"/>
      <c r="Z121" s="52"/>
      <c r="AA121" s="52"/>
      <c r="AB121" s="52"/>
      <c r="AC121" s="52"/>
      <c r="AD121" s="52"/>
      <c r="AE121" s="52"/>
      <c r="AF121" s="52"/>
      <c r="AG121" s="52"/>
      <c r="AH121" s="52"/>
      <c r="AI121" s="52"/>
      <c r="AJ121" s="52"/>
      <c r="AK121" s="363"/>
      <c r="AL121" s="52"/>
      <c r="AM121" s="52"/>
      <c r="AN121" s="52"/>
      <c r="AO121" s="52"/>
      <c r="AP121" s="52"/>
      <c r="AQ121" s="52"/>
      <c r="AR121" s="52"/>
      <c r="AS121" s="52"/>
      <c r="AT121" s="52"/>
      <c r="AU121" s="52"/>
      <c r="AV121" s="52"/>
      <c r="AW121" s="764" t="s">
        <v>272</v>
      </c>
      <c r="AX121" s="579" t="s">
        <v>3</v>
      </c>
      <c r="AY121" s="19"/>
      <c r="AZ121" s="19"/>
      <c r="BA121" s="19"/>
      <c r="BB121" s="19"/>
      <c r="BE121" s="737"/>
      <c r="BF121" t="s">
        <v>290</v>
      </c>
    </row>
    <row r="122" spans="1:60">
      <c r="A122" s="28"/>
      <c r="B122" s="646" t="s">
        <v>92</v>
      </c>
      <c r="C122" s="7" t="s">
        <v>289</v>
      </c>
      <c r="D122" s="647" t="s">
        <v>287</v>
      </c>
      <c r="E122" s="53"/>
      <c r="F122" s="53"/>
      <c r="G122" s="94"/>
      <c r="H122" s="53"/>
      <c r="I122" s="53"/>
      <c r="J122" s="53"/>
      <c r="K122" s="53"/>
      <c r="L122" s="53"/>
      <c r="M122" s="53"/>
      <c r="N122" s="53"/>
      <c r="O122" s="53"/>
      <c r="P122" s="53"/>
      <c r="Q122" s="53"/>
      <c r="R122" s="53"/>
      <c r="S122" s="53"/>
      <c r="T122" s="53"/>
      <c r="U122" s="53"/>
      <c r="V122" s="53"/>
      <c r="W122" s="53"/>
      <c r="X122" s="53">
        <v>0</v>
      </c>
      <c r="Y122" s="359">
        <v>0</v>
      </c>
      <c r="Z122" s="53"/>
      <c r="AA122" s="53"/>
      <c r="AB122" s="53">
        <v>0</v>
      </c>
      <c r="AC122" s="53">
        <v>0</v>
      </c>
      <c r="AD122" s="53">
        <v>0</v>
      </c>
      <c r="AE122" s="53">
        <v>0</v>
      </c>
      <c r="AF122" s="53">
        <v>0</v>
      </c>
      <c r="AG122" s="53"/>
      <c r="AH122" s="53">
        <v>0</v>
      </c>
      <c r="AI122" s="53">
        <v>0</v>
      </c>
      <c r="AJ122" s="53">
        <v>0</v>
      </c>
      <c r="AK122" s="359">
        <v>0</v>
      </c>
      <c r="AL122" s="53">
        <v>0</v>
      </c>
      <c r="AM122" s="53">
        <v>0</v>
      </c>
      <c r="AN122" s="53">
        <v>0</v>
      </c>
      <c r="AO122" s="53">
        <v>0</v>
      </c>
      <c r="AP122" s="53">
        <v>0</v>
      </c>
      <c r="AQ122" s="53">
        <v>0</v>
      </c>
      <c r="AR122" s="53">
        <v>0</v>
      </c>
      <c r="AS122" s="53">
        <v>0</v>
      </c>
      <c r="AT122" s="53">
        <v>0</v>
      </c>
      <c r="AU122" s="53">
        <v>0</v>
      </c>
      <c r="AV122" s="53">
        <v>0</v>
      </c>
      <c r="AW122" s="764" t="s">
        <v>272</v>
      </c>
      <c r="AX122" s="579" t="s">
        <v>3</v>
      </c>
      <c r="AY122" s="64"/>
      <c r="AZ122" s="19"/>
      <c r="BA122" s="19">
        <v>21.6</v>
      </c>
      <c r="BB122" s="796">
        <f>(BA116/$BA$120)*$BA$126</f>
        <v>19.929674298613349</v>
      </c>
      <c r="BC122" s="737">
        <f>BB122-BA116</f>
        <v>-1.6703257013866519</v>
      </c>
      <c r="BF122" s="797">
        <v>19</v>
      </c>
      <c r="BG122" s="737">
        <f>BF122-BA122</f>
        <v>-2.6000000000000014</v>
      </c>
    </row>
    <row r="123" spans="1:60">
      <c r="A123" s="28"/>
      <c r="B123" s="648" t="s">
        <v>92</v>
      </c>
      <c r="C123" s="8" t="s">
        <v>291</v>
      </c>
      <c r="D123" s="650" t="s">
        <v>250</v>
      </c>
      <c r="E123" s="34"/>
      <c r="F123" s="34"/>
      <c r="G123" s="34"/>
      <c r="H123" s="34"/>
      <c r="I123" s="34"/>
      <c r="J123" s="34"/>
      <c r="K123" s="34"/>
      <c r="L123" s="34"/>
      <c r="M123" s="34"/>
      <c r="N123" s="34"/>
      <c r="O123" s="34"/>
      <c r="P123" s="34"/>
      <c r="Q123" s="34"/>
      <c r="R123" s="34"/>
      <c r="S123" s="34"/>
      <c r="T123" s="34"/>
      <c r="U123" s="34"/>
      <c r="V123" s="34"/>
      <c r="W123" s="34"/>
      <c r="X123" s="34"/>
      <c r="Y123" s="38"/>
      <c r="Z123" s="39"/>
      <c r="AA123" s="39"/>
      <c r="AB123" s="39"/>
      <c r="AC123" s="39"/>
      <c r="AD123" s="39"/>
      <c r="AE123" s="39"/>
      <c r="AF123" s="39"/>
      <c r="AG123" s="39"/>
      <c r="AH123" s="39"/>
      <c r="AI123" s="39"/>
      <c r="AJ123" s="39"/>
      <c r="AK123" s="363"/>
      <c r="AL123" s="52"/>
      <c r="AM123" s="52"/>
      <c r="AN123" s="52"/>
      <c r="AO123" s="52"/>
      <c r="AP123" s="52"/>
      <c r="AQ123" s="52"/>
      <c r="AR123" s="52"/>
      <c r="AS123" s="52"/>
      <c r="AT123" s="52"/>
      <c r="AU123" s="52"/>
      <c r="AV123" s="52"/>
      <c r="AW123" s="764" t="s">
        <v>272</v>
      </c>
      <c r="AX123" s="579" t="s">
        <v>3</v>
      </c>
      <c r="AY123" s="19"/>
      <c r="AZ123" s="19"/>
      <c r="BA123" s="19">
        <v>31.28</v>
      </c>
      <c r="BB123" s="796">
        <f>(BA117/$BA$120)*$BA$126</f>
        <v>27.892317316994518</v>
      </c>
      <c r="BC123" s="737">
        <f>BB123-BA123</f>
        <v>-3.3876826830054831</v>
      </c>
      <c r="BE123" s="737"/>
      <c r="BF123" s="797">
        <v>28.83</v>
      </c>
      <c r="BG123" s="737">
        <f>BF123-BA123</f>
        <v>-2.4500000000000028</v>
      </c>
    </row>
    <row r="124" spans="1:60">
      <c r="A124" s="28"/>
      <c r="B124" s="637" t="s">
        <v>92</v>
      </c>
      <c r="C124" s="367" t="s">
        <v>291</v>
      </c>
      <c r="D124" s="653" t="s">
        <v>287</v>
      </c>
      <c r="E124" s="34"/>
      <c r="F124" s="34"/>
      <c r="G124" s="34"/>
      <c r="H124" s="34"/>
      <c r="I124" s="34"/>
      <c r="J124" s="34"/>
      <c r="K124" s="34"/>
      <c r="L124" s="34"/>
      <c r="M124" s="34"/>
      <c r="N124" s="34"/>
      <c r="O124" s="34"/>
      <c r="P124" s="34"/>
      <c r="Q124" s="34"/>
      <c r="R124" s="34"/>
      <c r="S124" s="34"/>
      <c r="T124" s="34"/>
      <c r="U124" s="34"/>
      <c r="V124" s="34"/>
      <c r="W124" s="34"/>
      <c r="X124" s="34"/>
      <c r="Y124" s="38"/>
      <c r="Z124" s="39"/>
      <c r="AA124" s="39"/>
      <c r="AB124" s="39"/>
      <c r="AC124" s="39"/>
      <c r="AD124" s="39"/>
      <c r="AE124" s="39"/>
      <c r="AF124" s="39"/>
      <c r="AG124" s="39"/>
      <c r="AH124" s="39"/>
      <c r="AI124" s="39"/>
      <c r="AJ124" s="39"/>
      <c r="AK124" s="359"/>
      <c r="AL124" s="53"/>
      <c r="AM124" s="53"/>
      <c r="AN124" s="53"/>
      <c r="AO124" s="53"/>
      <c r="AP124" s="53"/>
      <c r="AQ124" s="53"/>
      <c r="AR124" s="53"/>
      <c r="AS124" s="53"/>
      <c r="AT124" s="53"/>
      <c r="AU124" s="53"/>
      <c r="AV124" s="53"/>
      <c r="AW124" s="764" t="s">
        <v>272</v>
      </c>
      <c r="AX124" s="579" t="s">
        <v>3</v>
      </c>
      <c r="AY124" s="19"/>
      <c r="AZ124" s="19"/>
      <c r="BA124" s="19">
        <f>21.65-3</f>
        <v>18.649999999999999</v>
      </c>
      <c r="BB124" s="796">
        <f t="shared" ref="BB124" si="63">(BA118/$BA$120)*$BA$126</f>
        <v>23.708008384392134</v>
      </c>
      <c r="BC124" s="737">
        <f>BB124-AZ118</f>
        <v>2.0490083843921347</v>
      </c>
      <c r="BD124" s="737">
        <f>BB124-AZ118</f>
        <v>2.0490083843921347</v>
      </c>
      <c r="BF124" s="797">
        <v>23.7</v>
      </c>
      <c r="BG124" s="737">
        <f>BF124-AZ118</f>
        <v>2.0410000000000004</v>
      </c>
      <c r="BH124" s="737">
        <f>BF124-AZ118</f>
        <v>2.0410000000000004</v>
      </c>
    </row>
    <row r="125" spans="1:60">
      <c r="A125" s="28"/>
      <c r="B125" s="648" t="s">
        <v>92</v>
      </c>
      <c r="C125" s="9" t="s">
        <v>292</v>
      </c>
      <c r="D125" s="650" t="s">
        <v>250</v>
      </c>
      <c r="E125" s="52"/>
      <c r="F125" s="52"/>
      <c r="G125" s="52"/>
      <c r="H125" s="52"/>
      <c r="I125" s="52"/>
      <c r="J125" s="52"/>
      <c r="K125" s="52"/>
      <c r="L125" s="52"/>
      <c r="M125" s="52"/>
      <c r="N125" s="52"/>
      <c r="O125" s="52"/>
      <c r="P125" s="52"/>
      <c r="Q125" s="52"/>
      <c r="R125" s="52"/>
      <c r="S125" s="52"/>
      <c r="T125" s="52"/>
      <c r="U125" s="52"/>
      <c r="V125" s="52"/>
      <c r="W125" s="52"/>
      <c r="X125" s="52"/>
      <c r="Y125" s="363"/>
      <c r="Z125" s="52"/>
      <c r="AA125" s="52"/>
      <c r="AB125" s="52"/>
      <c r="AC125" s="52"/>
      <c r="AD125" s="52"/>
      <c r="AE125" s="52"/>
      <c r="AF125" s="52"/>
      <c r="AG125" s="52"/>
      <c r="AH125" s="52"/>
      <c r="AI125" s="52"/>
      <c r="AJ125" s="52"/>
      <c r="AK125" s="38"/>
      <c r="AL125" s="39"/>
      <c r="AM125" s="39"/>
      <c r="AN125" s="39"/>
      <c r="AO125" s="39"/>
      <c r="AP125" s="39"/>
      <c r="AQ125" s="39"/>
      <c r="AR125" s="39"/>
      <c r="AS125" s="39"/>
      <c r="AT125" s="39"/>
      <c r="AU125" s="39"/>
      <c r="AV125" s="39"/>
      <c r="AW125" s="764" t="s">
        <v>272</v>
      </c>
      <c r="AX125" s="579" t="s">
        <v>3</v>
      </c>
      <c r="AY125" s="19"/>
      <c r="AZ125" s="19"/>
      <c r="BA125" s="19"/>
      <c r="BB125" s="796"/>
      <c r="BD125" t="s">
        <v>293</v>
      </c>
      <c r="BF125" s="797"/>
    </row>
    <row r="126" spans="1:60">
      <c r="A126" s="28"/>
      <c r="B126" s="637" t="s">
        <v>92</v>
      </c>
      <c r="C126" s="282" t="s">
        <v>292</v>
      </c>
      <c r="D126" s="653" t="s">
        <v>287</v>
      </c>
      <c r="E126" s="53"/>
      <c r="F126" s="53"/>
      <c r="G126" s="53"/>
      <c r="H126" s="53"/>
      <c r="I126" s="53"/>
      <c r="J126" s="53"/>
      <c r="K126" s="53"/>
      <c r="L126" s="53"/>
      <c r="M126" s="53"/>
      <c r="N126" s="53"/>
      <c r="O126" s="53"/>
      <c r="P126" s="53"/>
      <c r="Q126" s="53"/>
      <c r="R126" s="53">
        <v>1.8</v>
      </c>
      <c r="S126" s="53">
        <v>0.40000000000000013</v>
      </c>
      <c r="T126" s="53">
        <v>1.8</v>
      </c>
      <c r="U126" s="94">
        <v>2.4</v>
      </c>
      <c r="V126" s="53">
        <v>2.6</v>
      </c>
      <c r="W126" s="53">
        <v>3.6</v>
      </c>
      <c r="X126" s="53">
        <v>3.6</v>
      </c>
      <c r="Y126" s="359"/>
      <c r="Z126" s="53">
        <v>4.2</v>
      </c>
      <c r="AA126" s="94">
        <v>3</v>
      </c>
      <c r="AB126" s="53">
        <v>3</v>
      </c>
      <c r="AC126" s="94">
        <v>2.4</v>
      </c>
      <c r="AD126" s="53">
        <v>3</v>
      </c>
      <c r="AE126" s="53">
        <v>3</v>
      </c>
      <c r="AF126" s="53">
        <v>3</v>
      </c>
      <c r="AG126" s="53">
        <v>3.6</v>
      </c>
      <c r="AH126" s="53">
        <v>3</v>
      </c>
      <c r="AI126" s="53">
        <v>3</v>
      </c>
      <c r="AJ126" s="53">
        <v>3</v>
      </c>
      <c r="AK126" s="38">
        <v>3</v>
      </c>
      <c r="AL126" s="39">
        <v>3</v>
      </c>
      <c r="AM126" s="39">
        <v>3</v>
      </c>
      <c r="AN126" s="39">
        <v>3</v>
      </c>
      <c r="AO126" s="39">
        <v>3</v>
      </c>
      <c r="AP126" s="39">
        <v>3</v>
      </c>
      <c r="AQ126" s="39">
        <v>3</v>
      </c>
      <c r="AR126" s="39">
        <v>3</v>
      </c>
      <c r="AS126" s="39">
        <v>3</v>
      </c>
      <c r="AT126" s="39">
        <v>3</v>
      </c>
      <c r="AU126" s="39">
        <v>3</v>
      </c>
      <c r="AV126" s="39">
        <v>3</v>
      </c>
      <c r="AW126" s="764" t="s">
        <v>272</v>
      </c>
      <c r="AX126" s="579" t="s">
        <v>3</v>
      </c>
      <c r="AY126" s="19"/>
      <c r="AZ126" s="19"/>
      <c r="BA126" s="54">
        <f>SUM(BA122:BA124)</f>
        <v>71.53</v>
      </c>
      <c r="BB126" s="796">
        <f>SUM(BB122:BB124)</f>
        <v>71.53</v>
      </c>
      <c r="BC126" s="737">
        <f>BB126-BA126</f>
        <v>0</v>
      </c>
      <c r="BD126" t="s">
        <v>294</v>
      </c>
      <c r="BF126" s="797">
        <f>SUM(BF122:BF124)</f>
        <v>71.53</v>
      </c>
    </row>
    <row r="127" spans="1:60">
      <c r="A127" s="28"/>
      <c r="B127" s="646" t="s">
        <v>92</v>
      </c>
      <c r="C127" s="10" t="s">
        <v>292</v>
      </c>
      <c r="D127" s="647" t="s">
        <v>288</v>
      </c>
      <c r="E127" s="39"/>
      <c r="F127" s="39"/>
      <c r="G127" s="39"/>
      <c r="H127" s="39"/>
      <c r="I127" s="39"/>
      <c r="J127" s="39"/>
      <c r="K127" s="39"/>
      <c r="L127" s="39"/>
      <c r="M127" s="39"/>
      <c r="N127" s="39"/>
      <c r="O127" s="39"/>
      <c r="P127" s="39"/>
      <c r="Q127" s="39"/>
      <c r="R127" s="39"/>
      <c r="S127" s="39"/>
      <c r="T127" s="39"/>
      <c r="U127" s="78"/>
      <c r="V127" s="39"/>
      <c r="W127" s="39">
        <v>0.6</v>
      </c>
      <c r="X127" s="39">
        <v>0.6</v>
      </c>
      <c r="Y127" s="38"/>
      <c r="Z127" s="39">
        <v>0.8</v>
      </c>
      <c r="AA127" s="78">
        <v>1.2</v>
      </c>
      <c r="AB127" s="39">
        <v>1.2</v>
      </c>
      <c r="AC127" s="78">
        <v>1.2</v>
      </c>
      <c r="AD127" s="39">
        <v>1.2</v>
      </c>
      <c r="AE127" s="39">
        <v>1.2</v>
      </c>
      <c r="AF127" s="39">
        <v>1.2</v>
      </c>
      <c r="AG127" s="39">
        <v>1.2</v>
      </c>
      <c r="AH127" s="39">
        <v>1.2</v>
      </c>
      <c r="AI127" s="39">
        <v>1.2</v>
      </c>
      <c r="AJ127" s="39">
        <v>1.2</v>
      </c>
      <c r="AK127" s="363">
        <v>1.2</v>
      </c>
      <c r="AL127" s="52">
        <v>1.2</v>
      </c>
      <c r="AM127" s="52">
        <v>1.2</v>
      </c>
      <c r="AN127" s="52">
        <v>1.2</v>
      </c>
      <c r="AO127" s="52">
        <v>1.2</v>
      </c>
      <c r="AP127" s="52">
        <v>1.2</v>
      </c>
      <c r="AQ127" s="52">
        <v>1.2</v>
      </c>
      <c r="AR127" s="52">
        <v>1.2</v>
      </c>
      <c r="AS127" s="52">
        <v>1.2</v>
      </c>
      <c r="AT127" s="52">
        <v>1.2</v>
      </c>
      <c r="AU127" s="52">
        <v>1.2</v>
      </c>
      <c r="AV127" s="52">
        <v>1.2</v>
      </c>
      <c r="AW127" s="764" t="s">
        <v>272</v>
      </c>
      <c r="AX127" s="579" t="s">
        <v>3</v>
      </c>
      <c r="AY127" s="19"/>
      <c r="AZ127" s="19"/>
      <c r="BB127" s="737">
        <f>BB126-BB120</f>
        <v>12.770999999999994</v>
      </c>
      <c r="BF127" s="737">
        <f>BF126-BB126</f>
        <v>0</v>
      </c>
    </row>
    <row r="128" spans="1:60">
      <c r="A128" s="28"/>
      <c r="B128" s="637" t="s">
        <v>92</v>
      </c>
      <c r="C128" s="11" t="s">
        <v>295</v>
      </c>
      <c r="D128" s="644" t="s">
        <v>250</v>
      </c>
      <c r="E128" s="34"/>
      <c r="F128" s="34"/>
      <c r="G128" s="34"/>
      <c r="H128" s="34"/>
      <c r="I128" s="34"/>
      <c r="J128" s="34"/>
      <c r="K128" s="34"/>
      <c r="L128" s="34"/>
      <c r="M128" s="34"/>
      <c r="N128" s="34"/>
      <c r="O128" s="34"/>
      <c r="P128" s="34"/>
      <c r="Q128" s="34"/>
      <c r="R128" s="34"/>
      <c r="S128" s="34"/>
      <c r="T128" s="34"/>
      <c r="U128" s="34"/>
      <c r="V128" s="34"/>
      <c r="W128" s="34"/>
      <c r="X128" s="34"/>
      <c r="Y128" s="38"/>
      <c r="Z128" s="39"/>
      <c r="AA128" s="39"/>
      <c r="AB128" s="39"/>
      <c r="AC128" s="39"/>
      <c r="AD128" s="39"/>
      <c r="AE128" s="39"/>
      <c r="AF128" s="39"/>
      <c r="AG128" s="39"/>
      <c r="AH128" s="39"/>
      <c r="AI128" s="39"/>
      <c r="AJ128" s="39"/>
      <c r="AK128" s="38"/>
      <c r="AL128" s="39"/>
      <c r="AM128" s="39"/>
      <c r="AN128" s="39"/>
      <c r="AO128" s="39"/>
      <c r="AP128" s="39"/>
      <c r="AQ128" s="39"/>
      <c r="AR128" s="39"/>
      <c r="AS128" s="39"/>
      <c r="AT128" s="39"/>
      <c r="AU128" s="39"/>
      <c r="AV128" s="39"/>
      <c r="AW128" s="764" t="s">
        <v>272</v>
      </c>
      <c r="AX128" s="579" t="s">
        <v>3</v>
      </c>
      <c r="AY128" s="19"/>
      <c r="AZ128" s="19"/>
    </row>
    <row r="129" spans="1:57">
      <c r="A129" s="28"/>
      <c r="B129" s="637" t="s">
        <v>92</v>
      </c>
      <c r="C129" s="11" t="s">
        <v>295</v>
      </c>
      <c r="D129" s="653" t="s">
        <v>287</v>
      </c>
      <c r="E129" s="34"/>
      <c r="F129" s="34"/>
      <c r="G129" s="34"/>
      <c r="H129" s="34"/>
      <c r="I129" s="34"/>
      <c r="J129" s="34"/>
      <c r="K129" s="34"/>
      <c r="L129" s="34"/>
      <c r="M129" s="34">
        <f>0.22+0.83</f>
        <v>1.05</v>
      </c>
      <c r="N129" s="34">
        <v>0.82000000000000206</v>
      </c>
      <c r="O129" s="96">
        <v>6.43</v>
      </c>
      <c r="P129" s="96">
        <v>7.3999999999999995</v>
      </c>
      <c r="Q129" s="34">
        <v>5.15</v>
      </c>
      <c r="R129" s="96">
        <v>11.98</v>
      </c>
      <c r="S129" s="96">
        <v>11.4</v>
      </c>
      <c r="T129" s="96">
        <v>13.8</v>
      </c>
      <c r="U129" s="34">
        <v>13.8</v>
      </c>
      <c r="V129" s="96">
        <v>17.5</v>
      </c>
      <c r="W129" s="96">
        <f>3.4-2</f>
        <v>1.4</v>
      </c>
      <c r="X129" s="96">
        <f>0.4+3-1.2+0.6+0.7-0.6</f>
        <v>2.9</v>
      </c>
      <c r="Y129" s="388">
        <v>2.8</v>
      </c>
      <c r="Z129" s="78">
        <f>4.52+0.6+0.6</f>
        <v>5.7199999999999989</v>
      </c>
      <c r="AA129" s="78">
        <f>9.17+1.5</f>
        <v>10.67</v>
      </c>
      <c r="AB129" s="78">
        <v>6.42</v>
      </c>
      <c r="AC129" s="78">
        <v>7.52</v>
      </c>
      <c r="AD129" s="191">
        <f>6.42+1.2+1.5+1.5+0.81+0.11+0.5</f>
        <v>12.040000000000001</v>
      </c>
      <c r="AE129" s="78">
        <f>10.88+0.72</f>
        <v>11.600000000000001</v>
      </c>
      <c r="AF129" s="78">
        <f>10.28-3-1</f>
        <v>6.2799999999999994</v>
      </c>
      <c r="AG129" s="39">
        <f>9.4+0.6-1</f>
        <v>9</v>
      </c>
      <c r="AH129" s="78">
        <f>7.8+0.4+0.8</f>
        <v>9</v>
      </c>
      <c r="AI129" s="39">
        <v>8.4</v>
      </c>
      <c r="AJ129" s="39">
        <v>10.4</v>
      </c>
      <c r="AK129" s="38">
        <v>10.88</v>
      </c>
      <c r="AL129" s="39">
        <v>10.88</v>
      </c>
      <c r="AM129" s="39">
        <v>10.88</v>
      </c>
      <c r="AN129" s="39">
        <v>10.88</v>
      </c>
      <c r="AO129" s="39">
        <v>10.88</v>
      </c>
      <c r="AP129" s="39">
        <v>10.88</v>
      </c>
      <c r="AQ129" s="39">
        <v>10.88</v>
      </c>
      <c r="AR129" s="39">
        <v>10.88</v>
      </c>
      <c r="AS129" s="39">
        <v>10.88</v>
      </c>
      <c r="AT129" s="39">
        <v>10.88</v>
      </c>
      <c r="AU129" s="39">
        <v>10.88</v>
      </c>
      <c r="AV129" s="39">
        <v>10.88</v>
      </c>
      <c r="AW129" s="764" t="s">
        <v>272</v>
      </c>
      <c r="AX129" s="579" t="s">
        <v>3</v>
      </c>
      <c r="AY129" s="19"/>
      <c r="AZ129" s="19"/>
    </row>
    <row r="130" spans="1:57">
      <c r="A130" s="28"/>
      <c r="B130" s="642" t="s">
        <v>92</v>
      </c>
      <c r="C130" s="371" t="s">
        <v>296</v>
      </c>
      <c r="D130" s="654" t="s">
        <v>287</v>
      </c>
      <c r="E130" s="34"/>
      <c r="F130" s="34"/>
      <c r="G130" s="34"/>
      <c r="H130" s="34"/>
      <c r="I130" s="34"/>
      <c r="J130" s="34"/>
      <c r="K130" s="34"/>
      <c r="L130" s="34"/>
      <c r="M130" s="34"/>
      <c r="N130" s="34"/>
      <c r="O130" s="96"/>
      <c r="P130" s="96"/>
      <c r="Q130" s="34"/>
      <c r="R130" s="96"/>
      <c r="S130" s="96"/>
      <c r="T130" s="96"/>
      <c r="U130" s="34"/>
      <c r="V130" s="34"/>
      <c r="W130" s="34"/>
      <c r="X130" s="34"/>
      <c r="Y130" s="38"/>
      <c r="Z130" s="39"/>
      <c r="AA130" s="39"/>
      <c r="AB130" s="39"/>
      <c r="AC130" s="39"/>
      <c r="AD130" s="39"/>
      <c r="AE130" s="39"/>
      <c r="AF130" s="39"/>
      <c r="AG130" s="39"/>
      <c r="AH130" s="39"/>
      <c r="AI130" s="39"/>
      <c r="AJ130" s="39"/>
      <c r="AK130" s="359"/>
      <c r="AL130" s="53"/>
      <c r="AM130" s="53"/>
      <c r="AN130" s="53"/>
      <c r="AO130" s="53"/>
      <c r="AP130" s="53"/>
      <c r="AQ130" s="53"/>
      <c r="AR130" s="53"/>
      <c r="AS130" s="53"/>
      <c r="AT130" s="53"/>
      <c r="AU130" s="53"/>
      <c r="AV130" s="53"/>
      <c r="AW130" s="764" t="s">
        <v>272</v>
      </c>
      <c r="AX130" s="579" t="s">
        <v>3</v>
      </c>
      <c r="AY130" s="19"/>
      <c r="AZ130" s="19"/>
      <c r="BD130">
        <v>456</v>
      </c>
      <c r="BE130">
        <f>BD130*1</f>
        <v>456</v>
      </c>
    </row>
    <row r="131" spans="1:57">
      <c r="A131" s="28"/>
      <c r="B131" s="648" t="s">
        <v>92</v>
      </c>
      <c r="C131" s="12" t="s">
        <v>228</v>
      </c>
      <c r="D131" s="650" t="s">
        <v>250</v>
      </c>
      <c r="E131" s="52"/>
      <c r="F131" s="52"/>
      <c r="G131" s="52"/>
      <c r="H131" s="52"/>
      <c r="I131" s="52"/>
      <c r="J131" s="52"/>
      <c r="K131" s="52"/>
      <c r="L131" s="52"/>
      <c r="M131" s="52"/>
      <c r="N131" s="52"/>
      <c r="O131" s="52"/>
      <c r="P131" s="52"/>
      <c r="Q131" s="52"/>
      <c r="R131" s="52"/>
      <c r="S131" s="52"/>
      <c r="T131" s="52"/>
      <c r="U131" s="52"/>
      <c r="V131" s="52"/>
      <c r="W131" s="52"/>
      <c r="X131" s="52"/>
      <c r="Y131" s="363"/>
      <c r="Z131" s="52"/>
      <c r="AA131" s="52"/>
      <c r="AB131" s="52"/>
      <c r="AC131" s="52"/>
      <c r="AD131" s="52"/>
      <c r="AE131" s="52"/>
      <c r="AF131" s="52"/>
      <c r="AG131" s="52"/>
      <c r="AH131" s="52"/>
      <c r="AI131" s="52"/>
      <c r="AJ131" s="52"/>
      <c r="AK131" s="38"/>
      <c r="AL131" s="39"/>
      <c r="AM131" s="39"/>
      <c r="AN131" s="39"/>
      <c r="AO131" s="39"/>
      <c r="AP131" s="39"/>
      <c r="AQ131" s="39"/>
      <c r="AR131" s="39"/>
      <c r="AS131" s="39"/>
      <c r="AT131" s="39"/>
      <c r="AU131" s="39"/>
      <c r="AV131" s="39"/>
      <c r="AW131" s="764" t="s">
        <v>272</v>
      </c>
      <c r="AX131" s="579" t="s">
        <v>3</v>
      </c>
      <c r="AY131" s="19"/>
      <c r="AZ131" s="19"/>
      <c r="BD131">
        <v>52</v>
      </c>
      <c r="BE131">
        <f>((BD131*1)+(BD132*3))/4</f>
        <v>361</v>
      </c>
    </row>
    <row r="132" spans="1:57">
      <c r="A132" s="28"/>
      <c r="B132" s="646" t="s">
        <v>92</v>
      </c>
      <c r="C132" s="13" t="s">
        <v>228</v>
      </c>
      <c r="D132" s="647" t="s">
        <v>287</v>
      </c>
      <c r="E132" s="53"/>
      <c r="F132" s="53"/>
      <c r="G132" s="53"/>
      <c r="H132" s="53"/>
      <c r="I132" s="53"/>
      <c r="J132" s="199">
        <v>1.2</v>
      </c>
      <c r="K132" s="98">
        <v>3.4</v>
      </c>
      <c r="L132" s="98">
        <v>3.1</v>
      </c>
      <c r="M132" s="98">
        <v>1.2</v>
      </c>
      <c r="N132" s="53"/>
      <c r="O132" s="53"/>
      <c r="P132" s="53"/>
      <c r="Q132" s="53"/>
      <c r="R132" s="53"/>
      <c r="S132" s="53"/>
      <c r="T132" s="53"/>
      <c r="U132" s="53"/>
      <c r="V132" s="94">
        <v>1.2</v>
      </c>
      <c r="W132" s="53"/>
      <c r="X132" s="53"/>
      <c r="Y132" s="359"/>
      <c r="Z132" s="53"/>
      <c r="AA132" s="53"/>
      <c r="AB132" s="53"/>
      <c r="AC132" s="53"/>
      <c r="AD132" s="53"/>
      <c r="AE132" s="798">
        <v>0.6</v>
      </c>
      <c r="AF132" s="798">
        <f>1.2+0.65</f>
        <v>1.85</v>
      </c>
      <c r="AG132" s="53">
        <v>0</v>
      </c>
      <c r="AH132" s="53">
        <v>0</v>
      </c>
      <c r="AI132" s="53">
        <v>0</v>
      </c>
      <c r="AJ132" s="53"/>
      <c r="AK132" s="38"/>
      <c r="AL132" s="39">
        <v>0</v>
      </c>
      <c r="AM132" s="39">
        <v>0</v>
      </c>
      <c r="AN132" s="39">
        <v>0</v>
      </c>
      <c r="AO132" s="39">
        <v>0</v>
      </c>
      <c r="AP132" s="39">
        <v>0</v>
      </c>
      <c r="AQ132" s="39">
        <v>0</v>
      </c>
      <c r="AR132" s="39">
        <v>0</v>
      </c>
      <c r="AS132" s="39">
        <v>0</v>
      </c>
      <c r="AT132" s="39">
        <v>0</v>
      </c>
      <c r="AU132" s="39">
        <v>0</v>
      </c>
      <c r="AV132" s="39">
        <v>0</v>
      </c>
      <c r="AW132" s="764" t="s">
        <v>272</v>
      </c>
      <c r="AX132" s="579" t="s">
        <v>3</v>
      </c>
      <c r="AY132" s="19"/>
      <c r="AZ132" s="19"/>
      <c r="BD132">
        <v>464</v>
      </c>
    </row>
    <row r="133" spans="1:57">
      <c r="A133" s="28"/>
      <c r="B133" s="648" t="s">
        <v>92</v>
      </c>
      <c r="C133" s="12" t="s">
        <v>297</v>
      </c>
      <c r="D133" s="650" t="s">
        <v>250</v>
      </c>
      <c r="E133" s="34"/>
      <c r="F133" s="34"/>
      <c r="G133" s="34"/>
      <c r="H133" s="34"/>
      <c r="I133" s="34"/>
      <c r="J133" s="34"/>
      <c r="K133" s="34"/>
      <c r="L133" s="34"/>
      <c r="M133" s="34"/>
      <c r="N133" s="34"/>
      <c r="O133" s="34"/>
      <c r="P133" s="34"/>
      <c r="Q133" s="34"/>
      <c r="R133" s="34"/>
      <c r="S133" s="34"/>
      <c r="T133" s="34"/>
      <c r="U133" s="34"/>
      <c r="V133" s="34"/>
      <c r="W133" s="34"/>
      <c r="X133" s="34"/>
      <c r="Y133" s="38"/>
      <c r="Z133" s="39"/>
      <c r="AA133" s="39"/>
      <c r="AB133" s="39"/>
      <c r="AC133" s="39"/>
      <c r="AD133" s="39"/>
      <c r="AE133" s="39"/>
      <c r="AF133" s="39"/>
      <c r="AG133" s="39"/>
      <c r="AH133" s="39"/>
      <c r="AI133" s="39"/>
      <c r="AJ133" s="39"/>
      <c r="AK133" s="363"/>
      <c r="AL133" s="52"/>
      <c r="AM133" s="52"/>
      <c r="AN133" s="52"/>
      <c r="AO133" s="52"/>
      <c r="AP133" s="52"/>
      <c r="AQ133" s="52"/>
      <c r="AR133" s="52"/>
      <c r="AS133" s="52"/>
      <c r="AT133" s="52"/>
      <c r="AU133" s="52"/>
      <c r="AV133" s="52"/>
      <c r="AW133" s="764" t="s">
        <v>272</v>
      </c>
      <c r="AX133" s="579" t="s">
        <v>3</v>
      </c>
      <c r="AY133" s="19"/>
      <c r="AZ133" s="19"/>
      <c r="BD133">
        <v>464</v>
      </c>
    </row>
    <row r="134" spans="1:57">
      <c r="A134" s="28"/>
      <c r="B134" s="646" t="s">
        <v>92</v>
      </c>
      <c r="C134" s="13" t="s">
        <v>297</v>
      </c>
      <c r="D134" s="647" t="s">
        <v>287</v>
      </c>
      <c r="E134" s="34"/>
      <c r="F134" s="34"/>
      <c r="G134" s="34"/>
      <c r="H134" s="34"/>
      <c r="I134" s="34"/>
      <c r="J134" s="34"/>
      <c r="K134" s="34"/>
      <c r="L134" s="34"/>
      <c r="M134" s="34"/>
      <c r="N134" s="34"/>
      <c r="O134" s="34"/>
      <c r="P134" s="34">
        <v>0.65</v>
      </c>
      <c r="Q134" s="34"/>
      <c r="R134" s="34"/>
      <c r="S134" s="34"/>
      <c r="T134" s="34"/>
      <c r="U134" s="34"/>
      <c r="V134" s="34"/>
      <c r="W134" s="34"/>
      <c r="X134" s="34"/>
      <c r="Y134" s="38">
        <v>0</v>
      </c>
      <c r="Z134" s="39">
        <v>0</v>
      </c>
      <c r="AA134" s="39"/>
      <c r="AB134" s="39"/>
      <c r="AC134" s="39"/>
      <c r="AD134" s="39"/>
      <c r="AE134" s="39"/>
      <c r="AF134" s="39"/>
      <c r="AG134" s="39"/>
      <c r="AH134" s="39"/>
      <c r="AI134" s="39"/>
      <c r="AJ134" s="39"/>
      <c r="AK134" s="359"/>
      <c r="AL134" s="53"/>
      <c r="AM134" s="53"/>
      <c r="AN134" s="53"/>
      <c r="AO134" s="53"/>
      <c r="AP134" s="53"/>
      <c r="AQ134" s="53"/>
      <c r="AR134" s="53"/>
      <c r="AS134" s="53"/>
      <c r="AT134" s="53"/>
      <c r="AU134" s="53"/>
      <c r="AV134" s="53"/>
      <c r="AW134" s="764" t="s">
        <v>272</v>
      </c>
      <c r="AX134" s="579" t="s">
        <v>3</v>
      </c>
      <c r="AY134" s="19"/>
      <c r="AZ134" s="19"/>
      <c r="BA134" s="19"/>
      <c r="BB134" s="19"/>
      <c r="BD134">
        <v>464</v>
      </c>
    </row>
    <row r="135" spans="1:57">
      <c r="A135" s="28"/>
      <c r="B135" s="637" t="s">
        <v>92</v>
      </c>
      <c r="C135" s="14" t="s">
        <v>298</v>
      </c>
      <c r="D135" s="644" t="s">
        <v>250</v>
      </c>
      <c r="E135" s="52"/>
      <c r="F135" s="52"/>
      <c r="G135" s="52"/>
      <c r="H135" s="52"/>
      <c r="I135" s="52"/>
      <c r="J135" s="52"/>
      <c r="K135" s="52"/>
      <c r="L135" s="52"/>
      <c r="M135" s="52"/>
      <c r="N135" s="52"/>
      <c r="O135" s="52"/>
      <c r="P135" s="52"/>
      <c r="Q135" s="52"/>
      <c r="R135" s="52"/>
      <c r="S135" s="52"/>
      <c r="T135" s="52"/>
      <c r="U135" s="52"/>
      <c r="V135" s="52"/>
      <c r="W135" s="52"/>
      <c r="X135" s="52"/>
      <c r="Y135" s="363"/>
      <c r="Z135" s="52"/>
      <c r="AA135" s="52"/>
      <c r="AB135" s="52"/>
      <c r="AC135" s="52"/>
      <c r="AD135" s="52"/>
      <c r="AE135" s="52"/>
      <c r="AF135" s="52"/>
      <c r="AG135" s="52"/>
      <c r="AH135" s="52"/>
      <c r="AI135" s="52"/>
      <c r="AJ135" s="52"/>
      <c r="AK135" s="38"/>
      <c r="AL135" s="39"/>
      <c r="AM135" s="39"/>
      <c r="AN135" s="39"/>
      <c r="AO135" s="39"/>
      <c r="AP135" s="39"/>
      <c r="AQ135" s="39"/>
      <c r="AR135" s="39"/>
      <c r="AS135" s="39"/>
      <c r="AT135" s="39"/>
      <c r="AU135" s="39"/>
      <c r="AV135" s="39"/>
      <c r="AW135" s="764" t="s">
        <v>272</v>
      </c>
      <c r="AX135" s="579" t="s">
        <v>3</v>
      </c>
      <c r="AY135" s="19"/>
      <c r="AZ135" s="19"/>
      <c r="BA135" s="19"/>
      <c r="BB135" s="19"/>
    </row>
    <row r="136" spans="1:57">
      <c r="A136" s="28"/>
      <c r="B136" s="637" t="s">
        <v>92</v>
      </c>
      <c r="C136" s="14" t="s">
        <v>298</v>
      </c>
      <c r="D136" s="645" t="s">
        <v>286</v>
      </c>
      <c r="E136" s="39"/>
      <c r="F136" s="39"/>
      <c r="G136" s="39"/>
      <c r="H136" s="78"/>
      <c r="I136" s="78"/>
      <c r="J136" s="78"/>
      <c r="K136" s="78"/>
      <c r="L136" s="39"/>
      <c r="M136" s="39"/>
      <c r="N136" s="39"/>
      <c r="O136" s="39"/>
      <c r="P136" s="39"/>
      <c r="Q136" s="39"/>
      <c r="R136" s="39"/>
      <c r="S136" s="39"/>
      <c r="T136" s="39"/>
      <c r="U136" s="39"/>
      <c r="V136" s="39"/>
      <c r="W136" s="39"/>
      <c r="X136" s="39"/>
      <c r="Y136" s="38"/>
      <c r="Z136" s="39"/>
      <c r="AA136" s="39"/>
      <c r="AB136" s="39"/>
      <c r="AC136" s="39"/>
      <c r="AD136" s="39"/>
      <c r="AE136" s="39"/>
      <c r="AF136" s="39"/>
      <c r="AG136" s="39"/>
      <c r="AH136" s="39"/>
      <c r="AI136" s="39"/>
      <c r="AJ136" s="39"/>
      <c r="AK136" s="38"/>
      <c r="AL136" s="39"/>
      <c r="AM136" s="39"/>
      <c r="AN136" s="39"/>
      <c r="AO136" s="39"/>
      <c r="AP136" s="39"/>
      <c r="AQ136" s="39"/>
      <c r="AR136" s="39"/>
      <c r="AS136" s="39"/>
      <c r="AT136" s="39"/>
      <c r="AU136" s="39"/>
      <c r="AV136" s="39"/>
      <c r="AW136" s="764" t="s">
        <v>272</v>
      </c>
      <c r="AX136" s="579" t="s">
        <v>3</v>
      </c>
      <c r="AY136" s="19"/>
      <c r="AZ136" s="19"/>
      <c r="BA136" s="19"/>
      <c r="BB136" s="19"/>
    </row>
    <row r="137" spans="1:57">
      <c r="A137" s="28"/>
      <c r="B137" s="646" t="s">
        <v>92</v>
      </c>
      <c r="C137" s="14" t="s">
        <v>298</v>
      </c>
      <c r="D137" s="653" t="s">
        <v>287</v>
      </c>
      <c r="E137" s="53"/>
      <c r="F137" s="53"/>
      <c r="G137" s="53"/>
      <c r="H137" s="53"/>
      <c r="I137" s="94">
        <v>3.9</v>
      </c>
      <c r="J137" s="201">
        <v>4.2</v>
      </c>
      <c r="K137" s="53"/>
      <c r="L137" s="53"/>
      <c r="M137" s="53"/>
      <c r="N137" s="53"/>
      <c r="O137" s="53"/>
      <c r="P137" s="53"/>
      <c r="Q137" s="53"/>
      <c r="R137" s="53"/>
      <c r="S137" s="53"/>
      <c r="T137" s="53"/>
      <c r="U137" s="53"/>
      <c r="V137" s="53"/>
      <c r="W137" s="53"/>
      <c r="X137" s="53"/>
      <c r="Y137" s="359"/>
      <c r="Z137" s="53"/>
      <c r="AA137" s="53"/>
      <c r="AB137" s="53"/>
      <c r="AC137" s="53"/>
      <c r="AD137" s="53"/>
      <c r="AE137" s="53"/>
      <c r="AF137" s="53"/>
      <c r="AG137" s="53"/>
      <c r="AH137" s="53"/>
      <c r="AI137" s="53"/>
      <c r="AJ137" s="53"/>
      <c r="AK137" s="38"/>
      <c r="AL137" s="39"/>
      <c r="AM137" s="39"/>
      <c r="AN137" s="39"/>
      <c r="AO137" s="39"/>
      <c r="AP137" s="39"/>
      <c r="AQ137" s="39"/>
      <c r="AR137" s="39"/>
      <c r="AS137" s="39"/>
      <c r="AT137" s="39"/>
      <c r="AU137" s="39"/>
      <c r="AV137" s="39"/>
      <c r="AW137" s="764" t="s">
        <v>272</v>
      </c>
      <c r="AX137" s="579" t="s">
        <v>3</v>
      </c>
      <c r="AY137" s="19"/>
      <c r="AZ137" s="19"/>
      <c r="BA137" s="19"/>
      <c r="BB137" s="19"/>
    </row>
    <row r="138" spans="1:57">
      <c r="A138" s="28"/>
      <c r="B138" s="646" t="s">
        <v>92</v>
      </c>
      <c r="C138" s="97" t="s">
        <v>299</v>
      </c>
      <c r="D138" s="654" t="s">
        <v>287</v>
      </c>
      <c r="E138" s="39"/>
      <c r="F138" s="39"/>
      <c r="G138" s="39"/>
      <c r="H138" s="39"/>
      <c r="I138" s="39"/>
      <c r="J138" s="39"/>
      <c r="K138" s="39"/>
      <c r="L138" s="39"/>
      <c r="M138" s="39"/>
      <c r="N138" s="39"/>
      <c r="O138" s="39"/>
      <c r="P138" s="39"/>
      <c r="Q138" s="39"/>
      <c r="R138" s="39"/>
      <c r="S138" s="39"/>
      <c r="T138" s="39"/>
      <c r="U138" s="39"/>
      <c r="V138" s="39"/>
      <c r="W138" s="39"/>
      <c r="X138" s="39"/>
      <c r="Y138" s="38"/>
      <c r="Z138" s="39"/>
      <c r="AA138" s="39"/>
      <c r="AB138" s="39"/>
      <c r="AC138" s="39"/>
      <c r="AD138" s="39"/>
      <c r="AE138" s="39"/>
      <c r="AF138" s="39"/>
      <c r="AG138" s="39"/>
      <c r="AH138" s="39"/>
      <c r="AI138" s="39"/>
      <c r="AJ138" s="39"/>
      <c r="AK138" s="360"/>
      <c r="AL138" s="80"/>
      <c r="AM138" s="80"/>
      <c r="AN138" s="80"/>
      <c r="AO138" s="80"/>
      <c r="AP138" s="80"/>
      <c r="AQ138" s="80"/>
      <c r="AR138" s="80"/>
      <c r="AS138" s="80"/>
      <c r="AT138" s="80"/>
      <c r="AU138" s="80"/>
      <c r="AV138" s="80"/>
      <c r="AW138" s="764" t="s">
        <v>272</v>
      </c>
      <c r="AX138" s="579" t="s">
        <v>3</v>
      </c>
      <c r="AY138" s="19"/>
      <c r="AZ138" s="19"/>
      <c r="BA138" s="19"/>
      <c r="BB138" s="19"/>
    </row>
    <row r="139" spans="1:57" ht="15" thickBot="1">
      <c r="A139" s="28"/>
      <c r="B139" s="637" t="s">
        <v>92</v>
      </c>
      <c r="C139" s="12" t="s">
        <v>300</v>
      </c>
      <c r="D139" s="655" t="s">
        <v>287</v>
      </c>
      <c r="E139" s="39"/>
      <c r="F139" s="39"/>
      <c r="G139" s="39"/>
      <c r="H139" s="39"/>
      <c r="I139" s="39"/>
      <c r="J139" s="39"/>
      <c r="K139" s="80"/>
      <c r="L139" s="80"/>
      <c r="M139" s="212"/>
      <c r="N139" s="212"/>
      <c r="O139" s="212"/>
      <c r="P139" s="212"/>
      <c r="Q139" s="277"/>
      <c r="R139" s="277"/>
      <c r="S139" s="277"/>
      <c r="T139" s="277"/>
      <c r="U139" s="277"/>
      <c r="V139" s="277"/>
      <c r="W139" s="277"/>
      <c r="X139" s="277"/>
      <c r="Y139" s="364"/>
      <c r="Z139" s="277"/>
      <c r="AA139" s="277"/>
      <c r="AB139" s="277"/>
      <c r="AC139" s="277"/>
      <c r="AD139" s="277"/>
      <c r="AE139" s="277"/>
      <c r="AF139" s="277"/>
      <c r="AG139" s="277"/>
      <c r="AH139" s="277"/>
      <c r="AI139" s="277"/>
      <c r="AJ139" s="277"/>
      <c r="AK139" s="364"/>
      <c r="AL139" s="277"/>
      <c r="AM139" s="277"/>
      <c r="AN139" s="277"/>
      <c r="AO139" s="277"/>
      <c r="AP139" s="277"/>
      <c r="AQ139" s="277"/>
      <c r="AR139" s="277"/>
      <c r="AS139" s="277"/>
      <c r="AT139" s="277"/>
      <c r="AU139" s="277"/>
      <c r="AV139" s="277"/>
      <c r="AW139" s="764" t="s">
        <v>272</v>
      </c>
      <c r="AX139" s="579" t="s">
        <v>3</v>
      </c>
      <c r="AY139" s="19"/>
      <c r="AZ139" s="19"/>
      <c r="BA139" s="19"/>
      <c r="BB139" s="19"/>
    </row>
    <row r="140" spans="1:57">
      <c r="A140" s="28"/>
      <c r="B140" s="33" t="s">
        <v>228</v>
      </c>
      <c r="C140" s="429" t="s">
        <v>246</v>
      </c>
      <c r="D140" s="312" t="s">
        <v>228</v>
      </c>
      <c r="E140" s="39"/>
      <c r="F140" s="39"/>
      <c r="G140" s="39"/>
      <c r="H140" s="39"/>
      <c r="I140" s="39"/>
      <c r="J140" s="39"/>
      <c r="K140" s="52"/>
      <c r="L140" s="52"/>
      <c r="M140" s="277"/>
      <c r="N140" s="277"/>
      <c r="O140" s="203">
        <f>O60</f>
        <v>0.68</v>
      </c>
      <c r="P140" s="207">
        <v>0.7</v>
      </c>
      <c r="Q140" s="207">
        <v>0</v>
      </c>
      <c r="R140" s="207"/>
      <c r="S140" s="207">
        <v>0</v>
      </c>
      <c r="T140" s="207"/>
      <c r="U140" s="207"/>
      <c r="V140" s="277">
        <v>0</v>
      </c>
      <c r="W140" s="207"/>
      <c r="X140" s="277">
        <v>0.68</v>
      </c>
      <c r="Y140" s="432"/>
      <c r="Z140" s="433"/>
      <c r="AA140" s="433"/>
      <c r="AB140" s="433"/>
      <c r="AC140" s="433"/>
      <c r="AD140" s="433"/>
      <c r="AE140" s="433"/>
      <c r="AF140" s="433"/>
      <c r="AG140" s="433"/>
      <c r="AH140" s="433"/>
      <c r="AI140" s="433"/>
      <c r="AJ140" s="37"/>
      <c r="AK140" s="444"/>
      <c r="AL140" s="37"/>
      <c r="AM140" s="37"/>
      <c r="AN140" s="37"/>
      <c r="AO140" s="37"/>
      <c r="AP140" s="37">
        <v>0</v>
      </c>
      <c r="AQ140" s="37">
        <v>0</v>
      </c>
      <c r="AR140" s="37">
        <v>0</v>
      </c>
      <c r="AS140" s="37">
        <v>0</v>
      </c>
      <c r="AT140" s="37">
        <v>0</v>
      </c>
      <c r="AU140" s="37">
        <v>0</v>
      </c>
      <c r="AV140" s="37">
        <v>0</v>
      </c>
      <c r="AW140" s="764" t="s">
        <v>272</v>
      </c>
      <c r="AX140" s="579" t="s">
        <v>3</v>
      </c>
      <c r="AY140" s="19"/>
      <c r="AZ140" s="19"/>
      <c r="BA140" s="19"/>
      <c r="BB140" s="19"/>
    </row>
    <row r="141" spans="1:57">
      <c r="A141" s="28"/>
      <c r="B141" s="23" t="s">
        <v>228</v>
      </c>
      <c r="C141" s="11" t="s">
        <v>295</v>
      </c>
      <c r="D141" s="309" t="s">
        <v>228</v>
      </c>
      <c r="E141" s="39"/>
      <c r="F141" s="39"/>
      <c r="G141" s="39"/>
      <c r="H141" s="39"/>
      <c r="I141" s="39"/>
      <c r="J141" s="39"/>
      <c r="K141" s="52"/>
      <c r="L141" s="52"/>
      <c r="M141" s="277"/>
      <c r="N141" s="277"/>
      <c r="O141" s="203"/>
      <c r="P141" s="98"/>
      <c r="Q141" s="98">
        <v>0.6</v>
      </c>
      <c r="R141" s="98">
        <v>0</v>
      </c>
      <c r="S141" s="98">
        <v>0.6</v>
      </c>
      <c r="T141" s="98">
        <v>0.6</v>
      </c>
      <c r="U141" s="94">
        <v>1.2</v>
      </c>
      <c r="V141" s="98"/>
      <c r="W141" s="98">
        <v>0.6</v>
      </c>
      <c r="X141" s="94">
        <f>0.6+0.6</f>
        <v>1.2</v>
      </c>
      <c r="Y141" s="361">
        <v>0</v>
      </c>
      <c r="Z141" s="78">
        <f>1.2+1.2</f>
        <v>2.4</v>
      </c>
      <c r="AA141" s="191">
        <v>1.2</v>
      </c>
      <c r="AB141" s="191">
        <v>1.2</v>
      </c>
      <c r="AC141" s="191">
        <v>1.2</v>
      </c>
      <c r="AD141" s="191"/>
      <c r="AE141" s="191">
        <v>0</v>
      </c>
      <c r="AF141" s="191">
        <v>0.6</v>
      </c>
      <c r="AG141" s="191">
        <f>1.2-0.6</f>
        <v>0.6</v>
      </c>
      <c r="AH141" s="191">
        <v>1.8</v>
      </c>
      <c r="AI141" s="191">
        <v>1.2</v>
      </c>
      <c r="AJ141" s="191">
        <v>1.2</v>
      </c>
      <c r="AK141" s="361">
        <v>0</v>
      </c>
      <c r="AL141" s="191">
        <v>0</v>
      </c>
      <c r="AM141" s="191">
        <v>0</v>
      </c>
      <c r="AN141" s="191">
        <v>0</v>
      </c>
      <c r="AO141" s="191">
        <v>0</v>
      </c>
      <c r="AP141" s="191">
        <v>0</v>
      </c>
      <c r="AQ141" s="191">
        <v>0</v>
      </c>
      <c r="AR141" s="191">
        <v>0</v>
      </c>
      <c r="AS141" s="191">
        <v>0</v>
      </c>
      <c r="AT141" s="191">
        <v>0</v>
      </c>
      <c r="AU141" s="191">
        <v>0</v>
      </c>
      <c r="AV141" s="191">
        <v>0</v>
      </c>
      <c r="AW141" s="764" t="s">
        <v>272</v>
      </c>
      <c r="AX141" s="579" t="s">
        <v>3</v>
      </c>
      <c r="AY141" s="19"/>
      <c r="AZ141" s="19"/>
      <c r="BA141" s="19"/>
      <c r="BB141" s="19"/>
    </row>
    <row r="142" spans="1:57" ht="15" thickBot="1">
      <c r="B142" s="430" t="s">
        <v>228</v>
      </c>
      <c r="C142" s="431" t="s">
        <v>297</v>
      </c>
      <c r="D142" s="425" t="s">
        <v>228</v>
      </c>
      <c r="Y142" s="434">
        <f>Y60-Y140-Y141</f>
        <v>0</v>
      </c>
      <c r="Z142" s="435">
        <f>Z60-Z140-Z141</f>
        <v>0</v>
      </c>
      <c r="AA142" s="435">
        <f>AA60-AA140-AA141</f>
        <v>0</v>
      </c>
      <c r="AB142" s="435"/>
      <c r="AC142" s="435"/>
      <c r="AD142" s="435"/>
      <c r="AE142" s="435"/>
      <c r="AF142" s="435"/>
      <c r="AG142" s="435"/>
      <c r="AH142" s="435"/>
      <c r="AI142" s="435"/>
      <c r="AJ142" s="435"/>
      <c r="AK142" s="434"/>
      <c r="AL142" s="435"/>
      <c r="AM142" s="435"/>
      <c r="AN142" s="435"/>
      <c r="AO142" s="435"/>
      <c r="AP142" s="435"/>
      <c r="AQ142" s="435"/>
      <c r="AR142" s="435"/>
      <c r="AS142" s="435"/>
      <c r="AT142" s="435"/>
      <c r="AU142" s="435"/>
      <c r="AV142" s="435"/>
      <c r="AW142" s="764" t="s">
        <v>272</v>
      </c>
      <c r="AX142" s="579" t="s">
        <v>3</v>
      </c>
      <c r="AY142" s="19"/>
      <c r="AZ142" s="19"/>
    </row>
    <row r="143" spans="1:57">
      <c r="A143" s="28"/>
      <c r="B143" s="23" t="s">
        <v>33</v>
      </c>
      <c r="C143" s="4" t="s">
        <v>246</v>
      </c>
      <c r="D143" s="644" t="s">
        <v>250</v>
      </c>
      <c r="E143" s="52">
        <v>2.7899999999999983</v>
      </c>
      <c r="F143" s="52">
        <v>0.69</v>
      </c>
      <c r="G143" s="186">
        <f t="shared" ref="G143:X143" si="64">G61-G144-G145-G146-G147-G148-G149-G151-G152-G153-G154-G155-G156-G157-G158</f>
        <v>1.9996938300000009</v>
      </c>
      <c r="H143" s="95">
        <f t="shared" si="64"/>
        <v>4.1000000000000005</v>
      </c>
      <c r="I143" s="95">
        <f t="shared" si="64"/>
        <v>5.8</v>
      </c>
      <c r="J143" s="95">
        <f t="shared" si="64"/>
        <v>1.7999999999999989</v>
      </c>
      <c r="K143" s="95">
        <f t="shared" si="64"/>
        <v>1.6500000000000021</v>
      </c>
      <c r="L143" s="95">
        <f t="shared" si="64"/>
        <v>2.7800000000000002</v>
      </c>
      <c r="M143" s="95">
        <f t="shared" si="64"/>
        <v>0</v>
      </c>
      <c r="N143" s="95">
        <f t="shared" si="64"/>
        <v>2.0000000000000036</v>
      </c>
      <c r="O143" s="95">
        <f t="shared" si="64"/>
        <v>0</v>
      </c>
      <c r="P143" s="95">
        <f t="shared" si="64"/>
        <v>-2.2204460492503131E-16</v>
      </c>
      <c r="Q143" s="95">
        <f t="shared" si="64"/>
        <v>0.59999999999999898</v>
      </c>
      <c r="R143" s="95">
        <f t="shared" si="64"/>
        <v>0</v>
      </c>
      <c r="S143" s="95">
        <f t="shared" si="64"/>
        <v>4.4408920985006262E-16</v>
      </c>
      <c r="T143" s="95">
        <f t="shared" si="64"/>
        <v>-5.5511151231257827E-17</v>
      </c>
      <c r="U143" s="95">
        <f t="shared" si="64"/>
        <v>0</v>
      </c>
      <c r="V143" s="95">
        <f t="shared" si="64"/>
        <v>0</v>
      </c>
      <c r="W143" s="95">
        <f t="shared" si="64"/>
        <v>0</v>
      </c>
      <c r="X143" s="95">
        <f t="shared" si="64"/>
        <v>0</v>
      </c>
      <c r="Y143" s="355">
        <f t="shared" ref="Y143:AV143" si="65">Y61-Y144-Y145-Y146-Y147-Y148-Y149-Y151-Y152-Y153-Y154-Y155-Y156-Y157-Y158-Y150</f>
        <v>0</v>
      </c>
      <c r="Z143" s="352">
        <f t="shared" si="65"/>
        <v>0</v>
      </c>
      <c r="AA143" s="352">
        <f t="shared" si="65"/>
        <v>0</v>
      </c>
      <c r="AB143" s="352">
        <f t="shared" si="65"/>
        <v>0</v>
      </c>
      <c r="AC143" s="352">
        <f t="shared" si="65"/>
        <v>0</v>
      </c>
      <c r="AD143" s="352">
        <f t="shared" si="65"/>
        <v>0</v>
      </c>
      <c r="AE143" s="352">
        <f t="shared" si="65"/>
        <v>0</v>
      </c>
      <c r="AF143" s="352">
        <f t="shared" si="65"/>
        <v>0</v>
      </c>
      <c r="AG143" s="352">
        <f t="shared" si="65"/>
        <v>0</v>
      </c>
      <c r="AH143" s="352">
        <f t="shared" si="65"/>
        <v>0</v>
      </c>
      <c r="AI143" s="352">
        <f t="shared" si="65"/>
        <v>0</v>
      </c>
      <c r="AJ143" s="352">
        <f t="shared" si="65"/>
        <v>0</v>
      </c>
      <c r="AK143" s="352">
        <f t="shared" si="65"/>
        <v>0</v>
      </c>
      <c r="AL143" s="352">
        <f t="shared" si="65"/>
        <v>0</v>
      </c>
      <c r="AM143" s="352">
        <f t="shared" si="65"/>
        <v>0</v>
      </c>
      <c r="AN143" s="352">
        <f t="shared" si="65"/>
        <v>0</v>
      </c>
      <c r="AO143" s="352">
        <f t="shared" si="65"/>
        <v>0</v>
      </c>
      <c r="AP143" s="352">
        <f t="shared" si="65"/>
        <v>0</v>
      </c>
      <c r="AQ143" s="352">
        <f t="shared" si="65"/>
        <v>0</v>
      </c>
      <c r="AR143" s="352">
        <f t="shared" si="65"/>
        <v>0</v>
      </c>
      <c r="AS143" s="352">
        <f t="shared" si="65"/>
        <v>0</v>
      </c>
      <c r="AT143" s="352">
        <f t="shared" si="65"/>
        <v>0</v>
      </c>
      <c r="AU143" s="352">
        <f t="shared" si="65"/>
        <v>0</v>
      </c>
      <c r="AV143" s="352">
        <f t="shared" si="65"/>
        <v>0</v>
      </c>
      <c r="AW143" s="764" t="s">
        <v>272</v>
      </c>
      <c r="AX143" s="579" t="s">
        <v>3</v>
      </c>
      <c r="AY143" s="19"/>
      <c r="AZ143" s="19"/>
      <c r="BA143" s="19"/>
      <c r="BB143" s="19"/>
    </row>
    <row r="144" spans="1:57">
      <c r="A144" s="28"/>
      <c r="B144" s="23" t="s">
        <v>33</v>
      </c>
      <c r="C144" s="4" t="s">
        <v>246</v>
      </c>
      <c r="D144" s="653" t="s">
        <v>287</v>
      </c>
      <c r="E144" s="39">
        <v>7.9961773800000016</v>
      </c>
      <c r="F144" s="39">
        <v>11.397207600000003</v>
      </c>
      <c r="G144" s="39">
        <v>12.68643397</v>
      </c>
      <c r="H144" s="78">
        <v>12</v>
      </c>
      <c r="I144" s="78">
        <v>12.8</v>
      </c>
      <c r="J144" s="78">
        <v>12</v>
      </c>
      <c r="K144" s="209">
        <v>12.499999999999998</v>
      </c>
      <c r="L144" s="209">
        <v>13</v>
      </c>
      <c r="M144" s="191">
        <v>5.59</v>
      </c>
      <c r="N144" s="191">
        <v>1.7200000000000002</v>
      </c>
      <c r="O144" s="191"/>
      <c r="P144" s="191">
        <v>0</v>
      </c>
      <c r="Q144" s="191">
        <v>2.35</v>
      </c>
      <c r="R144" s="191"/>
      <c r="S144" s="78">
        <f>6.6-4</f>
        <v>2.5999999999999996</v>
      </c>
      <c r="T144" s="191">
        <v>0.9</v>
      </c>
      <c r="U144" s="191"/>
      <c r="V144" s="191"/>
      <c r="W144" s="191"/>
      <c r="X144" s="191">
        <v>0.6</v>
      </c>
      <c r="Y144" s="388">
        <v>10.93</v>
      </c>
      <c r="Z144" s="78">
        <v>15</v>
      </c>
      <c r="AA144" s="191"/>
      <c r="AB144" s="191">
        <v>2</v>
      </c>
      <c r="AC144" s="191"/>
      <c r="AD144" s="191"/>
      <c r="AE144" s="191"/>
      <c r="AF144" s="191"/>
      <c r="AG144" s="191"/>
      <c r="AH144" s="191">
        <v>1</v>
      </c>
      <c r="AI144" s="191"/>
      <c r="AJ144" s="191"/>
      <c r="AK144" s="361"/>
      <c r="AL144" s="191"/>
      <c r="AM144" s="191"/>
      <c r="AN144" s="191"/>
      <c r="AO144" s="191"/>
      <c r="AP144" s="191"/>
      <c r="AQ144" s="191"/>
      <c r="AR144" s="191"/>
      <c r="AS144" s="191"/>
      <c r="AT144" s="191"/>
      <c r="AU144" s="191"/>
      <c r="AV144" s="191"/>
      <c r="AW144" s="764" t="s">
        <v>272</v>
      </c>
      <c r="AX144" s="579" t="s">
        <v>3</v>
      </c>
      <c r="AY144" s="19"/>
      <c r="AZ144" s="19"/>
      <c r="BA144" s="19"/>
      <c r="BB144" s="19"/>
    </row>
    <row r="145" spans="1:54">
      <c r="A145" s="28"/>
      <c r="B145" s="82" t="s">
        <v>33</v>
      </c>
      <c r="C145" s="5" t="s">
        <v>246</v>
      </c>
      <c r="D145" s="647" t="s">
        <v>288</v>
      </c>
      <c r="E145" s="53">
        <v>1.3822620000000001E-2</v>
      </c>
      <c r="F145" s="53">
        <v>1.388581E-2</v>
      </c>
      <c r="G145" s="53">
        <v>1.3872200000000001E-2</v>
      </c>
      <c r="H145" s="53">
        <v>0.2</v>
      </c>
      <c r="I145" s="53">
        <v>0.2</v>
      </c>
      <c r="J145" s="53">
        <v>0</v>
      </c>
      <c r="K145" s="98">
        <v>0.85</v>
      </c>
      <c r="L145" s="98">
        <v>0.42</v>
      </c>
      <c r="M145" s="98">
        <v>0</v>
      </c>
      <c r="N145" s="98">
        <v>0</v>
      </c>
      <c r="O145" s="98">
        <v>0</v>
      </c>
      <c r="P145" s="98">
        <v>0</v>
      </c>
      <c r="Q145" s="98"/>
      <c r="R145" s="98"/>
      <c r="S145" s="98"/>
      <c r="T145" s="98">
        <v>0.3</v>
      </c>
      <c r="U145" s="98"/>
      <c r="V145" s="98"/>
      <c r="W145" s="53"/>
      <c r="X145" s="53"/>
      <c r="Y145" s="359"/>
      <c r="Z145" s="53"/>
      <c r="AA145" s="53"/>
      <c r="AB145" s="53"/>
      <c r="AC145" s="53"/>
      <c r="AD145" s="53"/>
      <c r="AE145" s="53"/>
      <c r="AF145" s="53"/>
      <c r="AG145" s="53"/>
      <c r="AH145" s="53"/>
      <c r="AI145" s="53"/>
      <c r="AJ145" s="53"/>
      <c r="AK145" s="359"/>
      <c r="AL145" s="53"/>
      <c r="AM145" s="53"/>
      <c r="AN145" s="53"/>
      <c r="AO145" s="53"/>
      <c r="AP145" s="53"/>
      <c r="AQ145" s="53"/>
      <c r="AR145" s="53"/>
      <c r="AS145" s="53"/>
      <c r="AT145" s="53"/>
      <c r="AU145" s="53"/>
      <c r="AV145" s="53"/>
      <c r="AW145" s="764" t="s">
        <v>272</v>
      </c>
      <c r="AX145" s="579" t="s">
        <v>3</v>
      </c>
      <c r="AY145" s="19"/>
      <c r="AZ145" s="19"/>
      <c r="BA145" s="19"/>
      <c r="BB145" s="19"/>
    </row>
    <row r="146" spans="1:54">
      <c r="A146" s="28"/>
      <c r="B146" s="23" t="s">
        <v>33</v>
      </c>
      <c r="C146" s="15" t="s">
        <v>289</v>
      </c>
      <c r="D146" s="644" t="s">
        <v>250</v>
      </c>
      <c r="E146" s="34"/>
      <c r="F146" s="34"/>
      <c r="G146" s="34"/>
      <c r="H146" s="34"/>
      <c r="I146" s="34"/>
      <c r="J146" s="34"/>
      <c r="K146" s="34"/>
      <c r="L146" s="34"/>
      <c r="M146" s="34"/>
      <c r="N146" s="34"/>
      <c r="O146" s="34"/>
      <c r="P146" s="34"/>
      <c r="Q146" s="34"/>
      <c r="R146" s="34"/>
      <c r="S146" s="34"/>
      <c r="T146" s="34"/>
      <c r="U146" s="34"/>
      <c r="V146" s="34"/>
      <c r="W146" s="34"/>
      <c r="X146" s="34"/>
      <c r="Y146" s="38"/>
      <c r="Z146" s="39"/>
      <c r="AA146" s="39"/>
      <c r="AB146" s="39"/>
      <c r="AC146" s="39"/>
      <c r="AD146" s="39"/>
      <c r="AE146" s="39"/>
      <c r="AF146" s="39"/>
      <c r="AG146" s="39"/>
      <c r="AH146" s="39"/>
      <c r="AI146" s="39"/>
      <c r="AJ146" s="39"/>
      <c r="AK146" s="363"/>
      <c r="AL146" s="52"/>
      <c r="AM146" s="52"/>
      <c r="AN146" s="52"/>
      <c r="AO146" s="52"/>
      <c r="AP146" s="52"/>
      <c r="AQ146" s="52"/>
      <c r="AR146" s="52"/>
      <c r="AS146" s="52"/>
      <c r="AT146" s="52"/>
      <c r="AU146" s="52"/>
      <c r="AV146" s="52"/>
      <c r="AW146" s="764" t="s">
        <v>272</v>
      </c>
      <c r="AX146" s="579" t="s">
        <v>3</v>
      </c>
      <c r="AY146" s="19"/>
      <c r="AZ146" s="19"/>
      <c r="BA146" s="19"/>
      <c r="BB146" s="19"/>
    </row>
    <row r="147" spans="1:54">
      <c r="A147" s="28"/>
      <c r="B147" s="23" t="s">
        <v>33</v>
      </c>
      <c r="C147" s="15" t="s">
        <v>289</v>
      </c>
      <c r="D147" s="653" t="s">
        <v>287</v>
      </c>
      <c r="E147" s="34"/>
      <c r="F147" s="34"/>
      <c r="G147" s="34"/>
      <c r="H147" s="34"/>
      <c r="I147" s="34"/>
      <c r="J147" s="34"/>
      <c r="K147" s="34"/>
      <c r="L147" s="34"/>
      <c r="M147" s="34"/>
      <c r="N147" s="34"/>
      <c r="O147" s="34"/>
      <c r="P147" s="34"/>
      <c r="Q147" s="34"/>
      <c r="R147" s="34"/>
      <c r="S147" s="34"/>
      <c r="T147" s="34"/>
      <c r="U147" s="34"/>
      <c r="V147" s="34"/>
      <c r="W147" s="34"/>
      <c r="X147" s="34"/>
      <c r="Y147" s="38"/>
      <c r="Z147" s="39"/>
      <c r="AA147" s="39"/>
      <c r="AB147" s="39"/>
      <c r="AC147" s="39"/>
      <c r="AD147" s="39"/>
      <c r="AE147" s="39"/>
      <c r="AF147" s="39"/>
      <c r="AG147" s="39"/>
      <c r="AH147" s="39"/>
      <c r="AI147" s="39"/>
      <c r="AJ147" s="39"/>
      <c r="AK147" s="359"/>
      <c r="AL147" s="53"/>
      <c r="AM147" s="53"/>
      <c r="AN147" s="53"/>
      <c r="AO147" s="53"/>
      <c r="AP147" s="53"/>
      <c r="AQ147" s="53"/>
      <c r="AR147" s="53"/>
      <c r="AS147" s="53"/>
      <c r="AT147" s="53"/>
      <c r="AU147" s="53"/>
      <c r="AV147" s="53"/>
      <c r="AW147" s="764" t="s">
        <v>272</v>
      </c>
      <c r="AX147" s="579" t="s">
        <v>3</v>
      </c>
      <c r="AY147" s="19"/>
      <c r="AZ147" s="19"/>
      <c r="BA147" s="19"/>
      <c r="BB147" s="19"/>
    </row>
    <row r="148" spans="1:54">
      <c r="A148" s="28"/>
      <c r="B148" s="81" t="s">
        <v>33</v>
      </c>
      <c r="C148" s="9" t="s">
        <v>292</v>
      </c>
      <c r="D148" s="650" t="s">
        <v>250</v>
      </c>
      <c r="E148" s="52"/>
      <c r="F148" s="52"/>
      <c r="G148" s="52"/>
      <c r="H148" s="52"/>
      <c r="I148" s="52"/>
      <c r="J148" s="52"/>
      <c r="K148" s="52"/>
      <c r="L148" s="52"/>
      <c r="M148" s="52"/>
      <c r="N148" s="52"/>
      <c r="O148" s="52"/>
      <c r="P148" s="52"/>
      <c r="Q148" s="52"/>
      <c r="R148" s="52"/>
      <c r="S148" s="52"/>
      <c r="T148" s="52"/>
      <c r="U148" s="52"/>
      <c r="V148" s="52"/>
      <c r="W148" s="52"/>
      <c r="X148" s="412"/>
      <c r="Y148" s="363"/>
      <c r="Z148" s="52"/>
      <c r="AA148" s="52"/>
      <c r="AB148" s="52"/>
      <c r="AC148" s="52"/>
      <c r="AD148" s="52"/>
      <c r="AE148" s="52"/>
      <c r="AF148" s="52"/>
      <c r="AG148" s="52"/>
      <c r="AH148" s="52"/>
      <c r="AI148" s="52"/>
      <c r="AJ148" s="52"/>
      <c r="AK148" s="363"/>
      <c r="AL148" s="52"/>
      <c r="AM148" s="52"/>
      <c r="AN148" s="52"/>
      <c r="AO148" s="52"/>
      <c r="AP148" s="52"/>
      <c r="AQ148" s="52"/>
      <c r="AR148" s="52"/>
      <c r="AS148" s="52"/>
      <c r="AT148" s="52"/>
      <c r="AU148" s="52"/>
      <c r="AV148" s="52"/>
      <c r="AW148" s="764" t="s">
        <v>272</v>
      </c>
      <c r="AX148" s="579" t="s">
        <v>3</v>
      </c>
      <c r="AY148" s="19"/>
      <c r="AZ148" s="19"/>
      <c r="BA148" s="19"/>
      <c r="BB148" s="19"/>
    </row>
    <row r="149" spans="1:54">
      <c r="A149" s="28"/>
      <c r="B149" s="23" t="s">
        <v>33</v>
      </c>
      <c r="C149" s="282" t="s">
        <v>292</v>
      </c>
      <c r="D149" s="653" t="s">
        <v>287</v>
      </c>
      <c r="E149" s="53">
        <v>1.2</v>
      </c>
      <c r="F149" s="53">
        <v>1.2</v>
      </c>
      <c r="G149" s="98">
        <v>0.6</v>
      </c>
      <c r="H149" s="98">
        <v>1.8</v>
      </c>
      <c r="I149" s="195">
        <v>2.4</v>
      </c>
      <c r="J149" s="98">
        <v>1.8</v>
      </c>
      <c r="K149" s="98">
        <v>2.4</v>
      </c>
      <c r="L149" s="98">
        <v>2.4</v>
      </c>
      <c r="M149" s="98">
        <v>4.33</v>
      </c>
      <c r="N149" s="98">
        <v>4.2</v>
      </c>
      <c r="O149" s="94">
        <v>3</v>
      </c>
      <c r="P149" s="94">
        <v>1.8</v>
      </c>
      <c r="Q149" s="98">
        <v>1.8</v>
      </c>
      <c r="R149" s="98"/>
      <c r="S149" s="98">
        <v>1.4</v>
      </c>
      <c r="T149" s="98"/>
      <c r="U149" s="98"/>
      <c r="V149" s="98"/>
      <c r="W149" s="98"/>
      <c r="X149" s="413"/>
      <c r="Y149" s="361">
        <v>3.6</v>
      </c>
      <c r="Z149" s="191"/>
      <c r="AA149" s="191"/>
      <c r="AB149" s="191"/>
      <c r="AC149" s="191"/>
      <c r="AD149" s="191"/>
      <c r="AE149" s="191"/>
      <c r="AF149" s="191"/>
      <c r="AG149" s="191"/>
      <c r="AH149" s="191"/>
      <c r="AI149" s="191"/>
      <c r="AJ149" s="191"/>
      <c r="AK149" s="361"/>
      <c r="AL149" s="191"/>
      <c r="AM149" s="191"/>
      <c r="AN149" s="191"/>
      <c r="AO149" s="191"/>
      <c r="AP149" s="191"/>
      <c r="AQ149" s="191"/>
      <c r="AR149" s="191"/>
      <c r="AS149" s="191"/>
      <c r="AT149" s="191"/>
      <c r="AU149" s="191"/>
      <c r="AV149" s="191"/>
      <c r="AW149" s="764" t="s">
        <v>272</v>
      </c>
      <c r="AX149" s="579" t="s">
        <v>3</v>
      </c>
      <c r="AY149" s="19"/>
      <c r="AZ149" s="19"/>
      <c r="BA149" s="19"/>
      <c r="BB149" s="19"/>
    </row>
    <row r="150" spans="1:54">
      <c r="A150" s="28"/>
      <c r="B150" s="82" t="s">
        <v>33</v>
      </c>
      <c r="C150" s="10" t="s">
        <v>292</v>
      </c>
      <c r="D150" s="647" t="s">
        <v>288</v>
      </c>
      <c r="E150" s="39"/>
      <c r="F150" s="39"/>
      <c r="G150" s="191"/>
      <c r="H150" s="191"/>
      <c r="I150" s="209"/>
      <c r="J150" s="191"/>
      <c r="K150" s="191"/>
      <c r="L150" s="191"/>
      <c r="M150" s="191"/>
      <c r="N150" s="191"/>
      <c r="O150" s="78"/>
      <c r="P150" s="78"/>
      <c r="Q150" s="191"/>
      <c r="R150" s="191"/>
      <c r="S150" s="191"/>
      <c r="T150" s="191"/>
      <c r="U150" s="191"/>
      <c r="V150" s="191"/>
      <c r="W150" s="191"/>
      <c r="X150" s="414"/>
      <c r="Y150" s="362">
        <v>0.8</v>
      </c>
      <c r="Z150" s="98"/>
      <c r="AA150" s="98"/>
      <c r="AB150" s="98"/>
      <c r="AC150" s="98"/>
      <c r="AD150" s="98"/>
      <c r="AE150" s="98"/>
      <c r="AF150" s="98"/>
      <c r="AG150" s="98"/>
      <c r="AH150" s="98"/>
      <c r="AI150" s="98"/>
      <c r="AJ150" s="98"/>
      <c r="AK150" s="362"/>
      <c r="AL150" s="98"/>
      <c r="AM150" s="98"/>
      <c r="AN150" s="98"/>
      <c r="AO150" s="98"/>
      <c r="AP150" s="98"/>
      <c r="AQ150" s="98"/>
      <c r="AR150" s="98"/>
      <c r="AS150" s="98"/>
      <c r="AT150" s="98"/>
      <c r="AU150" s="98"/>
      <c r="AV150" s="98"/>
      <c r="AW150" s="764" t="s">
        <v>272</v>
      </c>
      <c r="AX150" s="579" t="s">
        <v>3</v>
      </c>
      <c r="AY150" s="19"/>
      <c r="AZ150" s="19"/>
      <c r="BA150" s="19"/>
      <c r="BB150" s="19"/>
    </row>
    <row r="151" spans="1:54">
      <c r="A151" s="28"/>
      <c r="B151" s="23" t="s">
        <v>33</v>
      </c>
      <c r="C151" s="11" t="s">
        <v>295</v>
      </c>
      <c r="D151" s="644" t="s">
        <v>250</v>
      </c>
      <c r="E151" s="34">
        <v>0</v>
      </c>
      <c r="F151" s="34">
        <v>0.7</v>
      </c>
      <c r="G151" s="34">
        <v>0.7</v>
      </c>
      <c r="H151" s="34">
        <v>0.7</v>
      </c>
      <c r="I151" s="34">
        <v>0</v>
      </c>
      <c r="J151" s="34">
        <v>0</v>
      </c>
      <c r="K151" s="34">
        <v>0</v>
      </c>
      <c r="L151" s="34">
        <v>0.7</v>
      </c>
      <c r="M151" s="34">
        <v>0</v>
      </c>
      <c r="N151" s="34">
        <v>0</v>
      </c>
      <c r="O151" s="96">
        <v>0</v>
      </c>
      <c r="P151" s="34">
        <v>0</v>
      </c>
      <c r="Q151" s="34">
        <v>0</v>
      </c>
      <c r="R151" s="34">
        <v>0</v>
      </c>
      <c r="S151" s="34"/>
      <c r="T151" s="34"/>
      <c r="U151" s="34"/>
      <c r="V151" s="34"/>
      <c r="W151" s="34"/>
      <c r="X151" s="34">
        <v>0</v>
      </c>
      <c r="Y151" s="38"/>
      <c r="Z151" s="39"/>
      <c r="AA151" s="39"/>
      <c r="AB151" s="39"/>
      <c r="AC151" s="39"/>
      <c r="AD151" s="39"/>
      <c r="AE151" s="39"/>
      <c r="AF151" s="39"/>
      <c r="AG151" s="39"/>
      <c r="AH151" s="39"/>
      <c r="AI151" s="39"/>
      <c r="AJ151" s="39"/>
      <c r="AK151" s="363"/>
      <c r="AL151" s="52"/>
      <c r="AM151" s="52"/>
      <c r="AN151" s="52"/>
      <c r="AO151" s="52"/>
      <c r="AP151" s="52"/>
      <c r="AQ151" s="52"/>
      <c r="AR151" s="52"/>
      <c r="AS151" s="52"/>
      <c r="AT151" s="52"/>
      <c r="AU151" s="52"/>
      <c r="AV151" s="52"/>
      <c r="AW151" s="764" t="s">
        <v>272</v>
      </c>
      <c r="AX151" s="579" t="s">
        <v>3</v>
      </c>
      <c r="AY151" s="19"/>
      <c r="AZ151" s="19"/>
      <c r="BA151" s="19"/>
      <c r="BB151" s="19"/>
    </row>
    <row r="152" spans="1:54">
      <c r="A152" s="28"/>
      <c r="B152" s="23" t="s">
        <v>33</v>
      </c>
      <c r="C152" s="11" t="s">
        <v>295</v>
      </c>
      <c r="D152" s="653" t="s">
        <v>287</v>
      </c>
      <c r="E152" s="34">
        <v>5</v>
      </c>
      <c r="F152" s="34">
        <v>5</v>
      </c>
      <c r="G152" s="34">
        <v>5</v>
      </c>
      <c r="H152" s="34">
        <v>6.2</v>
      </c>
      <c r="I152" s="34">
        <v>3.8</v>
      </c>
      <c r="J152" s="206">
        <v>6.4</v>
      </c>
      <c r="K152" s="206">
        <v>5.6</v>
      </c>
      <c r="L152" s="206">
        <v>5.7</v>
      </c>
      <c r="M152" s="34">
        <v>10.08</v>
      </c>
      <c r="N152" s="34">
        <v>10.079999999999998</v>
      </c>
      <c r="O152" s="96">
        <v>4</v>
      </c>
      <c r="P152" s="34">
        <v>0.20000000000000018</v>
      </c>
      <c r="Q152" s="34">
        <v>1.2500000000000009</v>
      </c>
      <c r="R152" s="34"/>
      <c r="S152" s="34"/>
      <c r="T152" s="34"/>
      <c r="U152" s="34"/>
      <c r="V152" s="34"/>
      <c r="W152" s="96">
        <v>13</v>
      </c>
      <c r="X152" s="96">
        <f>11+3-3</f>
        <v>11</v>
      </c>
      <c r="Y152" s="388">
        <v>3.67</v>
      </c>
      <c r="Z152" s="39"/>
      <c r="AA152" s="39"/>
      <c r="AB152" s="39"/>
      <c r="AC152" s="39"/>
      <c r="AD152" s="39"/>
      <c r="AE152" s="39"/>
      <c r="AF152" s="39"/>
      <c r="AG152" s="39"/>
      <c r="AH152" s="39"/>
      <c r="AI152" s="39"/>
      <c r="AJ152" s="39"/>
      <c r="AK152" s="359"/>
      <c r="AL152" s="53"/>
      <c r="AM152" s="53"/>
      <c r="AN152" s="53"/>
      <c r="AO152" s="53"/>
      <c r="AP152" s="53"/>
      <c r="AQ152" s="53"/>
      <c r="AR152" s="53"/>
      <c r="AS152" s="53"/>
      <c r="AT152" s="53"/>
      <c r="AU152" s="53"/>
      <c r="AV152" s="53"/>
      <c r="AW152" s="764" t="s">
        <v>272</v>
      </c>
      <c r="AX152" s="579" t="s">
        <v>3</v>
      </c>
      <c r="AY152" s="19"/>
      <c r="AZ152" s="19"/>
      <c r="BA152" s="19"/>
      <c r="BB152" s="19"/>
    </row>
    <row r="153" spans="1:54">
      <c r="A153" s="28"/>
      <c r="B153" s="81" t="s">
        <v>33</v>
      </c>
      <c r="C153" s="12" t="s">
        <v>228</v>
      </c>
      <c r="D153" s="650" t="s">
        <v>250</v>
      </c>
      <c r="E153" s="52"/>
      <c r="F153" s="52"/>
      <c r="G153" s="52"/>
      <c r="H153" s="52"/>
      <c r="I153" s="52"/>
      <c r="J153" s="52"/>
      <c r="K153" s="52"/>
      <c r="L153" s="52"/>
      <c r="M153" s="52"/>
      <c r="N153" s="52"/>
      <c r="O153" s="52"/>
      <c r="P153" s="52"/>
      <c r="Q153" s="52"/>
      <c r="R153" s="52"/>
      <c r="S153" s="52"/>
      <c r="T153" s="52"/>
      <c r="U153" s="52"/>
      <c r="V153" s="52"/>
      <c r="W153" s="52"/>
      <c r="X153" s="52"/>
      <c r="Y153" s="363"/>
      <c r="Z153" s="52"/>
      <c r="AA153" s="52"/>
      <c r="AB153" s="52"/>
      <c r="AC153" s="52"/>
      <c r="AD153" s="52"/>
      <c r="AE153" s="52"/>
      <c r="AF153" s="52"/>
      <c r="AG153" s="52"/>
      <c r="AH153" s="52"/>
      <c r="AI153" s="52"/>
      <c r="AJ153" s="52"/>
      <c r="AK153" s="363"/>
      <c r="AL153" s="52"/>
      <c r="AM153" s="52"/>
      <c r="AN153" s="52"/>
      <c r="AO153" s="52"/>
      <c r="AP153" s="52"/>
      <c r="AQ153" s="52"/>
      <c r="AR153" s="52"/>
      <c r="AS153" s="52"/>
      <c r="AT153" s="52"/>
      <c r="AU153" s="52"/>
      <c r="AV153" s="52"/>
      <c r="AW153" s="764" t="s">
        <v>272</v>
      </c>
      <c r="AX153" s="579" t="s">
        <v>3</v>
      </c>
      <c r="AY153" s="19"/>
      <c r="AZ153" s="19"/>
      <c r="BA153" s="19"/>
      <c r="BB153" s="19"/>
    </row>
    <row r="154" spans="1:54">
      <c r="A154" s="28"/>
      <c r="B154" s="82" t="s">
        <v>33</v>
      </c>
      <c r="C154" s="13" t="s">
        <v>228</v>
      </c>
      <c r="D154" s="647" t="s">
        <v>287</v>
      </c>
      <c r="E154" s="53"/>
      <c r="F154" s="53"/>
      <c r="G154" s="53"/>
      <c r="H154" s="53"/>
      <c r="I154" s="53"/>
      <c r="J154" s="53"/>
      <c r="K154" s="53"/>
      <c r="L154" s="53"/>
      <c r="M154" s="53"/>
      <c r="N154" s="53"/>
      <c r="O154" s="53"/>
      <c r="P154" s="53"/>
      <c r="Q154" s="53"/>
      <c r="R154" s="53"/>
      <c r="S154" s="53"/>
      <c r="T154" s="53"/>
      <c r="U154" s="53"/>
      <c r="V154" s="53"/>
      <c r="W154" s="53"/>
      <c r="X154" s="53"/>
      <c r="Y154" s="359"/>
      <c r="Z154" s="53"/>
      <c r="AA154" s="53"/>
      <c r="AB154" s="53"/>
      <c r="AC154" s="53"/>
      <c r="AD154" s="53"/>
      <c r="AE154" s="53"/>
      <c r="AF154" s="53"/>
      <c r="AG154" s="53"/>
      <c r="AH154" s="53"/>
      <c r="AI154" s="53"/>
      <c r="AJ154" s="53"/>
      <c r="AK154" s="359"/>
      <c r="AL154" s="53"/>
      <c r="AM154" s="53"/>
      <c r="AN154" s="53"/>
      <c r="AO154" s="53"/>
      <c r="AP154" s="53"/>
      <c r="AQ154" s="53"/>
      <c r="AR154" s="53"/>
      <c r="AS154" s="53"/>
      <c r="AT154" s="53"/>
      <c r="AU154" s="53"/>
      <c r="AV154" s="53"/>
      <c r="AW154" s="764" t="s">
        <v>272</v>
      </c>
      <c r="AX154" s="579" t="s">
        <v>3</v>
      </c>
      <c r="AY154" s="19"/>
      <c r="AZ154" s="19"/>
      <c r="BA154" s="19"/>
      <c r="BB154" s="19"/>
    </row>
    <row r="155" spans="1:54">
      <c r="A155" s="28"/>
      <c r="B155" s="81" t="s">
        <v>33</v>
      </c>
      <c r="C155" s="12" t="s">
        <v>297</v>
      </c>
      <c r="D155" s="650" t="s">
        <v>250</v>
      </c>
      <c r="E155" s="34"/>
      <c r="F155" s="34"/>
      <c r="G155" s="34"/>
      <c r="H155" s="34"/>
      <c r="I155" s="34"/>
      <c r="J155" s="34"/>
      <c r="K155" s="34"/>
      <c r="L155" s="34"/>
      <c r="M155" s="34"/>
      <c r="N155" s="34"/>
      <c r="O155" s="34"/>
      <c r="P155" s="34"/>
      <c r="Q155" s="34"/>
      <c r="R155" s="34"/>
      <c r="S155" s="34"/>
      <c r="T155" s="34"/>
      <c r="U155" s="34"/>
      <c r="V155" s="34"/>
      <c r="W155" s="34"/>
      <c r="X155" s="34"/>
      <c r="Y155" s="38"/>
      <c r="Z155" s="39"/>
      <c r="AA155" s="39"/>
      <c r="AB155" s="39"/>
      <c r="AC155" s="39"/>
      <c r="AD155" s="39"/>
      <c r="AE155" s="39"/>
      <c r="AF155" s="39"/>
      <c r="AG155" s="39"/>
      <c r="AH155" s="39"/>
      <c r="AI155" s="39"/>
      <c r="AJ155" s="39"/>
      <c r="AK155" s="363"/>
      <c r="AL155" s="52"/>
      <c r="AM155" s="52"/>
      <c r="AN155" s="52"/>
      <c r="AO155" s="52"/>
      <c r="AP155" s="52"/>
      <c r="AQ155" s="52"/>
      <c r="AR155" s="52"/>
      <c r="AS155" s="52"/>
      <c r="AT155" s="52"/>
      <c r="AU155" s="52"/>
      <c r="AV155" s="52"/>
      <c r="AW155" s="764" t="s">
        <v>272</v>
      </c>
      <c r="AX155" s="579" t="s">
        <v>3</v>
      </c>
      <c r="AY155" s="19"/>
      <c r="AZ155" s="19"/>
      <c r="BA155" s="19"/>
      <c r="BB155" s="19"/>
    </row>
    <row r="156" spans="1:54">
      <c r="A156" s="28"/>
      <c r="B156" s="82" t="s">
        <v>33</v>
      </c>
      <c r="C156" s="13" t="s">
        <v>297</v>
      </c>
      <c r="D156" s="647" t="s">
        <v>287</v>
      </c>
      <c r="E156" s="34"/>
      <c r="F156" s="34"/>
      <c r="G156" s="34"/>
      <c r="H156" s="34"/>
      <c r="I156" s="34"/>
      <c r="J156" s="34"/>
      <c r="K156" s="34"/>
      <c r="L156" s="34"/>
      <c r="M156" s="34"/>
      <c r="N156" s="34"/>
      <c r="O156" s="34"/>
      <c r="P156" s="34"/>
      <c r="Q156" s="34"/>
      <c r="R156" s="34"/>
      <c r="S156" s="34"/>
      <c r="T156" s="34"/>
      <c r="U156" s="34"/>
      <c r="V156" s="34"/>
      <c r="W156" s="34"/>
      <c r="X156" s="34"/>
      <c r="Y156" s="38"/>
      <c r="Z156" s="39"/>
      <c r="AA156" s="39"/>
      <c r="AB156" s="39"/>
      <c r="AC156" s="39"/>
      <c r="AD156" s="39"/>
      <c r="AE156" s="39"/>
      <c r="AF156" s="39"/>
      <c r="AG156" s="39"/>
      <c r="AH156" s="39"/>
      <c r="AI156" s="39"/>
      <c r="AJ156" s="39"/>
      <c r="AK156" s="359"/>
      <c r="AL156" s="53"/>
      <c r="AM156" s="53"/>
      <c r="AN156" s="53"/>
      <c r="AO156" s="53"/>
      <c r="AP156" s="53"/>
      <c r="AQ156" s="53"/>
      <c r="AR156" s="53"/>
      <c r="AS156" s="53"/>
      <c r="AT156" s="53"/>
      <c r="AU156" s="53"/>
      <c r="AV156" s="53"/>
      <c r="AW156" s="764" t="s">
        <v>272</v>
      </c>
      <c r="AX156" s="579" t="s">
        <v>3</v>
      </c>
      <c r="AY156" s="19"/>
      <c r="AZ156" s="19"/>
      <c r="BA156" s="19"/>
      <c r="BB156" s="19"/>
    </row>
    <row r="157" spans="1:54">
      <c r="A157" s="28"/>
      <c r="B157" s="81" t="s">
        <v>33</v>
      </c>
      <c r="C157" s="14" t="s">
        <v>298</v>
      </c>
      <c r="D157" s="650" t="s">
        <v>250</v>
      </c>
      <c r="E157" s="52"/>
      <c r="F157" s="52"/>
      <c r="G157" s="52"/>
      <c r="H157" s="52"/>
      <c r="I157" s="52"/>
      <c r="J157" s="52"/>
      <c r="K157" s="52"/>
      <c r="L157" s="52"/>
      <c r="M157" s="52"/>
      <c r="N157" s="52"/>
      <c r="O157" s="52"/>
      <c r="P157" s="52"/>
      <c r="Q157" s="52"/>
      <c r="R157" s="52"/>
      <c r="S157" s="52"/>
      <c r="T157" s="52"/>
      <c r="U157" s="52"/>
      <c r="V157" s="52"/>
      <c r="W157" s="52"/>
      <c r="X157" s="52"/>
      <c r="Y157" s="363"/>
      <c r="Z157" s="52"/>
      <c r="AA157" s="52"/>
      <c r="AB157" s="52"/>
      <c r="AC157" s="52"/>
      <c r="AD157" s="52"/>
      <c r="AE157" s="52"/>
      <c r="AF157" s="52"/>
      <c r="AG157" s="52"/>
      <c r="AH157" s="52"/>
      <c r="AI157" s="52"/>
      <c r="AJ157" s="52"/>
      <c r="AK157" s="363"/>
      <c r="AL157" s="52"/>
      <c r="AM157" s="52"/>
      <c r="AN157" s="52"/>
      <c r="AO157" s="52"/>
      <c r="AP157" s="52"/>
      <c r="AQ157" s="52"/>
      <c r="AR157" s="52"/>
      <c r="AS157" s="52"/>
      <c r="AT157" s="52"/>
      <c r="AU157" s="52"/>
      <c r="AV157" s="52"/>
      <c r="AW157" s="764" t="s">
        <v>272</v>
      </c>
      <c r="AX157" s="579" t="s">
        <v>3</v>
      </c>
      <c r="AY157" s="19"/>
      <c r="AZ157" s="19"/>
      <c r="BA157" s="19"/>
      <c r="BB157" s="19"/>
    </row>
    <row r="158" spans="1:54">
      <c r="A158" s="28"/>
      <c r="B158" s="82" t="s">
        <v>33</v>
      </c>
      <c r="C158" s="14" t="s">
        <v>298</v>
      </c>
      <c r="D158" s="647" t="s">
        <v>287</v>
      </c>
      <c r="E158" s="53"/>
      <c r="F158" s="53"/>
      <c r="G158" s="53"/>
      <c r="H158" s="53"/>
      <c r="I158" s="53"/>
      <c r="J158" s="53"/>
      <c r="K158" s="53"/>
      <c r="L158" s="53"/>
      <c r="M158" s="53"/>
      <c r="N158" s="53"/>
      <c r="O158" s="53"/>
      <c r="P158" s="53"/>
      <c r="Q158" s="53"/>
      <c r="R158" s="53"/>
      <c r="S158" s="53"/>
      <c r="T158" s="53"/>
      <c r="U158" s="53"/>
      <c r="V158" s="53"/>
      <c r="W158" s="53"/>
      <c r="X158" s="53"/>
      <c r="Y158" s="359"/>
      <c r="Z158" s="53"/>
      <c r="AA158" s="53"/>
      <c r="AB158" s="53"/>
      <c r="AC158" s="53"/>
      <c r="AD158" s="53"/>
      <c r="AE158" s="53"/>
      <c r="AF158" s="53"/>
      <c r="AG158" s="53"/>
      <c r="AH158" s="53"/>
      <c r="AI158" s="53"/>
      <c r="AJ158" s="53"/>
      <c r="AK158" s="359"/>
      <c r="AL158" s="53"/>
      <c r="AM158" s="53"/>
      <c r="AN158" s="53"/>
      <c r="AO158" s="53"/>
      <c r="AP158" s="53"/>
      <c r="AQ158" s="53"/>
      <c r="AR158" s="53"/>
      <c r="AS158" s="53"/>
      <c r="AT158" s="53"/>
      <c r="AU158" s="53"/>
      <c r="AV158" s="53"/>
      <c r="AW158" s="764" t="s">
        <v>272</v>
      </c>
      <c r="AX158" s="579" t="s">
        <v>3</v>
      </c>
      <c r="AY158" s="19"/>
      <c r="AZ158" s="19"/>
      <c r="BA158" s="19"/>
      <c r="BB158" s="19"/>
    </row>
    <row r="159" spans="1:54">
      <c r="A159" s="28"/>
      <c r="B159" s="284" t="s">
        <v>33</v>
      </c>
      <c r="C159" s="97" t="s">
        <v>300</v>
      </c>
      <c r="D159" s="654" t="s">
        <v>287</v>
      </c>
      <c r="E159" s="39"/>
      <c r="F159" s="39"/>
      <c r="G159" s="39"/>
      <c r="H159" s="39"/>
      <c r="I159" s="39"/>
      <c r="J159" s="39"/>
      <c r="K159" s="80"/>
      <c r="L159" s="80"/>
      <c r="M159" s="80"/>
      <c r="N159" s="80"/>
      <c r="O159" s="80"/>
      <c r="P159" s="80"/>
      <c r="Q159" s="80"/>
      <c r="R159" s="80"/>
      <c r="S159" s="80"/>
      <c r="T159" s="80"/>
      <c r="U159" s="80"/>
      <c r="V159" s="80"/>
      <c r="W159" s="80"/>
      <c r="X159" s="80"/>
      <c r="Y159" s="360"/>
      <c r="Z159" s="80"/>
      <c r="AA159" s="80"/>
      <c r="AB159" s="80"/>
      <c r="AC159" s="80"/>
      <c r="AD159" s="80"/>
      <c r="AE159" s="80"/>
      <c r="AF159" s="80"/>
      <c r="AG159" s="80"/>
      <c r="AH159" s="80"/>
      <c r="AI159" s="80"/>
      <c r="AJ159" s="80"/>
      <c r="AK159" s="360"/>
      <c r="AL159" s="80"/>
      <c r="AM159" s="80"/>
      <c r="AN159" s="80"/>
      <c r="AO159" s="80"/>
      <c r="AP159" s="80"/>
      <c r="AQ159" s="80"/>
      <c r="AR159" s="80"/>
      <c r="AS159" s="80"/>
      <c r="AT159" s="80"/>
      <c r="AU159" s="80"/>
      <c r="AV159" s="80"/>
      <c r="AW159" s="764" t="s">
        <v>272</v>
      </c>
      <c r="AX159" s="579" t="s">
        <v>3</v>
      </c>
      <c r="AY159" s="19"/>
      <c r="AZ159" s="19"/>
      <c r="BA159" s="19"/>
      <c r="BB159" s="19"/>
    </row>
    <row r="160" spans="1:54">
      <c r="A160" s="28"/>
      <c r="B160" s="23" t="s">
        <v>229</v>
      </c>
      <c r="C160" s="4" t="s">
        <v>248</v>
      </c>
      <c r="D160" s="644" t="s">
        <v>250</v>
      </c>
      <c r="E160" s="39"/>
      <c r="F160" s="39"/>
      <c r="G160" s="39"/>
      <c r="H160" s="39"/>
      <c r="I160" s="39"/>
      <c r="J160" s="39"/>
      <c r="K160" s="39"/>
      <c r="L160" s="39"/>
      <c r="M160" s="39"/>
      <c r="N160" s="39"/>
      <c r="O160" s="39"/>
      <c r="P160" s="39"/>
      <c r="Q160" s="39"/>
      <c r="R160" s="39"/>
      <c r="S160" s="39"/>
      <c r="T160" s="39"/>
      <c r="U160" s="39"/>
      <c r="V160" s="39"/>
      <c r="W160" s="39"/>
      <c r="X160" s="39"/>
      <c r="Y160" s="38"/>
      <c r="Z160" s="39">
        <v>0.6</v>
      </c>
      <c r="AA160" s="39"/>
      <c r="AB160" s="39"/>
      <c r="AC160" s="39"/>
      <c r="AD160" s="39"/>
      <c r="AE160" s="39"/>
      <c r="AF160" s="39"/>
      <c r="AG160" s="39"/>
      <c r="AH160" s="39"/>
      <c r="AI160" s="39"/>
      <c r="AJ160" s="39"/>
      <c r="AK160" s="363"/>
      <c r="AL160" s="52"/>
      <c r="AM160" s="52"/>
      <c r="AN160" s="52"/>
      <c r="AO160" s="52"/>
      <c r="AP160" s="52"/>
      <c r="AQ160" s="52"/>
      <c r="AR160" s="52"/>
      <c r="AS160" s="52"/>
      <c r="AT160" s="52"/>
      <c r="AU160" s="52"/>
      <c r="AV160" s="52"/>
      <c r="AW160" s="764" t="s">
        <v>272</v>
      </c>
      <c r="AX160" s="579" t="s">
        <v>3</v>
      </c>
      <c r="AY160" s="19"/>
      <c r="AZ160" s="19"/>
      <c r="BA160" s="19"/>
      <c r="BB160" s="19"/>
    </row>
    <row r="161" spans="1:54">
      <c r="A161" s="28"/>
      <c r="B161" s="23" t="s">
        <v>229</v>
      </c>
      <c r="C161" s="4" t="s">
        <v>246</v>
      </c>
      <c r="D161" s="656" t="s">
        <v>301</v>
      </c>
      <c r="E161" s="34">
        <f t="shared" ref="E161:K161" si="66">E62</f>
        <v>8.4</v>
      </c>
      <c r="F161" s="34">
        <f t="shared" si="66"/>
        <v>6.2</v>
      </c>
      <c r="G161" s="34">
        <f t="shared" si="66"/>
        <v>7.2</v>
      </c>
      <c r="H161" s="34">
        <f t="shared" si="66"/>
        <v>7.2</v>
      </c>
      <c r="I161" s="34">
        <f t="shared" si="66"/>
        <v>7.4</v>
      </c>
      <c r="J161" s="90">
        <f t="shared" si="66"/>
        <v>6.7</v>
      </c>
      <c r="K161" s="90">
        <f t="shared" si="66"/>
        <v>0</v>
      </c>
      <c r="L161" s="90">
        <f>L62-L163</f>
        <v>3.96</v>
      </c>
      <c r="M161" s="90">
        <v>2.5</v>
      </c>
      <c r="N161" s="90">
        <v>2</v>
      </c>
      <c r="O161" s="90">
        <v>2</v>
      </c>
      <c r="P161" s="90">
        <f>P62-P162-P163</f>
        <v>1.4</v>
      </c>
      <c r="Q161" s="90">
        <f>Q62-Q162-Q163</f>
        <v>0</v>
      </c>
      <c r="R161" s="90">
        <f>R62-R162-R163</f>
        <v>0</v>
      </c>
      <c r="S161" s="344">
        <v>0</v>
      </c>
      <c r="T161" s="90">
        <f>T62-T162-T163</f>
        <v>3</v>
      </c>
      <c r="U161" s="96">
        <f>U62-U162-U163-U164</f>
        <v>3</v>
      </c>
      <c r="V161" s="90">
        <f>V62-V162-V163-V164</f>
        <v>6.7600000000000007</v>
      </c>
      <c r="W161" s="90">
        <f>W62-W162-W163-W164</f>
        <v>6.06</v>
      </c>
      <c r="X161" s="90">
        <f>X62-X162-X163-X164</f>
        <v>6.07</v>
      </c>
      <c r="Y161" s="355">
        <f>Y62-Y162-Y163-Y164</f>
        <v>3.5399999999999991</v>
      </c>
      <c r="Z161" s="352">
        <f>Z62-Z162-Z163-Z164-Z160</f>
        <v>1.9999999999999996</v>
      </c>
      <c r="AA161" s="352">
        <f t="shared" ref="AA161:AV161" si="67">AA62-AA162-AA163-AA164</f>
        <v>2</v>
      </c>
      <c r="AB161" s="352">
        <f t="shared" si="67"/>
        <v>1.3500000000000005</v>
      </c>
      <c r="AC161" s="352">
        <f t="shared" si="67"/>
        <v>1.3999999999999995</v>
      </c>
      <c r="AD161" s="352">
        <f t="shared" si="67"/>
        <v>1.4000000000000004</v>
      </c>
      <c r="AE161" s="352">
        <f t="shared" si="67"/>
        <v>2</v>
      </c>
      <c r="AF161" s="352">
        <f t="shared" si="67"/>
        <v>2</v>
      </c>
      <c r="AG161" s="352">
        <f t="shared" si="67"/>
        <v>2</v>
      </c>
      <c r="AH161" s="352">
        <f>AH62-AH162-AH163-AH164</f>
        <v>2</v>
      </c>
      <c r="AI161" s="352">
        <f t="shared" si="67"/>
        <v>2</v>
      </c>
      <c r="AJ161" s="352">
        <f t="shared" si="67"/>
        <v>2.0000000000000004</v>
      </c>
      <c r="AK161" s="352">
        <f t="shared" si="67"/>
        <v>2</v>
      </c>
      <c r="AL161" s="352">
        <f t="shared" si="67"/>
        <v>2</v>
      </c>
      <c r="AM161" s="352">
        <f t="shared" si="67"/>
        <v>2</v>
      </c>
      <c r="AN161" s="352">
        <f t="shared" si="67"/>
        <v>2</v>
      </c>
      <c r="AO161" s="352">
        <f t="shared" si="67"/>
        <v>2</v>
      </c>
      <c r="AP161" s="352">
        <f t="shared" si="67"/>
        <v>2</v>
      </c>
      <c r="AQ161" s="352">
        <f t="shared" si="67"/>
        <v>2</v>
      </c>
      <c r="AR161" s="352">
        <f t="shared" si="67"/>
        <v>2</v>
      </c>
      <c r="AS161" s="352">
        <f t="shared" si="67"/>
        <v>2</v>
      </c>
      <c r="AT161" s="352">
        <f t="shared" si="67"/>
        <v>2</v>
      </c>
      <c r="AU161" s="352">
        <f t="shared" si="67"/>
        <v>2</v>
      </c>
      <c r="AV161" s="352">
        <f t="shared" si="67"/>
        <v>2</v>
      </c>
      <c r="AW161" s="764" t="s">
        <v>272</v>
      </c>
      <c r="AX161" s="579" t="s">
        <v>3</v>
      </c>
      <c r="AY161" s="19"/>
      <c r="AZ161" s="19"/>
      <c r="BA161" s="19"/>
      <c r="BB161" s="19"/>
    </row>
    <row r="162" spans="1:54">
      <c r="A162" s="28"/>
      <c r="B162" s="23" t="s">
        <v>229</v>
      </c>
      <c r="C162" s="282" t="s">
        <v>292</v>
      </c>
      <c r="D162" s="285" t="s">
        <v>301</v>
      </c>
      <c r="E162" s="34"/>
      <c r="F162" s="34"/>
      <c r="G162" s="34"/>
      <c r="H162" s="34"/>
      <c r="I162" s="34"/>
      <c r="J162" s="90"/>
      <c r="K162" s="90"/>
      <c r="L162" s="90"/>
      <c r="M162" s="90"/>
      <c r="N162" s="90"/>
      <c r="O162" s="90"/>
      <c r="P162" s="90">
        <v>0</v>
      </c>
      <c r="Q162" s="220">
        <v>0</v>
      </c>
      <c r="R162" s="220">
        <v>0</v>
      </c>
      <c r="S162" s="344">
        <v>0</v>
      </c>
      <c r="T162" s="220">
        <v>0</v>
      </c>
      <c r="U162" s="220">
        <v>0</v>
      </c>
      <c r="V162" s="220">
        <v>0</v>
      </c>
      <c r="W162" s="220">
        <v>0</v>
      </c>
      <c r="X162" s="220">
        <v>0</v>
      </c>
      <c r="Y162" s="361">
        <v>0</v>
      </c>
      <c r="Z162" s="191"/>
      <c r="AA162" s="191"/>
      <c r="AB162" s="191"/>
      <c r="AC162" s="191"/>
      <c r="AD162" s="191"/>
      <c r="AE162" s="191">
        <v>0</v>
      </c>
      <c r="AF162" s="191"/>
      <c r="AG162" s="191"/>
      <c r="AH162" s="191"/>
      <c r="AI162" s="191"/>
      <c r="AJ162" s="191"/>
      <c r="AK162" s="361"/>
      <c r="AL162" s="191"/>
      <c r="AM162" s="191"/>
      <c r="AN162" s="191"/>
      <c r="AO162" s="191"/>
      <c r="AP162" s="191"/>
      <c r="AQ162" s="191"/>
      <c r="AR162" s="191"/>
      <c r="AS162" s="191"/>
      <c r="AT162" s="191"/>
      <c r="AU162" s="191"/>
      <c r="AV162" s="191"/>
      <c r="AW162" s="764" t="s">
        <v>272</v>
      </c>
      <c r="AX162" s="579" t="s">
        <v>3</v>
      </c>
      <c r="AY162" s="19"/>
      <c r="AZ162" s="19"/>
      <c r="BA162" s="19"/>
      <c r="BB162" s="19"/>
    </row>
    <row r="163" spans="1:54">
      <c r="A163" s="799"/>
      <c r="B163" s="23" t="s">
        <v>229</v>
      </c>
      <c r="C163" s="11" t="s">
        <v>295</v>
      </c>
      <c r="D163" s="285" t="s">
        <v>301</v>
      </c>
      <c r="E163" s="34"/>
      <c r="F163" s="34"/>
      <c r="G163" s="34"/>
      <c r="H163" s="34"/>
      <c r="I163" s="34"/>
      <c r="J163" s="34"/>
      <c r="K163" s="34"/>
      <c r="L163" s="34">
        <v>0</v>
      </c>
      <c r="M163" s="34">
        <f>M62-M161</f>
        <v>3.87</v>
      </c>
      <c r="N163" s="34">
        <f>N62-N161</f>
        <v>4.0999999999999996</v>
      </c>
      <c r="O163" s="96">
        <v>3.73</v>
      </c>
      <c r="P163" s="96">
        <v>2.9</v>
      </c>
      <c r="Q163" s="220">
        <v>3</v>
      </c>
      <c r="R163" s="96">
        <v>3</v>
      </c>
      <c r="S163" s="90">
        <f>S62-S161-S162</f>
        <v>3.5</v>
      </c>
      <c r="T163" s="220">
        <v>0</v>
      </c>
      <c r="U163" s="220">
        <v>0.6</v>
      </c>
      <c r="V163" s="220">
        <v>0</v>
      </c>
      <c r="W163" s="220">
        <v>0</v>
      </c>
      <c r="X163" s="220">
        <v>0.6</v>
      </c>
      <c r="Y163" s="388">
        <v>4.83</v>
      </c>
      <c r="Z163" s="191">
        <f>4.48+0.6</f>
        <v>5.08</v>
      </c>
      <c r="AA163" s="191">
        <v>4.63</v>
      </c>
      <c r="AB163" s="191">
        <v>4.38</v>
      </c>
      <c r="AC163" s="78">
        <v>4.3600000000000003</v>
      </c>
      <c r="AD163" s="191">
        <f>4.38-0.81-0.11</f>
        <v>3.46</v>
      </c>
      <c r="AE163" s="78">
        <f>4.12-0.72</f>
        <v>3.4000000000000004</v>
      </c>
      <c r="AF163" s="191">
        <v>4.12</v>
      </c>
      <c r="AG163" s="191">
        <v>3.4000000000000004</v>
      </c>
      <c r="AH163" s="78">
        <f>3.4-0.9</f>
        <v>2.5</v>
      </c>
      <c r="AI163" s="191">
        <v>5.4</v>
      </c>
      <c r="AJ163" s="191">
        <v>3.4</v>
      </c>
      <c r="AK163" s="361">
        <v>4.12</v>
      </c>
      <c r="AL163" s="191">
        <v>4.12</v>
      </c>
      <c r="AM163" s="191">
        <v>4.12</v>
      </c>
      <c r="AN163" s="191">
        <v>4.12</v>
      </c>
      <c r="AO163" s="191">
        <v>4.12</v>
      </c>
      <c r="AP163" s="191">
        <v>4.12</v>
      </c>
      <c r="AQ163" s="191">
        <v>4.12</v>
      </c>
      <c r="AR163" s="191">
        <v>4.12</v>
      </c>
      <c r="AS163" s="191">
        <v>4.12</v>
      </c>
      <c r="AT163" s="191">
        <v>4.12</v>
      </c>
      <c r="AU163" s="191">
        <v>4.12</v>
      </c>
      <c r="AV163" s="191">
        <v>4.12</v>
      </c>
      <c r="AW163" s="764" t="s">
        <v>272</v>
      </c>
      <c r="AX163" s="579" t="s">
        <v>3</v>
      </c>
      <c r="AY163" s="19"/>
      <c r="AZ163" s="19"/>
      <c r="BA163" s="19"/>
      <c r="BB163" s="19"/>
    </row>
    <row r="164" spans="1:54">
      <c r="A164" s="28"/>
      <c r="B164" s="23" t="s">
        <v>229</v>
      </c>
      <c r="C164" s="367" t="s">
        <v>297</v>
      </c>
      <c r="D164" s="285" t="s">
        <v>301</v>
      </c>
      <c r="E164" s="34"/>
      <c r="F164" s="34"/>
      <c r="G164" s="34"/>
      <c r="H164" s="34"/>
      <c r="I164" s="34"/>
      <c r="J164" s="34"/>
      <c r="K164" s="34"/>
      <c r="L164" s="34"/>
      <c r="M164" s="34"/>
      <c r="N164" s="34"/>
      <c r="O164" s="96"/>
      <c r="P164" s="96"/>
      <c r="Q164" s="220"/>
      <c r="R164" s="96"/>
      <c r="S164" s="90"/>
      <c r="T164" s="220"/>
      <c r="U164" s="220">
        <v>0</v>
      </c>
      <c r="V164" s="220">
        <v>0</v>
      </c>
      <c r="W164" s="220">
        <v>0</v>
      </c>
      <c r="X164" s="220">
        <v>0</v>
      </c>
      <c r="Y164" s="361">
        <v>0</v>
      </c>
      <c r="Z164" s="191"/>
      <c r="AA164" s="191"/>
      <c r="AB164" s="191"/>
      <c r="AC164" s="191"/>
      <c r="AD164" s="191"/>
      <c r="AE164" s="191">
        <v>0</v>
      </c>
      <c r="AF164" s="191">
        <v>0</v>
      </c>
      <c r="AG164" s="191">
        <v>0</v>
      </c>
      <c r="AH164" s="191">
        <v>0</v>
      </c>
      <c r="AI164" s="191">
        <v>0</v>
      </c>
      <c r="AJ164" s="191">
        <v>0</v>
      </c>
      <c r="AK164" s="362">
        <v>0</v>
      </c>
      <c r="AL164" s="98">
        <v>0</v>
      </c>
      <c r="AM164" s="98">
        <v>0</v>
      </c>
      <c r="AN164" s="98">
        <v>0</v>
      </c>
      <c r="AO164" s="98">
        <v>0</v>
      </c>
      <c r="AP164" s="98">
        <v>0</v>
      </c>
      <c r="AQ164" s="98">
        <v>0</v>
      </c>
      <c r="AR164" s="98">
        <v>0</v>
      </c>
      <c r="AS164" s="98">
        <v>0</v>
      </c>
      <c r="AT164" s="98">
        <v>0</v>
      </c>
      <c r="AU164" s="98">
        <v>0</v>
      </c>
      <c r="AV164" s="98">
        <v>0</v>
      </c>
      <c r="AW164" s="764" t="s">
        <v>272</v>
      </c>
      <c r="AX164" s="579" t="s">
        <v>3</v>
      </c>
      <c r="AY164" s="19"/>
      <c r="AZ164" s="19"/>
      <c r="BA164" s="19"/>
      <c r="BB164" s="19"/>
    </row>
    <row r="165" spans="1:54">
      <c r="A165" s="28"/>
      <c r="B165" s="284" t="s">
        <v>302</v>
      </c>
      <c r="C165" s="89" t="s">
        <v>246</v>
      </c>
      <c r="D165" s="286" t="s">
        <v>303</v>
      </c>
      <c r="E165" s="80">
        <f t="shared" ref="E165:AV165" si="68">E63</f>
        <v>5.89</v>
      </c>
      <c r="F165" s="80">
        <f t="shared" si="68"/>
        <v>6.22</v>
      </c>
      <c r="G165" s="80">
        <f t="shared" si="68"/>
        <v>5.89</v>
      </c>
      <c r="H165" s="80">
        <f t="shared" si="68"/>
        <v>6.05</v>
      </c>
      <c r="I165" s="80">
        <f t="shared" si="68"/>
        <v>5.85</v>
      </c>
      <c r="J165" s="204">
        <f t="shared" si="68"/>
        <v>6.05</v>
      </c>
      <c r="K165" s="204">
        <f t="shared" si="68"/>
        <v>6.7</v>
      </c>
      <c r="L165" s="204">
        <f t="shared" si="68"/>
        <v>6.05</v>
      </c>
      <c r="M165" s="204">
        <f t="shared" si="68"/>
        <v>6.2</v>
      </c>
      <c r="N165" s="204">
        <f t="shared" si="68"/>
        <v>5.66</v>
      </c>
      <c r="O165" s="204">
        <f t="shared" si="68"/>
        <v>6.0449999999999999</v>
      </c>
      <c r="P165" s="204">
        <f t="shared" si="68"/>
        <v>5.85</v>
      </c>
      <c r="Q165" s="204">
        <f t="shared" si="68"/>
        <v>4.5999999999999996</v>
      </c>
      <c r="R165" s="212">
        <f t="shared" si="68"/>
        <v>5.7</v>
      </c>
      <c r="S165" s="204">
        <f t="shared" si="68"/>
        <v>5.7</v>
      </c>
      <c r="T165" s="204">
        <f t="shared" si="68"/>
        <v>5.68</v>
      </c>
      <c r="U165" s="204">
        <f t="shared" si="68"/>
        <v>5.4</v>
      </c>
      <c r="V165" s="204">
        <f t="shared" si="68"/>
        <v>5.8</v>
      </c>
      <c r="W165" s="204">
        <f t="shared" si="68"/>
        <v>5.4</v>
      </c>
      <c r="X165" s="204">
        <f t="shared" si="68"/>
        <v>5.58</v>
      </c>
      <c r="Y165" s="365">
        <f t="shared" si="68"/>
        <v>5.4870000000000001</v>
      </c>
      <c r="Z165" s="204">
        <f t="shared" si="68"/>
        <v>5.32</v>
      </c>
      <c r="AA165" s="204">
        <f t="shared" si="68"/>
        <v>5.74</v>
      </c>
      <c r="AB165" s="204">
        <f t="shared" si="68"/>
        <v>5.8220000000000001</v>
      </c>
      <c r="AC165" s="204">
        <f t="shared" si="68"/>
        <v>5.7350000000000003</v>
      </c>
      <c r="AD165" s="204">
        <f t="shared" si="68"/>
        <v>5.99</v>
      </c>
      <c r="AE165" s="204">
        <f t="shared" si="68"/>
        <v>5.7350000000000003</v>
      </c>
      <c r="AF165" s="204">
        <f t="shared" si="68"/>
        <v>5.7350000000000003</v>
      </c>
      <c r="AG165" s="204">
        <f t="shared" si="68"/>
        <v>5.55</v>
      </c>
      <c r="AH165" s="204">
        <f>AH63</f>
        <v>5.4560000000000004</v>
      </c>
      <c r="AI165" s="204">
        <f t="shared" si="68"/>
        <v>5.55</v>
      </c>
      <c r="AJ165" s="204">
        <f t="shared" si="68"/>
        <v>5.7350000000000003</v>
      </c>
      <c r="AK165" s="204">
        <f t="shared" si="68"/>
        <v>5.7350000000000003</v>
      </c>
      <c r="AL165" s="204">
        <f t="shared" si="68"/>
        <v>5.7350000000000003</v>
      </c>
      <c r="AM165" s="204">
        <f t="shared" si="68"/>
        <v>5.7350000000000003</v>
      </c>
      <c r="AN165" s="204">
        <f t="shared" si="68"/>
        <v>5.7350000000000003</v>
      </c>
      <c r="AO165" s="204">
        <f t="shared" si="68"/>
        <v>5.7350000000000003</v>
      </c>
      <c r="AP165" s="204">
        <f t="shared" si="68"/>
        <v>5.7350000000000003</v>
      </c>
      <c r="AQ165" s="204">
        <f t="shared" si="68"/>
        <v>5.7350000000000003</v>
      </c>
      <c r="AR165" s="204">
        <f t="shared" si="68"/>
        <v>5.7350000000000003</v>
      </c>
      <c r="AS165" s="204">
        <f t="shared" si="68"/>
        <v>5.7350000000000003</v>
      </c>
      <c r="AT165" s="204">
        <f t="shared" si="68"/>
        <v>5.7350000000000003</v>
      </c>
      <c r="AU165" s="204">
        <f t="shared" si="68"/>
        <v>5.7350000000000003</v>
      </c>
      <c r="AV165" s="204">
        <f t="shared" si="68"/>
        <v>5.7350000000000003</v>
      </c>
      <c r="AW165" s="764" t="s">
        <v>272</v>
      </c>
      <c r="AX165" s="579" t="s">
        <v>3</v>
      </c>
      <c r="AY165" s="19"/>
      <c r="AZ165" s="19"/>
      <c r="BA165" s="19"/>
      <c r="BB165" s="19"/>
    </row>
    <row r="166" spans="1:54" ht="15" thickBot="1">
      <c r="A166" s="35"/>
      <c r="B166" s="657" t="s">
        <v>231</v>
      </c>
      <c r="C166" s="17" t="s">
        <v>246</v>
      </c>
      <c r="D166" s="658" t="s">
        <v>231</v>
      </c>
      <c r="E166" s="40">
        <f t="shared" ref="E166:AV166" si="69">E64</f>
        <v>15.6</v>
      </c>
      <c r="F166" s="40">
        <f t="shared" si="69"/>
        <v>16.100000000000001</v>
      </c>
      <c r="G166" s="40">
        <f t="shared" si="69"/>
        <v>16.027000000000001</v>
      </c>
      <c r="H166" s="40">
        <f t="shared" si="69"/>
        <v>14</v>
      </c>
      <c r="I166" s="40">
        <f t="shared" si="69"/>
        <v>15.45</v>
      </c>
      <c r="J166" s="205">
        <f t="shared" si="69"/>
        <v>10.85</v>
      </c>
      <c r="K166" s="205">
        <f t="shared" si="69"/>
        <v>13.15</v>
      </c>
      <c r="L166" s="205">
        <f t="shared" si="69"/>
        <v>13.26</v>
      </c>
      <c r="M166" s="205">
        <f t="shared" si="69"/>
        <v>17</v>
      </c>
      <c r="N166" s="205">
        <f t="shared" si="69"/>
        <v>17.5</v>
      </c>
      <c r="O166" s="205">
        <f t="shared" si="69"/>
        <v>15</v>
      </c>
      <c r="P166" s="205">
        <f t="shared" si="69"/>
        <v>16.5</v>
      </c>
      <c r="Q166" s="205">
        <f t="shared" si="69"/>
        <v>15</v>
      </c>
      <c r="R166" s="205">
        <f t="shared" si="69"/>
        <v>14.5</v>
      </c>
      <c r="S166" s="205">
        <f t="shared" si="69"/>
        <v>15.5</v>
      </c>
      <c r="T166" s="205">
        <f t="shared" si="69"/>
        <v>13.04</v>
      </c>
      <c r="U166" s="205">
        <f t="shared" si="69"/>
        <v>17.2</v>
      </c>
      <c r="V166" s="205">
        <f t="shared" si="69"/>
        <v>15.83</v>
      </c>
      <c r="W166" s="205">
        <f t="shared" si="69"/>
        <v>16.2</v>
      </c>
      <c r="X166" s="205">
        <f t="shared" si="69"/>
        <v>15.4</v>
      </c>
      <c r="Y166" s="356">
        <f t="shared" si="69"/>
        <v>11</v>
      </c>
      <c r="Z166" s="205">
        <f t="shared" si="69"/>
        <v>6.72</v>
      </c>
      <c r="AA166" s="487">
        <f t="shared" si="69"/>
        <v>13.5</v>
      </c>
      <c r="AB166" s="205">
        <f t="shared" si="69"/>
        <v>15</v>
      </c>
      <c r="AC166" s="205">
        <f t="shared" si="69"/>
        <v>15.5</v>
      </c>
      <c r="AD166" s="205">
        <f t="shared" si="69"/>
        <v>12.45</v>
      </c>
      <c r="AE166" s="205">
        <f t="shared" si="69"/>
        <v>9</v>
      </c>
      <c r="AF166" s="487">
        <f t="shared" si="69"/>
        <v>13</v>
      </c>
      <c r="AG166" s="205">
        <f t="shared" si="69"/>
        <v>16.5</v>
      </c>
      <c r="AH166" s="205">
        <f t="shared" si="69"/>
        <v>18.445</v>
      </c>
      <c r="AI166" s="205">
        <f>AI64</f>
        <v>15.75</v>
      </c>
      <c r="AJ166" s="205">
        <f t="shared" si="69"/>
        <v>16.37</v>
      </c>
      <c r="AK166" s="205">
        <f t="shared" si="69"/>
        <v>17.515000000000001</v>
      </c>
      <c r="AL166" s="205">
        <f t="shared" si="69"/>
        <v>16.52</v>
      </c>
      <c r="AM166" s="205">
        <f t="shared" si="69"/>
        <v>18.445</v>
      </c>
      <c r="AN166" s="205">
        <f t="shared" si="69"/>
        <v>12</v>
      </c>
      <c r="AO166" s="205">
        <f t="shared" si="69"/>
        <v>17.824999999999999</v>
      </c>
      <c r="AP166" s="205">
        <f t="shared" si="69"/>
        <v>15.9</v>
      </c>
      <c r="AQ166" s="205">
        <f t="shared" si="69"/>
        <v>6.2</v>
      </c>
      <c r="AR166" s="205">
        <f t="shared" si="69"/>
        <v>8.06</v>
      </c>
      <c r="AS166" s="205">
        <f t="shared" si="69"/>
        <v>1.56</v>
      </c>
      <c r="AT166" s="205">
        <f t="shared" si="69"/>
        <v>0.36</v>
      </c>
      <c r="AU166" s="205">
        <f t="shared" si="69"/>
        <v>2.2000000000000002</v>
      </c>
      <c r="AV166" s="205">
        <f t="shared" si="69"/>
        <v>1.6</v>
      </c>
      <c r="AW166" s="764" t="s">
        <v>272</v>
      </c>
      <c r="AX166" s="579" t="s">
        <v>3</v>
      </c>
      <c r="AY166" s="19"/>
      <c r="AZ166" s="19"/>
      <c r="BA166" s="19"/>
      <c r="BB166" s="19"/>
    </row>
    <row r="167" spans="1:54" s="19" customFormat="1" ht="23.25" thickBot="1">
      <c r="A167" s="25" t="s">
        <v>304</v>
      </c>
      <c r="B167" s="18"/>
      <c r="L167" s="64"/>
      <c r="M167" s="64"/>
      <c r="N167" s="64"/>
      <c r="O167" s="64"/>
      <c r="P167" s="64"/>
      <c r="Q167" s="65"/>
      <c r="R167" s="65"/>
      <c r="S167" s="65"/>
      <c r="T167" s="65"/>
      <c r="U167" s="65">
        <f>U171-U113-U114</f>
        <v>214.74000000000004</v>
      </c>
      <c r="V167" s="65"/>
      <c r="W167" s="65"/>
      <c r="X167" s="65"/>
      <c r="Y167" s="65"/>
      <c r="Z167" s="65"/>
      <c r="AA167" s="65"/>
      <c r="AB167" s="65"/>
      <c r="AC167" s="65">
        <f>AC168-17</f>
        <v>154.02699999999999</v>
      </c>
      <c r="AD167" s="65"/>
      <c r="AE167" s="65"/>
      <c r="AF167" s="65">
        <f>SUM(AF129,AF126,AF117)</f>
        <v>28.880000000000003</v>
      </c>
      <c r="AG167" s="65"/>
      <c r="AH167" s="65"/>
      <c r="AI167" s="65"/>
      <c r="AJ167" s="65"/>
      <c r="AK167" s="65"/>
      <c r="AL167" s="65"/>
      <c r="AM167" s="65"/>
      <c r="AN167" s="65"/>
      <c r="AO167" s="65"/>
      <c r="AP167" s="65"/>
      <c r="AQ167" s="65"/>
      <c r="AR167" s="65"/>
      <c r="AS167" s="65"/>
      <c r="AT167" s="65"/>
      <c r="AU167" s="65"/>
      <c r="AV167" s="65"/>
      <c r="AW167" s="184"/>
    </row>
    <row r="168" spans="1:54">
      <c r="A168" s="29" t="s">
        <v>305</v>
      </c>
      <c r="B168" s="33" t="s">
        <v>92</v>
      </c>
      <c r="C168" s="311" t="s">
        <v>243</v>
      </c>
      <c r="D168" s="312" t="s">
        <v>92</v>
      </c>
      <c r="E168" s="37">
        <f>E169+E170</f>
        <v>153.96899999999999</v>
      </c>
      <c r="F168" s="37">
        <f>F169+F170</f>
        <v>125.907</v>
      </c>
      <c r="G168" s="336">
        <f>G169+G170</f>
        <v>143.33699999999999</v>
      </c>
      <c r="H168" s="336">
        <f>H169+H170</f>
        <v>137.83699999999999</v>
      </c>
      <c r="I168" s="336">
        <f t="shared" ref="I168:Q168" si="70">I169+I170</f>
        <v>127.547</v>
      </c>
      <c r="J168" s="336">
        <f t="shared" si="70"/>
        <v>134.31700000000001</v>
      </c>
      <c r="K168" s="336">
        <f t="shared" si="70"/>
        <v>133.44200000000001</v>
      </c>
      <c r="L168" s="336">
        <f t="shared" si="70"/>
        <v>127.133</v>
      </c>
      <c r="M168" s="336">
        <f t="shared" si="70"/>
        <v>109.81</v>
      </c>
      <c r="N168" s="336">
        <f t="shared" si="70"/>
        <v>84.705999999999989</v>
      </c>
      <c r="O168" s="336">
        <f t="shared" si="70"/>
        <v>119.328</v>
      </c>
      <c r="P168" s="336">
        <f t="shared" si="70"/>
        <v>121.05</v>
      </c>
      <c r="Q168" s="336">
        <f t="shared" si="70"/>
        <v>73.457999999999998</v>
      </c>
      <c r="R168" s="336">
        <f>R169+R170</f>
        <v>99.144000000000005</v>
      </c>
      <c r="S168" s="336">
        <f t="shared" ref="S168:AV168" si="71">S169+S170</f>
        <v>95.72999999999999</v>
      </c>
      <c r="T168" s="336">
        <f t="shared" si="71"/>
        <v>108.71236263736263</v>
      </c>
      <c r="U168" s="336">
        <f t="shared" si="71"/>
        <v>94.41</v>
      </c>
      <c r="V168" s="336">
        <f t="shared" si="71"/>
        <v>97.06</v>
      </c>
      <c r="W168" s="336">
        <f t="shared" si="71"/>
        <v>100.8</v>
      </c>
      <c r="X168" s="336">
        <f t="shared" si="71"/>
        <v>112.874</v>
      </c>
      <c r="Y168" s="336">
        <f t="shared" si="71"/>
        <v>114.867</v>
      </c>
      <c r="Z168" s="336">
        <f t="shared" si="71"/>
        <v>120.536</v>
      </c>
      <c r="AA168" s="336">
        <f t="shared" si="71"/>
        <v>128.65600000000001</v>
      </c>
      <c r="AB168" s="336">
        <f t="shared" si="71"/>
        <v>128.49099999999999</v>
      </c>
      <c r="AC168" s="336">
        <f t="shared" si="71"/>
        <v>171.02699999999999</v>
      </c>
      <c r="AD168" s="336">
        <f t="shared" si="71"/>
        <v>148.04000000000002</v>
      </c>
      <c r="AE168" s="336">
        <f t="shared" si="71"/>
        <v>131.059</v>
      </c>
      <c r="AF168" s="336">
        <f>AF169+AF170</f>
        <v>123.10399999999998</v>
      </c>
      <c r="AG168" s="336">
        <f t="shared" si="71"/>
        <v>147.90600000000001</v>
      </c>
      <c r="AH168" s="336">
        <f t="shared" si="71"/>
        <v>107.60600000000001</v>
      </c>
      <c r="AI168" s="336">
        <f t="shared" si="71"/>
        <v>109.64300000000001</v>
      </c>
      <c r="AJ168" s="336">
        <f t="shared" si="71"/>
        <v>114.94999999999999</v>
      </c>
      <c r="AK168" s="336">
        <f>AK169+AK170</f>
        <v>116.13017944360473</v>
      </c>
      <c r="AL168" s="336">
        <f t="shared" si="71"/>
        <v>121.8099172508546</v>
      </c>
      <c r="AM168" s="336">
        <f t="shared" si="71"/>
        <v>129.49534348184571</v>
      </c>
      <c r="AN168" s="336">
        <f t="shared" si="71"/>
        <v>135.42442315824482</v>
      </c>
      <c r="AO168" s="336">
        <f t="shared" si="71"/>
        <v>128.38777925019099</v>
      </c>
      <c r="AP168" s="336">
        <f t="shared" si="71"/>
        <v>106.34772733471829</v>
      </c>
      <c r="AQ168" s="336">
        <f t="shared" si="71"/>
        <v>109.73998880596733</v>
      </c>
      <c r="AR168" s="336">
        <f t="shared" si="71"/>
        <v>109.41345399570474</v>
      </c>
      <c r="AS168" s="336">
        <f t="shared" si="71"/>
        <v>102.85093705596174</v>
      </c>
      <c r="AT168" s="336">
        <f t="shared" si="71"/>
        <v>114.79703982148268</v>
      </c>
      <c r="AU168" s="336">
        <f t="shared" si="71"/>
        <v>111.8421328139672</v>
      </c>
      <c r="AV168" s="336">
        <f t="shared" si="71"/>
        <v>104.68545079336262</v>
      </c>
      <c r="AW168" s="800"/>
      <c r="AX168" s="579" t="s">
        <v>3</v>
      </c>
      <c r="AY168" s="358">
        <f>SUM(Y168:AJ168)</f>
        <v>1545.885</v>
      </c>
      <c r="AZ168" s="19"/>
      <c r="BA168" s="19"/>
      <c r="BB168" s="19"/>
    </row>
    <row r="169" spans="1:54">
      <c r="A169" s="31" t="s">
        <v>306</v>
      </c>
      <c r="B169" s="23" t="s">
        <v>92</v>
      </c>
      <c r="C169" s="18" t="s">
        <v>307</v>
      </c>
      <c r="D169" s="309" t="s">
        <v>92</v>
      </c>
      <c r="E169" s="39">
        <f>E103+E109</f>
        <v>120.66</v>
      </c>
      <c r="F169" s="39">
        <f>F103+F109</f>
        <v>113</v>
      </c>
      <c r="G169" s="39">
        <f>G103+G109</f>
        <v>87</v>
      </c>
      <c r="H169" s="39">
        <f>H103+H109</f>
        <v>81</v>
      </c>
      <c r="I169" s="39">
        <f t="shared" ref="I169:X169" si="72">I103+I107+I109</f>
        <v>70</v>
      </c>
      <c r="J169" s="39">
        <f t="shared" si="72"/>
        <v>69</v>
      </c>
      <c r="K169" s="39">
        <f t="shared" si="72"/>
        <v>71</v>
      </c>
      <c r="L169" s="39">
        <f t="shared" si="72"/>
        <v>78.5</v>
      </c>
      <c r="M169" s="39">
        <f t="shared" si="72"/>
        <v>59</v>
      </c>
      <c r="N169" s="39">
        <f t="shared" si="72"/>
        <v>34</v>
      </c>
      <c r="O169" s="39">
        <f t="shared" si="72"/>
        <v>76</v>
      </c>
      <c r="P169" s="39">
        <f t="shared" si="72"/>
        <v>76.5</v>
      </c>
      <c r="Q169" s="39">
        <f t="shared" si="72"/>
        <v>43.5</v>
      </c>
      <c r="R169" s="39">
        <f t="shared" si="72"/>
        <v>55.5</v>
      </c>
      <c r="S169" s="39">
        <f t="shared" si="72"/>
        <v>47.93</v>
      </c>
      <c r="T169" s="39">
        <f t="shared" si="72"/>
        <v>56.379999999999995</v>
      </c>
      <c r="U169" s="39">
        <f t="shared" si="72"/>
        <v>42.91</v>
      </c>
      <c r="V169" s="39">
        <f t="shared" si="72"/>
        <v>43</v>
      </c>
      <c r="W169" s="39">
        <f t="shared" si="72"/>
        <v>48.4</v>
      </c>
      <c r="X169" s="39">
        <f t="shared" si="72"/>
        <v>58.5</v>
      </c>
      <c r="Y169" s="39">
        <f>Y103+Y107+Y108+Y109+Y94</f>
        <v>56.42</v>
      </c>
      <c r="Z169" s="39">
        <f>Z105+Z106+Z107+Z108+Z109+Z94</f>
        <v>66.66</v>
      </c>
      <c r="AA169" s="39">
        <f>AA105+AA106+AA107+AA108+AA109+AA94</f>
        <v>65.36</v>
      </c>
      <c r="AB169" s="39">
        <f>AB105+AB106+AB107+AB108+AB109+AB94</f>
        <v>84.3</v>
      </c>
      <c r="AC169" s="39">
        <f>AC105+AC106+AC107+AC108+AC109+AC94</f>
        <v>121.3</v>
      </c>
      <c r="AD169" s="39">
        <f>AD105+AD106+AD107+AD108+AD109</f>
        <v>88.579000000000008</v>
      </c>
      <c r="AE169" s="39">
        <f t="shared" ref="AE169:AV169" si="73">AE105+AE106+AE107+AE108+AE109</f>
        <v>100.679</v>
      </c>
      <c r="AF169" s="39">
        <f>AF105+AF106+AF107+AF108+AF109</f>
        <v>82.60199999999999</v>
      </c>
      <c r="AG169" s="39">
        <f t="shared" si="73"/>
        <v>94.522000000000006</v>
      </c>
      <c r="AH169" s="39">
        <f t="shared" si="73"/>
        <v>77.12</v>
      </c>
      <c r="AI169" s="39">
        <f t="shared" si="73"/>
        <v>57.100000000000009</v>
      </c>
      <c r="AJ169" s="39">
        <f t="shared" si="73"/>
        <v>55.5</v>
      </c>
      <c r="AK169" s="39">
        <f>AK105+AK106+AK107+AK108+AK109</f>
        <v>60.895247936755432</v>
      </c>
      <c r="AL169" s="39">
        <f t="shared" si="73"/>
        <v>71.533204922087478</v>
      </c>
      <c r="AM169" s="39">
        <f t="shared" si="73"/>
        <v>74.260411974996401</v>
      </c>
      <c r="AN169" s="39">
        <f t="shared" si="73"/>
        <v>82.842231377422905</v>
      </c>
      <c r="AO169" s="39">
        <f t="shared" si="73"/>
        <v>74.152847743341695</v>
      </c>
      <c r="AP169" s="39">
        <f t="shared" si="73"/>
        <v>51.76553555389637</v>
      </c>
      <c r="AQ169" s="39">
        <f t="shared" si="73"/>
        <v>52.505057299118015</v>
      </c>
      <c r="AR169" s="39">
        <f t="shared" si="73"/>
        <v>63.926453995704733</v>
      </c>
      <c r="AS169" s="39">
        <f t="shared" si="73"/>
        <v>47.268745275139821</v>
      </c>
      <c r="AT169" s="39">
        <f t="shared" si="73"/>
        <v>57.56210831463337</v>
      </c>
      <c r="AU169" s="39">
        <f t="shared" si="73"/>
        <v>55.657201307117887</v>
      </c>
      <c r="AV169" s="39">
        <f t="shared" si="73"/>
        <v>47.450519286513313</v>
      </c>
      <c r="AW169" s="795"/>
      <c r="AX169" s="579" t="s">
        <v>3</v>
      </c>
      <c r="AY169" s="19"/>
      <c r="AZ169" s="19"/>
      <c r="BA169" s="19"/>
      <c r="BB169" s="19"/>
    </row>
    <row r="170" spans="1:54" ht="15" thickBot="1">
      <c r="A170" s="31" t="s">
        <v>308</v>
      </c>
      <c r="B170" s="23" t="s">
        <v>92</v>
      </c>
      <c r="C170" s="18" t="s">
        <v>309</v>
      </c>
      <c r="D170" s="309" t="s">
        <v>92</v>
      </c>
      <c r="E170" s="39">
        <f t="shared" ref="E170:Y170" si="74">E110+E111</f>
        <v>33.308999999999997</v>
      </c>
      <c r="F170" s="39">
        <f t="shared" si="74"/>
        <v>12.907</v>
      </c>
      <c r="G170" s="39">
        <f t="shared" si="74"/>
        <v>56.337000000000003</v>
      </c>
      <c r="H170" s="39">
        <f t="shared" si="74"/>
        <v>56.837000000000003</v>
      </c>
      <c r="I170" s="39">
        <f t="shared" si="74"/>
        <v>57.546999999999997</v>
      </c>
      <c r="J170" s="39">
        <f t="shared" si="74"/>
        <v>65.316999999999993</v>
      </c>
      <c r="K170" s="39">
        <f t="shared" si="74"/>
        <v>62.442</v>
      </c>
      <c r="L170" s="39">
        <f t="shared" si="74"/>
        <v>48.632999999999996</v>
      </c>
      <c r="M170" s="39">
        <f t="shared" si="74"/>
        <v>50.81</v>
      </c>
      <c r="N170" s="39">
        <f t="shared" si="74"/>
        <v>50.705999999999996</v>
      </c>
      <c r="O170" s="39">
        <f t="shared" si="74"/>
        <v>43.327999999999996</v>
      </c>
      <c r="P170" s="39">
        <f t="shared" si="74"/>
        <v>44.55</v>
      </c>
      <c r="Q170" s="39">
        <f t="shared" si="74"/>
        <v>29.957999999999998</v>
      </c>
      <c r="R170" s="39">
        <f t="shared" si="74"/>
        <v>43.643999999999998</v>
      </c>
      <c r="S170" s="39">
        <f t="shared" si="74"/>
        <v>47.8</v>
      </c>
      <c r="T170" s="39">
        <f t="shared" si="74"/>
        <v>52.332362637362635</v>
      </c>
      <c r="U170" s="39">
        <f t="shared" si="74"/>
        <v>51.5</v>
      </c>
      <c r="V170" s="39">
        <f t="shared" si="74"/>
        <v>54.06</v>
      </c>
      <c r="W170" s="39">
        <f t="shared" si="74"/>
        <v>52.4</v>
      </c>
      <c r="X170" s="39">
        <f t="shared" si="74"/>
        <v>54.373999999999995</v>
      </c>
      <c r="Y170" s="39">
        <f t="shared" si="74"/>
        <v>58.447000000000003</v>
      </c>
      <c r="Z170" s="39">
        <f>Z110+Z111+Z112</f>
        <v>53.876000000000005</v>
      </c>
      <c r="AA170" s="39">
        <f t="shared" ref="AA170:AV170" si="75">AA110+AA111+AA112</f>
        <v>63.296000000000006</v>
      </c>
      <c r="AB170" s="39">
        <f t="shared" si="75"/>
        <v>44.191000000000003</v>
      </c>
      <c r="AC170" s="39">
        <f t="shared" si="75"/>
        <v>49.726999999999997</v>
      </c>
      <c r="AD170" s="39">
        <f t="shared" si="75"/>
        <v>59.460999999999999</v>
      </c>
      <c r="AE170" s="39">
        <f t="shared" si="75"/>
        <v>30.38</v>
      </c>
      <c r="AF170" s="39">
        <f t="shared" si="75"/>
        <v>40.502000000000002</v>
      </c>
      <c r="AG170" s="39">
        <f t="shared" si="75"/>
        <v>53.384</v>
      </c>
      <c r="AH170" s="39">
        <f t="shared" si="75"/>
        <v>30.486000000000004</v>
      </c>
      <c r="AI170" s="39">
        <f t="shared" si="75"/>
        <v>52.543000000000006</v>
      </c>
      <c r="AJ170" s="39">
        <f t="shared" si="75"/>
        <v>59.449999999999996</v>
      </c>
      <c r="AK170" s="39">
        <f>AK110+AK111+AK112</f>
        <v>55.234931506849307</v>
      </c>
      <c r="AL170" s="39">
        <f t="shared" si="75"/>
        <v>50.276712328767118</v>
      </c>
      <c r="AM170" s="39">
        <f t="shared" si="75"/>
        <v>55.234931506849307</v>
      </c>
      <c r="AN170" s="39">
        <f t="shared" si="75"/>
        <v>52.582191780821915</v>
      </c>
      <c r="AO170" s="39">
        <f t="shared" si="75"/>
        <v>54.234931506849307</v>
      </c>
      <c r="AP170" s="39">
        <f t="shared" si="75"/>
        <v>54.582191780821915</v>
      </c>
      <c r="AQ170" s="39">
        <f t="shared" si="75"/>
        <v>57.234931506849307</v>
      </c>
      <c r="AR170" s="39">
        <f t="shared" si="75"/>
        <v>45.487000000000002</v>
      </c>
      <c r="AS170" s="39">
        <f t="shared" si="75"/>
        <v>55.582191780821915</v>
      </c>
      <c r="AT170" s="39">
        <f t="shared" si="75"/>
        <v>57.234931506849307</v>
      </c>
      <c r="AU170" s="39">
        <f t="shared" si="75"/>
        <v>56.18493150684931</v>
      </c>
      <c r="AV170" s="39">
        <f t="shared" si="75"/>
        <v>57.234931506849307</v>
      </c>
      <c r="AW170" s="795"/>
      <c r="AX170" s="579" t="s">
        <v>3</v>
      </c>
      <c r="AY170" s="19"/>
      <c r="AZ170" s="19"/>
      <c r="BA170" s="19"/>
      <c r="BB170" s="19"/>
    </row>
    <row r="171" spans="1:54" s="19" customFormat="1" ht="18" customHeight="1">
      <c r="A171" s="22" t="s">
        <v>310</v>
      </c>
      <c r="B171" s="659" t="s">
        <v>311</v>
      </c>
      <c r="C171" s="659" t="s">
        <v>312</v>
      </c>
      <c r="D171" s="660" t="s">
        <v>313</v>
      </c>
      <c r="E171" s="34"/>
      <c r="F171" s="34"/>
      <c r="G171" s="336"/>
      <c r="H171" s="336"/>
      <c r="I171" s="336">
        <f t="shared" ref="I171:AC171" si="76">SUM(I113:I166)</f>
        <v>242.43</v>
      </c>
      <c r="J171" s="336">
        <f t="shared" si="76"/>
        <v>240.08403429999998</v>
      </c>
      <c r="K171" s="336">
        <f t="shared" si="76"/>
        <v>242.04816493999996</v>
      </c>
      <c r="L171" s="336">
        <f t="shared" si="76"/>
        <v>240.19812309999995</v>
      </c>
      <c r="M171" s="336">
        <f t="shared" si="76"/>
        <v>235.17329082000001</v>
      </c>
      <c r="N171" s="336">
        <f t="shared" si="76"/>
        <v>224.50545953</v>
      </c>
      <c r="O171" s="336">
        <f t="shared" si="76"/>
        <v>207.45499999999998</v>
      </c>
      <c r="P171" s="336">
        <f t="shared" si="76"/>
        <v>172.54</v>
      </c>
      <c r="Q171" s="336">
        <f t="shared" si="76"/>
        <v>170.11859380999999</v>
      </c>
      <c r="R171" s="336">
        <f t="shared" si="76"/>
        <v>183.64617381999997</v>
      </c>
      <c r="S171" s="336">
        <f t="shared" si="76"/>
        <v>206.13</v>
      </c>
      <c r="T171" s="336">
        <f t="shared" si="76"/>
        <v>215.22000000000006</v>
      </c>
      <c r="U171" s="336">
        <f t="shared" si="76"/>
        <v>216.19000000000003</v>
      </c>
      <c r="V171" s="336">
        <f t="shared" si="76"/>
        <v>228.25</v>
      </c>
      <c r="W171" s="336">
        <f t="shared" si="76"/>
        <v>222.56240770999997</v>
      </c>
      <c r="X171" s="336">
        <f t="shared" si="76"/>
        <v>224.22</v>
      </c>
      <c r="Y171" s="336">
        <f t="shared" si="76"/>
        <v>208.93700000000001</v>
      </c>
      <c r="Z171" s="336">
        <f t="shared" si="76"/>
        <v>204.36743945000001</v>
      </c>
      <c r="AA171" s="336">
        <f t="shared" si="76"/>
        <v>225.35999999999999</v>
      </c>
      <c r="AB171" s="336">
        <f t="shared" si="76"/>
        <v>195.85199999999998</v>
      </c>
      <c r="AC171" s="336">
        <f t="shared" si="76"/>
        <v>198.99500000000003</v>
      </c>
      <c r="AD171" s="336">
        <f>SUM(AD115:AD166)</f>
        <v>200.91</v>
      </c>
      <c r="AE171" s="336">
        <f t="shared" ref="AE171:AV171" si="77">SUM(AE115:AE166)</f>
        <v>203.85499999999999</v>
      </c>
      <c r="AF171" s="336">
        <f>SUM(AF115:AF166)</f>
        <v>196.11499999999998</v>
      </c>
      <c r="AG171" s="336">
        <f>SUM(AG115:AG166)</f>
        <v>200.45000000000002</v>
      </c>
      <c r="AH171" s="336">
        <f>SUM(AH115:AH166)</f>
        <v>204.44</v>
      </c>
      <c r="AI171" s="336">
        <f t="shared" si="77"/>
        <v>202.24</v>
      </c>
      <c r="AJ171" s="336">
        <f t="shared" si="77"/>
        <v>207.565</v>
      </c>
      <c r="AK171" s="336">
        <f>SUM(AK115:AK166)</f>
        <v>212.53000000000003</v>
      </c>
      <c r="AL171" s="336">
        <f t="shared" si="77"/>
        <v>198.42500000000001</v>
      </c>
      <c r="AM171" s="336">
        <f t="shared" si="77"/>
        <v>211.79999999999998</v>
      </c>
      <c r="AN171" s="336">
        <f t="shared" si="77"/>
        <v>203.965</v>
      </c>
      <c r="AO171" s="336">
        <f t="shared" si="77"/>
        <v>209.54999999999998</v>
      </c>
      <c r="AP171" s="336">
        <f t="shared" si="77"/>
        <v>205.95500000000001</v>
      </c>
      <c r="AQ171" s="336">
        <f t="shared" si="77"/>
        <v>213.095</v>
      </c>
      <c r="AR171" s="336">
        <f t="shared" si="77"/>
        <v>214.54499999999999</v>
      </c>
      <c r="AS171" s="336">
        <f t="shared" si="77"/>
        <v>210.45499999999998</v>
      </c>
      <c r="AT171" s="336">
        <f t="shared" si="77"/>
        <v>212.39500000000001</v>
      </c>
      <c r="AU171" s="336">
        <f t="shared" si="77"/>
        <v>208.035</v>
      </c>
      <c r="AV171" s="336">
        <f t="shared" si="77"/>
        <v>210.32499999999999</v>
      </c>
      <c r="AW171" s="800"/>
      <c r="AX171" s="579" t="s">
        <v>3</v>
      </c>
    </row>
    <row r="172" spans="1:54" s="19" customFormat="1" ht="18" customHeight="1">
      <c r="A172" s="21"/>
      <c r="B172" s="636" t="s">
        <v>311</v>
      </c>
      <c r="C172" s="636" t="s">
        <v>314</v>
      </c>
      <c r="D172" s="330" t="s">
        <v>287</v>
      </c>
      <c r="G172" s="64"/>
      <c r="H172" s="64"/>
      <c r="I172" s="64">
        <f>I117+I122+I124+I126+I129+I132+I134+I137+I138+I139+I144+I145+I147+I149+I152+I154+I156+I158+I159</f>
        <v>23.099999999999998</v>
      </c>
      <c r="J172" s="64">
        <f t="shared" ref="J172:U172" si="78">J117+J122+J124+J126+J129+J132+J134+J137+J138+J139+J144+J145+J147+J149+J152+J154+J156+J158+J159</f>
        <v>25.6</v>
      </c>
      <c r="K172" s="64">
        <f t="shared" si="78"/>
        <v>38.35</v>
      </c>
      <c r="L172" s="64">
        <f t="shared" si="78"/>
        <v>24.62</v>
      </c>
      <c r="M172" s="64">
        <f t="shared" si="78"/>
        <v>22.66</v>
      </c>
      <c r="N172" s="64">
        <f t="shared" si="78"/>
        <v>18.09</v>
      </c>
      <c r="O172" s="64">
        <f t="shared" si="78"/>
        <v>17.23</v>
      </c>
      <c r="P172" s="64">
        <f t="shared" si="78"/>
        <v>11.25</v>
      </c>
      <c r="Q172" s="64">
        <f t="shared" si="78"/>
        <v>12.100000000000001</v>
      </c>
      <c r="R172" s="64">
        <f t="shared" si="78"/>
        <v>17.88</v>
      </c>
      <c r="S172" s="64">
        <f t="shared" si="78"/>
        <v>23.200000000000003</v>
      </c>
      <c r="T172" s="64">
        <f t="shared" si="78"/>
        <v>31.1</v>
      </c>
      <c r="U172" s="64">
        <f t="shared" si="78"/>
        <v>28.200000000000003</v>
      </c>
      <c r="V172" s="64">
        <f>V117+V118+V122+V124+V126+V127+V129+V130+V132+V134+V137+V138+V139+V144+V145+V147+V149+V152+V154+V156+V158+V159</f>
        <v>31.5</v>
      </c>
      <c r="W172" s="64">
        <f>W117+W118+W122+W124+W126+W127+W129+W130+W132+W134+W137+W138+W139+W144+W145+W147+W149+W152+W154+W156+W158+W159</f>
        <v>32.200000000000003</v>
      </c>
      <c r="X172" s="64">
        <f>X117+X118+X122+X124+X126+X127+X129+X130+X132+X134+X137+X138+X139+X144+X145+X147+X149+X152+X154+X156+X158+X159</f>
        <v>30.77</v>
      </c>
      <c r="Y172" s="64">
        <f>Y117+Y118+Y122+Y124+Y126+Y127+Y129+Y130+Y132+Y134+Y137+Y138+Y139+Y144+Y145+Y147+Y149+Y152+Y154+Y156+Y158+Y159+Y150</f>
        <v>26.55</v>
      </c>
      <c r="Z172" s="64">
        <f t="shared" ref="Z172:AV172" si="79">Z117+Z118+Z122+Z124+Z126+Z127+Z129+Z130+Z132+Z134+Z137+Z138+Z139+Z144+Z145+Z147+Z149+Z152+Z154+Z156+Z158+Z159+Z150</f>
        <v>32.519999999999996</v>
      </c>
      <c r="AA172" s="64">
        <f t="shared" si="79"/>
        <v>34.83</v>
      </c>
      <c r="AB172" s="64">
        <f t="shared" si="79"/>
        <v>29.07</v>
      </c>
      <c r="AC172" s="64">
        <f t="shared" si="79"/>
        <v>28.519999999999996</v>
      </c>
      <c r="AD172" s="64">
        <f t="shared" si="79"/>
        <v>36.29</v>
      </c>
      <c r="AE172" s="64">
        <f t="shared" si="79"/>
        <v>38.450000000000003</v>
      </c>
      <c r="AF172" s="64">
        <f t="shared" si="79"/>
        <v>32.43</v>
      </c>
      <c r="AG172" s="64">
        <f t="shared" si="79"/>
        <v>33.450000000000003</v>
      </c>
      <c r="AH172" s="64">
        <f>AH117+AH118+AH122+AH124+AH126+AH127+AH129+AH130+AH132+AH134+AH137+AH138+AH139+AH144+AH145+AH147+AH149+AH152+AH154+AH156+AH158+AH159+AH150</f>
        <v>29.48</v>
      </c>
      <c r="AI172" s="64">
        <f t="shared" si="79"/>
        <v>31.700000000000003</v>
      </c>
      <c r="AJ172" s="64">
        <f t="shared" si="79"/>
        <v>30.200000000000003</v>
      </c>
      <c r="AK172" s="64">
        <f t="shared" si="79"/>
        <v>30.68</v>
      </c>
      <c r="AL172" s="64">
        <f t="shared" si="79"/>
        <v>30.68</v>
      </c>
      <c r="AM172" s="64">
        <f t="shared" si="79"/>
        <v>42.68</v>
      </c>
      <c r="AN172" s="64">
        <f t="shared" si="79"/>
        <v>33.68</v>
      </c>
      <c r="AO172" s="64">
        <f t="shared" si="79"/>
        <v>30.68</v>
      </c>
      <c r="AP172" s="64">
        <f t="shared" si="79"/>
        <v>30.68</v>
      </c>
      <c r="AQ172" s="64">
        <f t="shared" si="79"/>
        <v>39.480000000000004</v>
      </c>
      <c r="AR172" s="64">
        <f t="shared" si="79"/>
        <v>37.619999999999997</v>
      </c>
      <c r="AS172" s="64">
        <f t="shared" si="79"/>
        <v>44.120000000000005</v>
      </c>
      <c r="AT172" s="64">
        <f t="shared" si="79"/>
        <v>45.320000000000007</v>
      </c>
      <c r="AU172" s="64">
        <f t="shared" si="79"/>
        <v>43.480000000000004</v>
      </c>
      <c r="AV172" s="64">
        <f t="shared" si="79"/>
        <v>44.080000000000005</v>
      </c>
      <c r="AW172" s="698" t="s">
        <v>255</v>
      </c>
      <c r="AX172" s="579" t="s">
        <v>3</v>
      </c>
    </row>
    <row r="173" spans="1:54" s="19" customFormat="1" ht="18" customHeight="1">
      <c r="A173" s="21"/>
      <c r="B173" s="636" t="s">
        <v>311</v>
      </c>
      <c r="C173" s="636" t="s">
        <v>314</v>
      </c>
      <c r="D173" s="330" t="s">
        <v>315</v>
      </c>
      <c r="G173" s="294"/>
      <c r="H173" s="294"/>
      <c r="I173" s="294">
        <f>I115+I116+I119+I120+I121+I123+I125+I128+I131+I133+I135+I136+I143+I146+I148+I151+I153+I155+I157</f>
        <v>189.82999999999998</v>
      </c>
      <c r="J173" s="294">
        <f t="shared" ref="J173:AV173" si="80">J115+J116+J119+J120+J121+J123+J125+J128+J131+J133+J135+J136+J143+J146+J148+J151+J153+J155+J157</f>
        <v>190.2437323</v>
      </c>
      <c r="K173" s="294">
        <f t="shared" si="80"/>
        <v>183.23999999999998</v>
      </c>
      <c r="L173" s="294">
        <f t="shared" si="80"/>
        <v>191.20567744999997</v>
      </c>
      <c r="M173" s="294">
        <f t="shared" si="80"/>
        <v>181.64329082</v>
      </c>
      <c r="N173" s="294">
        <f t="shared" si="80"/>
        <v>175.59545953</v>
      </c>
      <c r="O173" s="294">
        <f t="shared" si="80"/>
        <v>161.47</v>
      </c>
      <c r="P173" s="294">
        <f t="shared" si="80"/>
        <v>132.49</v>
      </c>
      <c r="Q173" s="294">
        <f t="shared" si="80"/>
        <v>133.46</v>
      </c>
      <c r="R173" s="294">
        <f t="shared" si="80"/>
        <v>141.44</v>
      </c>
      <c r="S173" s="294">
        <f t="shared" si="80"/>
        <v>156.22999999999999</v>
      </c>
      <c r="T173" s="294">
        <f t="shared" si="80"/>
        <v>160.78</v>
      </c>
      <c r="U173" s="294">
        <f t="shared" si="80"/>
        <v>158.84</v>
      </c>
      <c r="V173" s="294">
        <f t="shared" si="80"/>
        <v>166.91</v>
      </c>
      <c r="W173" s="294">
        <f t="shared" si="80"/>
        <v>160.70240770999999</v>
      </c>
      <c r="X173" s="294">
        <f t="shared" si="80"/>
        <v>162.72</v>
      </c>
      <c r="Y173" s="294">
        <f t="shared" si="80"/>
        <v>156.13</v>
      </c>
      <c r="Z173" s="294">
        <f t="shared" si="80"/>
        <v>148.42743945000001</v>
      </c>
      <c r="AA173" s="294">
        <f t="shared" si="80"/>
        <v>162.11000000000001</v>
      </c>
      <c r="AB173" s="294">
        <f t="shared" si="80"/>
        <v>137.82999999999998</v>
      </c>
      <c r="AC173" s="294">
        <f t="shared" si="80"/>
        <v>140.82999999999998</v>
      </c>
      <c r="AD173" s="294">
        <f t="shared" si="80"/>
        <v>141.32</v>
      </c>
      <c r="AE173" s="64">
        <f>AE115+AE116+AE119+AE120+AE121+AE123+AE125+AE128+AE131+AE133+AE135+AE136+AE143+AE146+AE148+AE151+AE153+AE155+AE157</f>
        <v>145.26999999999998</v>
      </c>
      <c r="AF173" s="294">
        <f t="shared" si="80"/>
        <v>138.22999999999999</v>
      </c>
      <c r="AG173" s="294">
        <f t="shared" si="80"/>
        <v>138.94999999999999</v>
      </c>
      <c r="AH173" s="294">
        <f>AH115+AH116+AH119+AH120+AH121+AH123+AH125+AH128+AH131+AH133+AH135+AH136+AH143+AH146+AH148+AH151+AH153+AH155+AH157</f>
        <v>144.75900000000001</v>
      </c>
      <c r="AI173" s="294">
        <f t="shared" si="80"/>
        <v>140.63999999999999</v>
      </c>
      <c r="AJ173" s="294">
        <f t="shared" si="80"/>
        <v>148.66</v>
      </c>
      <c r="AK173" s="294">
        <f t="shared" si="80"/>
        <v>152.48000000000002</v>
      </c>
      <c r="AL173" s="294">
        <f t="shared" si="80"/>
        <v>139.37</v>
      </c>
      <c r="AM173" s="294">
        <f t="shared" si="80"/>
        <v>138.82</v>
      </c>
      <c r="AN173" s="294">
        <f t="shared" si="80"/>
        <v>146.43</v>
      </c>
      <c r="AO173" s="294">
        <f t="shared" si="80"/>
        <v>149.19</v>
      </c>
      <c r="AP173" s="294">
        <f t="shared" si="80"/>
        <v>147.52000000000001</v>
      </c>
      <c r="AQ173" s="294">
        <f t="shared" si="80"/>
        <v>155.56</v>
      </c>
      <c r="AR173" s="294">
        <f t="shared" si="80"/>
        <v>157.01</v>
      </c>
      <c r="AS173" s="294">
        <f t="shared" si="80"/>
        <v>152.91999999999999</v>
      </c>
      <c r="AT173" s="294">
        <f t="shared" si="80"/>
        <v>154.86000000000001</v>
      </c>
      <c r="AU173" s="294">
        <f t="shared" si="80"/>
        <v>150.5</v>
      </c>
      <c r="AV173" s="294">
        <f t="shared" si="80"/>
        <v>152.79</v>
      </c>
      <c r="AW173" s="698" t="s">
        <v>254</v>
      </c>
      <c r="AX173" s="579" t="s">
        <v>3</v>
      </c>
    </row>
    <row r="174" spans="1:54" s="19" customFormat="1" ht="18" customHeight="1">
      <c r="A174" s="21"/>
      <c r="B174" s="331" t="s">
        <v>92</v>
      </c>
      <c r="C174" s="636" t="s">
        <v>312</v>
      </c>
      <c r="D174" s="330" t="s">
        <v>316</v>
      </c>
      <c r="G174" s="64"/>
      <c r="H174" s="64"/>
      <c r="I174" s="64">
        <f t="shared" ref="I174:AU174" si="81">I113+I114</f>
        <v>0.8</v>
      </c>
      <c r="J174" s="64">
        <f t="shared" si="81"/>
        <v>0.64030200000000004</v>
      </c>
      <c r="K174" s="64">
        <f t="shared" si="81"/>
        <v>0.60816493999999999</v>
      </c>
      <c r="L174" s="64">
        <f t="shared" si="81"/>
        <v>1.1024456499999999</v>
      </c>
      <c r="M174" s="64">
        <f t="shared" si="81"/>
        <v>1.3</v>
      </c>
      <c r="N174" s="64">
        <f t="shared" si="81"/>
        <v>1.56</v>
      </c>
      <c r="O174" s="64">
        <f t="shared" si="81"/>
        <v>1.3</v>
      </c>
      <c r="P174" s="64">
        <f t="shared" si="81"/>
        <v>1.45</v>
      </c>
      <c r="Q174" s="64">
        <f t="shared" si="81"/>
        <v>1.3585938099999999</v>
      </c>
      <c r="R174" s="64">
        <f t="shared" si="81"/>
        <v>1.12617382</v>
      </c>
      <c r="S174" s="64">
        <f t="shared" si="81"/>
        <v>1.4</v>
      </c>
      <c r="T174" s="64">
        <f t="shared" si="81"/>
        <v>1.02</v>
      </c>
      <c r="U174" s="64">
        <f t="shared" si="81"/>
        <v>1.45</v>
      </c>
      <c r="V174" s="64">
        <f t="shared" si="81"/>
        <v>1.4500000000000002</v>
      </c>
      <c r="W174" s="64">
        <f t="shared" si="81"/>
        <v>1.4</v>
      </c>
      <c r="X174" s="64">
        <f t="shared" si="81"/>
        <v>1.2</v>
      </c>
      <c r="Y174" s="64">
        <f t="shared" si="81"/>
        <v>1.4</v>
      </c>
      <c r="Z174" s="64">
        <f t="shared" si="81"/>
        <v>1.2999999999999998</v>
      </c>
      <c r="AA174" s="64">
        <f t="shared" si="81"/>
        <v>1.35</v>
      </c>
      <c r="AB174" s="64">
        <f t="shared" si="81"/>
        <v>1.2</v>
      </c>
      <c r="AC174" s="64">
        <f t="shared" si="81"/>
        <v>1.45</v>
      </c>
      <c r="AD174" s="64">
        <f t="shared" si="81"/>
        <v>1.47</v>
      </c>
      <c r="AE174" s="64">
        <f t="shared" si="81"/>
        <v>1.26</v>
      </c>
      <c r="AF174" s="64">
        <f t="shared" si="81"/>
        <v>1.33</v>
      </c>
      <c r="AG174" s="64">
        <f t="shared" si="81"/>
        <v>1.23</v>
      </c>
      <c r="AH174" s="64">
        <f>AH113+AH114</f>
        <v>1.05</v>
      </c>
      <c r="AI174" s="64">
        <f t="shared" si="81"/>
        <v>1.5</v>
      </c>
      <c r="AJ174" s="64">
        <f t="shared" si="81"/>
        <v>1.35</v>
      </c>
      <c r="AK174" s="64">
        <f t="shared" si="81"/>
        <v>0.85</v>
      </c>
      <c r="AL174" s="64">
        <f t="shared" si="81"/>
        <v>0.9</v>
      </c>
      <c r="AM174" s="64">
        <f t="shared" si="81"/>
        <v>0.9</v>
      </c>
      <c r="AN174" s="64">
        <f t="shared" si="81"/>
        <v>0.95</v>
      </c>
      <c r="AO174" s="64">
        <f t="shared" si="81"/>
        <v>0.95</v>
      </c>
      <c r="AP174" s="64">
        <f t="shared" si="81"/>
        <v>0.9</v>
      </c>
      <c r="AQ174" s="64">
        <f t="shared" si="81"/>
        <v>1.1000000000000001</v>
      </c>
      <c r="AR174" s="64">
        <f>AR113+AR114</f>
        <v>1.1000000000000001</v>
      </c>
      <c r="AS174" s="64">
        <f t="shared" si="81"/>
        <v>1.1000000000000001</v>
      </c>
      <c r="AT174" s="64">
        <f t="shared" si="81"/>
        <v>1.1000000000000001</v>
      </c>
      <c r="AU174" s="64">
        <f t="shared" si="81"/>
        <v>1.1000000000000001</v>
      </c>
      <c r="AV174" s="64">
        <f>AV113+AV114</f>
        <v>1.1000000000000001</v>
      </c>
      <c r="AW174" s="698"/>
      <c r="AX174" s="579" t="s">
        <v>3</v>
      </c>
    </row>
    <row r="175" spans="1:54" s="19" customFormat="1" ht="18" customHeight="1">
      <c r="A175" s="21"/>
      <c r="B175" s="331"/>
      <c r="C175" s="636" t="s">
        <v>317</v>
      </c>
      <c r="D175" s="330"/>
      <c r="G175" s="64"/>
      <c r="H175" s="64"/>
      <c r="I175" s="64"/>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c r="AK175" s="64"/>
      <c r="AL175" s="64"/>
      <c r="AM175" s="64"/>
      <c r="AN175" s="64"/>
      <c r="AO175" s="64"/>
      <c r="AP175" s="64"/>
      <c r="AQ175" s="64"/>
      <c r="AR175" s="64"/>
      <c r="AS175" s="64"/>
      <c r="AT175" s="64"/>
      <c r="AU175" s="64"/>
      <c r="AV175" s="64"/>
      <c r="AW175" s="698" t="s">
        <v>318</v>
      </c>
      <c r="AX175" s="579"/>
    </row>
    <row r="176" spans="1:54" s="19" customFormat="1" ht="18" customHeight="1">
      <c r="A176" s="21"/>
      <c r="B176" s="331"/>
      <c r="C176" s="636" t="s">
        <v>319</v>
      </c>
      <c r="D176" s="330"/>
      <c r="G176" s="64"/>
      <c r="H176" s="64"/>
      <c r="I176" s="64"/>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c r="AK176" s="64"/>
      <c r="AL176" s="64"/>
      <c r="AM176" s="64"/>
      <c r="AN176" s="64"/>
      <c r="AO176" s="64"/>
      <c r="AP176" s="64"/>
      <c r="AQ176" s="64"/>
      <c r="AR176" s="64"/>
      <c r="AS176" s="64"/>
      <c r="AT176" s="64"/>
      <c r="AU176" s="64"/>
      <c r="AV176" s="64"/>
      <c r="AW176" s="698"/>
      <c r="AX176" s="579" t="s">
        <v>3</v>
      </c>
      <c r="AY176" s="19" t="s">
        <v>320</v>
      </c>
    </row>
    <row r="177" spans="1:54" s="19" customFormat="1" ht="15" thickBot="1">
      <c r="A177" s="21"/>
      <c r="B177" s="331" t="s">
        <v>321</v>
      </c>
      <c r="C177" s="636" t="s">
        <v>280</v>
      </c>
      <c r="D177" s="330" t="s">
        <v>322</v>
      </c>
      <c r="G177" s="65"/>
      <c r="H177" s="65"/>
      <c r="I177" s="65">
        <f t="shared" ref="I177:Q177" si="82">SUM(I161:I166)</f>
        <v>28.7</v>
      </c>
      <c r="J177" s="65">
        <f t="shared" si="82"/>
        <v>23.6</v>
      </c>
      <c r="K177" s="65">
        <f t="shared" si="82"/>
        <v>19.850000000000001</v>
      </c>
      <c r="L177" s="65">
        <f t="shared" si="82"/>
        <v>23.27</v>
      </c>
      <c r="M177" s="65">
        <f t="shared" si="82"/>
        <v>29.57</v>
      </c>
      <c r="N177" s="65">
        <f t="shared" si="82"/>
        <v>29.259999999999998</v>
      </c>
      <c r="O177" s="65">
        <f t="shared" si="82"/>
        <v>26.774999999999999</v>
      </c>
      <c r="P177" s="65">
        <f t="shared" si="82"/>
        <v>26.65</v>
      </c>
      <c r="Q177" s="65">
        <f t="shared" si="82"/>
        <v>22.6</v>
      </c>
      <c r="R177" s="65">
        <f t="shared" ref="R177:AV177" si="83">SUM(R161:R166)</f>
        <v>23.2</v>
      </c>
      <c r="S177" s="65">
        <f t="shared" si="83"/>
        <v>24.7</v>
      </c>
      <c r="T177" s="65">
        <f t="shared" si="83"/>
        <v>21.72</v>
      </c>
      <c r="U177" s="65">
        <f t="shared" si="83"/>
        <v>26.2</v>
      </c>
      <c r="V177" s="65">
        <f t="shared" si="83"/>
        <v>28.39</v>
      </c>
      <c r="W177" s="65">
        <f t="shared" si="83"/>
        <v>27.66</v>
      </c>
      <c r="X177" s="65">
        <f t="shared" si="83"/>
        <v>27.65</v>
      </c>
      <c r="Y177" s="65">
        <f t="shared" si="83"/>
        <v>24.856999999999999</v>
      </c>
      <c r="Z177" s="65">
        <f t="shared" si="83"/>
        <v>19.12</v>
      </c>
      <c r="AA177" s="65">
        <f t="shared" si="83"/>
        <v>25.87</v>
      </c>
      <c r="AB177" s="65">
        <f t="shared" si="83"/>
        <v>26.552</v>
      </c>
      <c r="AC177" s="65">
        <f t="shared" si="83"/>
        <v>26.995000000000001</v>
      </c>
      <c r="AD177" s="65">
        <f t="shared" si="83"/>
        <v>23.3</v>
      </c>
      <c r="AE177" s="65">
        <f t="shared" si="83"/>
        <v>20.135000000000002</v>
      </c>
      <c r="AF177" s="65">
        <f t="shared" si="83"/>
        <v>24.855</v>
      </c>
      <c r="AG177" s="65">
        <f t="shared" si="83"/>
        <v>27.45</v>
      </c>
      <c r="AH177" s="65">
        <f t="shared" si="83"/>
        <v>28.401</v>
      </c>
      <c r="AI177" s="65">
        <f t="shared" si="83"/>
        <v>28.7</v>
      </c>
      <c r="AJ177" s="65">
        <f t="shared" si="83"/>
        <v>27.505000000000003</v>
      </c>
      <c r="AK177" s="65">
        <f t="shared" si="83"/>
        <v>29.37</v>
      </c>
      <c r="AL177" s="65">
        <f t="shared" si="83"/>
        <v>28.375</v>
      </c>
      <c r="AM177" s="65">
        <f t="shared" si="83"/>
        <v>30.3</v>
      </c>
      <c r="AN177" s="65">
        <f t="shared" si="83"/>
        <v>23.855</v>
      </c>
      <c r="AO177" s="65">
        <f t="shared" si="83"/>
        <v>29.68</v>
      </c>
      <c r="AP177" s="65">
        <f t="shared" si="83"/>
        <v>27.755000000000003</v>
      </c>
      <c r="AQ177" s="65">
        <f t="shared" si="83"/>
        <v>18.055</v>
      </c>
      <c r="AR177" s="65">
        <f t="shared" si="83"/>
        <v>19.914999999999999</v>
      </c>
      <c r="AS177" s="65">
        <f t="shared" si="83"/>
        <v>13.415000000000001</v>
      </c>
      <c r="AT177" s="65">
        <f t="shared" si="83"/>
        <v>12.215</v>
      </c>
      <c r="AU177" s="65">
        <f t="shared" si="83"/>
        <v>14.055</v>
      </c>
      <c r="AV177" s="65">
        <f t="shared" si="83"/>
        <v>13.455</v>
      </c>
      <c r="AW177" s="698"/>
      <c r="AX177" s="579" t="s">
        <v>3</v>
      </c>
    </row>
    <row r="178" spans="1:54" s="19" customFormat="1">
      <c r="A178" s="28"/>
      <c r="B178" s="369" t="s">
        <v>92</v>
      </c>
      <c r="C178" s="659" t="s">
        <v>323</v>
      </c>
      <c r="D178" s="329" t="s">
        <v>313</v>
      </c>
      <c r="E178" s="368">
        <f t="shared" ref="E178:T178" si="84">SUM(E114:E139)</f>
        <v>156.68</v>
      </c>
      <c r="F178" s="340">
        <f t="shared" si="84"/>
        <v>166.56891165000002</v>
      </c>
      <c r="G178" s="335">
        <f t="shared" si="84"/>
        <v>185.92871692</v>
      </c>
      <c r="H178" s="335">
        <f t="shared" si="84"/>
        <v>177.00768496999999</v>
      </c>
      <c r="I178" s="335">
        <f t="shared" si="84"/>
        <v>187.92999999999998</v>
      </c>
      <c r="J178" s="335">
        <f t="shared" si="84"/>
        <v>193.84373229999997</v>
      </c>
      <c r="K178" s="335">
        <f t="shared" si="84"/>
        <v>198.58999999999997</v>
      </c>
      <c r="L178" s="335">
        <f t="shared" si="84"/>
        <v>191.32567744999997</v>
      </c>
      <c r="M178" s="335">
        <f t="shared" si="84"/>
        <v>184.80329082</v>
      </c>
      <c r="N178" s="335">
        <f t="shared" si="84"/>
        <v>176.30545953000001</v>
      </c>
      <c r="O178" s="335">
        <f t="shared" si="84"/>
        <v>172.35000000000002</v>
      </c>
      <c r="P178" s="335">
        <f t="shared" si="84"/>
        <v>142.49</v>
      </c>
      <c r="Q178" s="335">
        <f t="shared" si="84"/>
        <v>140.31</v>
      </c>
      <c r="R178" s="335">
        <f t="shared" si="84"/>
        <v>160.07</v>
      </c>
      <c r="S178" s="335">
        <f t="shared" si="84"/>
        <v>176.33</v>
      </c>
      <c r="T178" s="335">
        <f t="shared" si="84"/>
        <v>191.43000000000004</v>
      </c>
      <c r="U178" s="335">
        <f>SUM(U113:U139)</f>
        <v>188.79000000000005</v>
      </c>
      <c r="V178" s="335">
        <f>SUM(V114:V139)</f>
        <v>199.20999999999998</v>
      </c>
      <c r="W178" s="335">
        <f>SUM(W114:W139)</f>
        <v>180.70240770999999</v>
      </c>
      <c r="X178" s="335">
        <f>SUM(X114:X139)</f>
        <v>182.49</v>
      </c>
      <c r="Y178" s="335">
        <f>SUM(Y114:Y139)</f>
        <v>164.48000000000002</v>
      </c>
      <c r="Z178" s="335">
        <f t="shared" ref="Z178:AJ178" si="85">SUM(Z114:Z139)</f>
        <v>166.64743945000001</v>
      </c>
      <c r="AA178" s="335">
        <f t="shared" si="85"/>
        <v>197.68999999999997</v>
      </c>
      <c r="AB178" s="335">
        <f t="shared" si="85"/>
        <v>165.49999999999997</v>
      </c>
      <c r="AC178" s="335">
        <f t="shared" si="85"/>
        <v>170.20000000000002</v>
      </c>
      <c r="AD178" s="335">
        <f t="shared" si="85"/>
        <v>178.23</v>
      </c>
      <c r="AE178" s="335">
        <f t="shared" si="85"/>
        <v>184.47999999999996</v>
      </c>
      <c r="AF178" s="335">
        <f t="shared" si="85"/>
        <v>171.30999999999997</v>
      </c>
      <c r="AG178" s="335">
        <f t="shared" si="85"/>
        <v>172.9</v>
      </c>
      <c r="AH178" s="335">
        <f t="shared" si="85"/>
        <v>173.68900000000002</v>
      </c>
      <c r="AI178" s="335">
        <f t="shared" si="85"/>
        <v>173.23999999999998</v>
      </c>
      <c r="AJ178" s="335">
        <f t="shared" si="85"/>
        <v>179.70999999999998</v>
      </c>
      <c r="AK178" s="335">
        <f>SUM(AK114:AK139)</f>
        <v>183.51</v>
      </c>
      <c r="AL178" s="335">
        <f t="shared" ref="AL178:AV178" si="86">SUM(AL114:AL139)</f>
        <v>170.45</v>
      </c>
      <c r="AM178" s="335">
        <f t="shared" si="86"/>
        <v>181.89999999999998</v>
      </c>
      <c r="AN178" s="335">
        <f t="shared" si="86"/>
        <v>180.55999999999997</v>
      </c>
      <c r="AO178" s="335">
        <f t="shared" si="86"/>
        <v>180.32</v>
      </c>
      <c r="AP178" s="335">
        <f t="shared" si="86"/>
        <v>178.59999999999997</v>
      </c>
      <c r="AQ178" s="335">
        <f t="shared" si="86"/>
        <v>195.64</v>
      </c>
      <c r="AR178" s="335">
        <f t="shared" si="86"/>
        <v>195.23</v>
      </c>
      <c r="AS178" s="335">
        <f t="shared" si="86"/>
        <v>197.63999999999996</v>
      </c>
      <c r="AT178" s="335">
        <f t="shared" si="86"/>
        <v>200.78</v>
      </c>
      <c r="AU178" s="335">
        <f t="shared" si="86"/>
        <v>194.57999999999998</v>
      </c>
      <c r="AV178" s="335">
        <f t="shared" si="86"/>
        <v>197.46999999999997</v>
      </c>
      <c r="AW178" s="698"/>
      <c r="AX178" s="579" t="s">
        <v>3</v>
      </c>
      <c r="AY178" s="358">
        <f t="shared" ref="AY178:AY187" si="87">SUM(Y178:AJ178)</f>
        <v>2098.0764394500002</v>
      </c>
    </row>
    <row r="179" spans="1:54" s="19" customFormat="1">
      <c r="A179" s="28"/>
      <c r="B179" s="661" t="s">
        <v>311</v>
      </c>
      <c r="C179" s="636" t="s">
        <v>324</v>
      </c>
      <c r="D179" s="330" t="s">
        <v>313</v>
      </c>
      <c r="G179" s="633"/>
      <c r="H179" s="633"/>
      <c r="I179" s="633">
        <f t="shared" ref="I179:T179" si="88">SUM(I115:I117,I143:I145,I161,I165,I166,I113,I114,I140)</f>
        <v>186.57</v>
      </c>
      <c r="J179" s="633">
        <f t="shared" si="88"/>
        <v>180.2840343</v>
      </c>
      <c r="K179" s="633">
        <f t="shared" si="88"/>
        <v>184.44816493999997</v>
      </c>
      <c r="L179" s="633">
        <f t="shared" si="88"/>
        <v>182.09812309999998</v>
      </c>
      <c r="M179" s="633">
        <f t="shared" si="88"/>
        <v>170.64329082</v>
      </c>
      <c r="N179" s="633">
        <f t="shared" si="88"/>
        <v>161.30545953000001</v>
      </c>
      <c r="O179" s="633">
        <f t="shared" si="88"/>
        <v>157.29500000000002</v>
      </c>
      <c r="P179" s="633">
        <f t="shared" si="88"/>
        <v>129.58999999999997</v>
      </c>
      <c r="Q179" s="633">
        <f t="shared" si="88"/>
        <v>127.31859380999998</v>
      </c>
      <c r="R179" s="633">
        <f t="shared" si="88"/>
        <v>131.86617382</v>
      </c>
      <c r="S179" s="633">
        <f t="shared" si="88"/>
        <v>149.82999999999998</v>
      </c>
      <c r="T179" s="633">
        <f t="shared" si="88"/>
        <v>159.02000000000004</v>
      </c>
      <c r="U179" s="633">
        <f t="shared" ref="U179:AV179" si="89">SUM(U115:U118,U143:U145,U161,U165,U166,U113,U114,U140)</f>
        <v>157.19</v>
      </c>
      <c r="V179" s="633">
        <f>SUM(V115:V118,V143:V145,V161,V165,V166,V113,V114,V140)</f>
        <v>163.95000000000002</v>
      </c>
      <c r="W179" s="633">
        <f t="shared" si="89"/>
        <v>162.36240770999999</v>
      </c>
      <c r="X179" s="633">
        <f t="shared" si="89"/>
        <v>162.32</v>
      </c>
      <c r="Y179" s="633">
        <f t="shared" si="89"/>
        <v>153.23699999999999</v>
      </c>
      <c r="Z179" s="633">
        <f t="shared" si="89"/>
        <v>146.16743944999999</v>
      </c>
      <c r="AA179" s="633">
        <f t="shared" si="89"/>
        <v>161.66</v>
      </c>
      <c r="AB179" s="633">
        <f t="shared" si="89"/>
        <v>143.65199999999999</v>
      </c>
      <c r="AC179" s="633">
        <f t="shared" si="89"/>
        <v>146.315</v>
      </c>
      <c r="AD179" s="633">
        <f t="shared" si="89"/>
        <v>146.67999999999998</v>
      </c>
      <c r="AE179" s="633">
        <f>SUM(AE115:AE118,AE143:AE145,AE161,AE165,AE166,AE113,AE114,AE140)</f>
        <v>148.315</v>
      </c>
      <c r="AF179" s="633">
        <f>SUM(AF115:AF118,AF143:AF145,AF161,AF165,AF166,AF113,AF114,AF140)</f>
        <v>144.39500000000001</v>
      </c>
      <c r="AG179" s="633">
        <f t="shared" si="89"/>
        <v>147.88</v>
      </c>
      <c r="AH179" s="633">
        <f t="shared" si="89"/>
        <v>150.98999999999998</v>
      </c>
      <c r="AI179" s="633">
        <f t="shared" si="89"/>
        <v>146.54</v>
      </c>
      <c r="AJ179" s="633">
        <f t="shared" si="89"/>
        <v>150.715</v>
      </c>
      <c r="AK179" s="633">
        <f t="shared" si="89"/>
        <v>154.18000000000004</v>
      </c>
      <c r="AL179" s="633">
        <f t="shared" si="89"/>
        <v>146.12500000000003</v>
      </c>
      <c r="AM179" s="633">
        <f t="shared" si="89"/>
        <v>153.5</v>
      </c>
      <c r="AN179" s="633">
        <f t="shared" si="89"/>
        <v>145.715</v>
      </c>
      <c r="AO179" s="633">
        <f t="shared" si="89"/>
        <v>151.29999999999998</v>
      </c>
      <c r="AP179" s="633">
        <f t="shared" si="89"/>
        <v>147.65500000000003</v>
      </c>
      <c r="AQ179" s="633">
        <f t="shared" si="89"/>
        <v>152.995</v>
      </c>
      <c r="AR179" s="633">
        <f t="shared" si="89"/>
        <v>154.44499999999999</v>
      </c>
      <c r="AS179" s="633">
        <f t="shared" si="89"/>
        <v>150.35499999999999</v>
      </c>
      <c r="AT179" s="633">
        <f t="shared" si="89"/>
        <v>152.29500000000002</v>
      </c>
      <c r="AU179" s="633">
        <f t="shared" si="89"/>
        <v>147.935</v>
      </c>
      <c r="AV179" s="633">
        <f t="shared" si="89"/>
        <v>150.22499999999999</v>
      </c>
      <c r="AW179" s="698"/>
      <c r="AX179" s="579" t="s">
        <v>3</v>
      </c>
      <c r="AY179" s="358">
        <f t="shared" si="87"/>
        <v>1786.54643945</v>
      </c>
      <c r="BA179" s="19">
        <f>150*12</f>
        <v>1800</v>
      </c>
    </row>
    <row r="180" spans="1:54" s="19" customFormat="1">
      <c r="A180" s="28"/>
      <c r="B180" s="370" t="s">
        <v>311</v>
      </c>
      <c r="C180" s="341" t="s">
        <v>325</v>
      </c>
      <c r="D180" s="342" t="s">
        <v>313</v>
      </c>
      <c r="G180" s="343"/>
      <c r="H180" s="343"/>
      <c r="I180" s="343"/>
      <c r="J180" s="343"/>
      <c r="K180" s="343"/>
      <c r="L180" s="343"/>
      <c r="M180" s="343"/>
      <c r="N180" s="343"/>
      <c r="O180" s="343"/>
      <c r="P180" s="343"/>
      <c r="Q180" s="343"/>
      <c r="R180" s="343">
        <f t="shared" ref="R180:AV180" si="90">R179-R113-R114</f>
        <v>130.74</v>
      </c>
      <c r="S180" s="343">
        <f t="shared" si="90"/>
        <v>148.42999999999998</v>
      </c>
      <c r="T180" s="343">
        <f t="shared" si="90"/>
        <v>158.00000000000003</v>
      </c>
      <c r="U180" s="343">
        <f t="shared" si="90"/>
        <v>155.74</v>
      </c>
      <c r="V180" s="343">
        <f t="shared" si="90"/>
        <v>162.5</v>
      </c>
      <c r="W180" s="343">
        <f t="shared" si="90"/>
        <v>160.96240770999998</v>
      </c>
      <c r="X180" s="343">
        <f t="shared" si="90"/>
        <v>161.12</v>
      </c>
      <c r="Y180" s="343">
        <f t="shared" si="90"/>
        <v>151.83699999999999</v>
      </c>
      <c r="Z180" s="343">
        <f t="shared" si="90"/>
        <v>144.86743945000001</v>
      </c>
      <c r="AA180" s="343">
        <f t="shared" si="90"/>
        <v>160.31</v>
      </c>
      <c r="AB180" s="343">
        <f t="shared" si="90"/>
        <v>142.452</v>
      </c>
      <c r="AC180" s="343">
        <f t="shared" si="90"/>
        <v>144.86500000000001</v>
      </c>
      <c r="AD180" s="343">
        <f t="shared" si="90"/>
        <v>145.20999999999998</v>
      </c>
      <c r="AE180" s="343">
        <f>AE179-AE113-AE114</f>
        <v>147.05500000000001</v>
      </c>
      <c r="AF180" s="343">
        <f>AF179-AF113-AF114</f>
        <v>143.065</v>
      </c>
      <c r="AG180" s="343">
        <f t="shared" si="90"/>
        <v>146.65</v>
      </c>
      <c r="AH180" s="343">
        <f t="shared" si="90"/>
        <v>149.94</v>
      </c>
      <c r="AI180" s="343">
        <f t="shared" si="90"/>
        <v>145.04</v>
      </c>
      <c r="AJ180" s="343">
        <f t="shared" si="90"/>
        <v>149.36500000000001</v>
      </c>
      <c r="AK180" s="343">
        <f t="shared" si="90"/>
        <v>153.33000000000004</v>
      </c>
      <c r="AL180" s="343">
        <f t="shared" si="90"/>
        <v>145.22500000000002</v>
      </c>
      <c r="AM180" s="343">
        <f t="shared" si="90"/>
        <v>152.6</v>
      </c>
      <c r="AN180" s="343">
        <f t="shared" si="90"/>
        <v>144.76500000000001</v>
      </c>
      <c r="AO180" s="343">
        <f t="shared" si="90"/>
        <v>150.35</v>
      </c>
      <c r="AP180" s="343">
        <f t="shared" si="90"/>
        <v>146.75500000000002</v>
      </c>
      <c r="AQ180" s="343">
        <f t="shared" si="90"/>
        <v>151.89500000000001</v>
      </c>
      <c r="AR180" s="343">
        <f t="shared" si="90"/>
        <v>153.345</v>
      </c>
      <c r="AS180" s="343">
        <f t="shared" si="90"/>
        <v>149.255</v>
      </c>
      <c r="AT180" s="343">
        <f t="shared" si="90"/>
        <v>151.19500000000002</v>
      </c>
      <c r="AU180" s="343">
        <f t="shared" si="90"/>
        <v>146.83500000000001</v>
      </c>
      <c r="AV180" s="343">
        <f t="shared" si="90"/>
        <v>149.125</v>
      </c>
      <c r="AX180" s="579" t="s">
        <v>3</v>
      </c>
      <c r="AY180" s="358">
        <f t="shared" si="87"/>
        <v>1770.6564394500003</v>
      </c>
      <c r="BA180" s="19">
        <f>BA179*2%</f>
        <v>36</v>
      </c>
    </row>
    <row r="181" spans="1:54" s="19" customFormat="1">
      <c r="A181" s="28"/>
      <c r="B181" s="661" t="s">
        <v>311</v>
      </c>
      <c r="C181" s="636" t="s">
        <v>326</v>
      </c>
      <c r="D181" s="330" t="s">
        <v>313</v>
      </c>
      <c r="G181" s="633"/>
      <c r="H181" s="633"/>
      <c r="I181" s="633">
        <f t="shared" ref="I181:AV181" si="91">I119+I120</f>
        <v>45.760000000000005</v>
      </c>
      <c r="J181" s="633">
        <f t="shared" si="91"/>
        <v>46.2</v>
      </c>
      <c r="K181" s="633">
        <f t="shared" si="91"/>
        <v>46.2</v>
      </c>
      <c r="L181" s="633">
        <f t="shared" si="91"/>
        <v>46.2</v>
      </c>
      <c r="M181" s="633">
        <f t="shared" si="91"/>
        <v>44</v>
      </c>
      <c r="N181" s="633">
        <f t="shared" si="91"/>
        <v>44</v>
      </c>
      <c r="O181" s="633">
        <f t="shared" si="91"/>
        <v>33</v>
      </c>
      <c r="P181" s="633">
        <f t="shared" si="91"/>
        <v>30</v>
      </c>
      <c r="Q181" s="633">
        <f t="shared" si="91"/>
        <v>31</v>
      </c>
      <c r="R181" s="633">
        <f t="shared" si="91"/>
        <v>35</v>
      </c>
      <c r="S181" s="633">
        <f t="shared" si="91"/>
        <v>39</v>
      </c>
      <c r="T181" s="633">
        <f t="shared" si="91"/>
        <v>40</v>
      </c>
      <c r="U181" s="633">
        <f t="shared" si="91"/>
        <v>41</v>
      </c>
      <c r="V181" s="633">
        <f t="shared" si="91"/>
        <v>43</v>
      </c>
      <c r="W181" s="633">
        <f t="shared" si="91"/>
        <v>41</v>
      </c>
      <c r="X181" s="633">
        <f t="shared" si="91"/>
        <v>42</v>
      </c>
      <c r="Y181" s="633">
        <f t="shared" si="91"/>
        <v>40</v>
      </c>
      <c r="Z181" s="633">
        <f t="shared" si="91"/>
        <v>39.4</v>
      </c>
      <c r="AA181" s="633">
        <f t="shared" si="91"/>
        <v>43</v>
      </c>
      <c r="AB181" s="633">
        <f t="shared" si="91"/>
        <v>36</v>
      </c>
      <c r="AC181" s="633">
        <f t="shared" si="91"/>
        <v>36</v>
      </c>
      <c r="AD181" s="633">
        <f>AD119+AD120</f>
        <v>36</v>
      </c>
      <c r="AE181" s="633">
        <f t="shared" si="91"/>
        <v>37</v>
      </c>
      <c r="AF181" s="633">
        <f t="shared" si="91"/>
        <v>36</v>
      </c>
      <c r="AG181" s="633">
        <f t="shared" si="91"/>
        <v>36</v>
      </c>
      <c r="AH181" s="633">
        <f t="shared" si="91"/>
        <v>37</v>
      </c>
      <c r="AI181" s="633">
        <f t="shared" si="91"/>
        <v>38</v>
      </c>
      <c r="AJ181" s="633">
        <f t="shared" si="91"/>
        <v>39</v>
      </c>
      <c r="AK181" s="633">
        <f t="shared" si="91"/>
        <v>40</v>
      </c>
      <c r="AL181" s="633">
        <f t="shared" si="91"/>
        <v>34</v>
      </c>
      <c r="AM181" s="633">
        <f t="shared" si="91"/>
        <v>40</v>
      </c>
      <c r="AN181" s="633">
        <f t="shared" si="91"/>
        <v>40</v>
      </c>
      <c r="AO181" s="633">
        <f t="shared" si="91"/>
        <v>40</v>
      </c>
      <c r="AP181" s="633">
        <f t="shared" si="91"/>
        <v>40</v>
      </c>
      <c r="AQ181" s="633">
        <f t="shared" si="91"/>
        <v>42</v>
      </c>
      <c r="AR181" s="633">
        <f t="shared" si="91"/>
        <v>42</v>
      </c>
      <c r="AS181" s="633">
        <f t="shared" si="91"/>
        <v>42</v>
      </c>
      <c r="AT181" s="633">
        <f t="shared" si="91"/>
        <v>42</v>
      </c>
      <c r="AU181" s="633">
        <f t="shared" si="91"/>
        <v>42</v>
      </c>
      <c r="AV181" s="633">
        <f t="shared" si="91"/>
        <v>42</v>
      </c>
      <c r="AW181" s="634"/>
      <c r="AX181" s="579" t="s">
        <v>3</v>
      </c>
      <c r="AY181" s="358">
        <f t="shared" si="87"/>
        <v>453.4</v>
      </c>
    </row>
    <row r="182" spans="1:54" s="19" customFormat="1">
      <c r="A182" s="28"/>
      <c r="B182" s="661" t="s">
        <v>311</v>
      </c>
      <c r="C182" s="636" t="s">
        <v>327</v>
      </c>
      <c r="D182" s="330" t="s">
        <v>313</v>
      </c>
      <c r="G182" s="633"/>
      <c r="H182" s="633"/>
      <c r="I182" s="633">
        <f t="shared" ref="I182:U182" si="92">I125+I126+I148+I149+I162</f>
        <v>2.4</v>
      </c>
      <c r="J182" s="633">
        <f t="shared" si="92"/>
        <v>1.8</v>
      </c>
      <c r="K182" s="633">
        <f t="shared" si="92"/>
        <v>2.4</v>
      </c>
      <c r="L182" s="633">
        <f t="shared" si="92"/>
        <v>2.4</v>
      </c>
      <c r="M182" s="633">
        <f t="shared" si="92"/>
        <v>4.33</v>
      </c>
      <c r="N182" s="633">
        <f t="shared" si="92"/>
        <v>4.2</v>
      </c>
      <c r="O182" s="633">
        <f t="shared" si="92"/>
        <v>3</v>
      </c>
      <c r="P182" s="633">
        <f t="shared" si="92"/>
        <v>1.8</v>
      </c>
      <c r="Q182" s="633">
        <f t="shared" si="92"/>
        <v>1.8</v>
      </c>
      <c r="R182" s="633">
        <f t="shared" si="92"/>
        <v>1.8</v>
      </c>
      <c r="S182" s="633">
        <f t="shared" si="92"/>
        <v>1.8</v>
      </c>
      <c r="T182" s="633">
        <f t="shared" si="92"/>
        <v>1.8</v>
      </c>
      <c r="U182" s="633">
        <f t="shared" si="92"/>
        <v>2.4</v>
      </c>
      <c r="V182" s="633">
        <f>V125+V126+V148+V149+V162+V127</f>
        <v>2.6</v>
      </c>
      <c r="W182" s="633">
        <f>W125+W126+W148+W149+W162+W127</f>
        <v>4.2</v>
      </c>
      <c r="X182" s="633">
        <f>X125+X126+X148+X149+X162+X127</f>
        <v>4.2</v>
      </c>
      <c r="Y182" s="633">
        <f>Y125+Y126+Y148+Y149+Y150+Y162+Y127</f>
        <v>4.4000000000000004</v>
      </c>
      <c r="Z182" s="633">
        <f t="shared" ref="Z182:AV182" si="93">Z125+Z126+Z148+Z149+Z150+Z162+Z127</f>
        <v>5</v>
      </c>
      <c r="AA182" s="633">
        <f t="shared" si="93"/>
        <v>4.2</v>
      </c>
      <c r="AB182" s="633">
        <f t="shared" si="93"/>
        <v>4.2</v>
      </c>
      <c r="AC182" s="633">
        <f t="shared" si="93"/>
        <v>3.5999999999999996</v>
      </c>
      <c r="AD182" s="633">
        <f t="shared" si="93"/>
        <v>4.2</v>
      </c>
      <c r="AE182" s="633">
        <f t="shared" si="93"/>
        <v>4.2</v>
      </c>
      <c r="AF182" s="633">
        <f t="shared" si="93"/>
        <v>4.2</v>
      </c>
      <c r="AG182" s="633">
        <f t="shared" si="93"/>
        <v>4.8</v>
      </c>
      <c r="AH182" s="633">
        <f t="shared" si="93"/>
        <v>4.2</v>
      </c>
      <c r="AI182" s="633">
        <f t="shared" si="93"/>
        <v>4.2</v>
      </c>
      <c r="AJ182" s="633">
        <f t="shared" si="93"/>
        <v>4.2</v>
      </c>
      <c r="AK182" s="633">
        <f t="shared" si="93"/>
        <v>4.2</v>
      </c>
      <c r="AL182" s="633">
        <f t="shared" si="93"/>
        <v>4.2</v>
      </c>
      <c r="AM182" s="633">
        <f t="shared" si="93"/>
        <v>4.2</v>
      </c>
      <c r="AN182" s="633">
        <f t="shared" si="93"/>
        <v>4.2</v>
      </c>
      <c r="AO182" s="633">
        <f t="shared" si="93"/>
        <v>4.2</v>
      </c>
      <c r="AP182" s="633">
        <f t="shared" si="93"/>
        <v>4.2</v>
      </c>
      <c r="AQ182" s="633">
        <f t="shared" si="93"/>
        <v>4.2</v>
      </c>
      <c r="AR182" s="633">
        <f t="shared" si="93"/>
        <v>4.2</v>
      </c>
      <c r="AS182" s="633">
        <f t="shared" si="93"/>
        <v>4.2</v>
      </c>
      <c r="AT182" s="633">
        <f t="shared" si="93"/>
        <v>4.2</v>
      </c>
      <c r="AU182" s="633">
        <f t="shared" si="93"/>
        <v>4.2</v>
      </c>
      <c r="AV182" s="633">
        <f t="shared" si="93"/>
        <v>4.2</v>
      </c>
      <c r="AW182" s="634"/>
      <c r="AX182" s="579" t="s">
        <v>3</v>
      </c>
      <c r="AY182" s="358">
        <f t="shared" si="87"/>
        <v>51.400000000000006</v>
      </c>
    </row>
    <row r="183" spans="1:54" s="19" customFormat="1">
      <c r="A183" s="28"/>
      <c r="B183" s="661" t="s">
        <v>311</v>
      </c>
      <c r="C183" s="636" t="s">
        <v>328</v>
      </c>
      <c r="D183" s="330" t="s">
        <v>313</v>
      </c>
      <c r="G183" s="633"/>
      <c r="H183" s="633"/>
      <c r="I183" s="633">
        <f t="shared" ref="I183:AV183" si="94">I128+I129+I141+I151+I152+I163</f>
        <v>3.8</v>
      </c>
      <c r="J183" s="633">
        <f t="shared" si="94"/>
        <v>6.4</v>
      </c>
      <c r="K183" s="633">
        <f t="shared" si="94"/>
        <v>5.6</v>
      </c>
      <c r="L183" s="633">
        <f t="shared" si="94"/>
        <v>6.4</v>
      </c>
      <c r="M183" s="633">
        <f t="shared" si="94"/>
        <v>15</v>
      </c>
      <c r="N183" s="633">
        <f t="shared" si="94"/>
        <v>15</v>
      </c>
      <c r="O183" s="633">
        <f t="shared" si="94"/>
        <v>14.16</v>
      </c>
      <c r="P183" s="633">
        <f t="shared" si="94"/>
        <v>10.5</v>
      </c>
      <c r="Q183" s="633">
        <f t="shared" si="94"/>
        <v>10</v>
      </c>
      <c r="R183" s="633">
        <f t="shared" si="94"/>
        <v>14.98</v>
      </c>
      <c r="S183" s="633">
        <f t="shared" si="94"/>
        <v>15.5</v>
      </c>
      <c r="T183" s="633">
        <f t="shared" si="94"/>
        <v>14.4</v>
      </c>
      <c r="U183" s="633">
        <f t="shared" si="94"/>
        <v>15.6</v>
      </c>
      <c r="V183" s="633">
        <f t="shared" si="94"/>
        <v>17.5</v>
      </c>
      <c r="W183" s="633">
        <f t="shared" si="94"/>
        <v>15</v>
      </c>
      <c r="X183" s="633">
        <f t="shared" si="94"/>
        <v>15.7</v>
      </c>
      <c r="Y183" s="633">
        <f t="shared" si="94"/>
        <v>11.3</v>
      </c>
      <c r="Z183" s="633">
        <f t="shared" si="94"/>
        <v>13.2</v>
      </c>
      <c r="AA183" s="633">
        <f t="shared" si="94"/>
        <v>16.5</v>
      </c>
      <c r="AB183" s="633">
        <f t="shared" si="94"/>
        <v>12</v>
      </c>
      <c r="AC183" s="633">
        <f t="shared" si="94"/>
        <v>13.079999999999998</v>
      </c>
      <c r="AD183" s="633">
        <f>AD128+AD129+AD141+AD151+AD152+AD163</f>
        <v>15.5</v>
      </c>
      <c r="AE183" s="633">
        <f t="shared" si="94"/>
        <v>15.000000000000002</v>
      </c>
      <c r="AF183" s="633">
        <f t="shared" si="94"/>
        <v>11</v>
      </c>
      <c r="AG183" s="633">
        <f t="shared" si="94"/>
        <v>13</v>
      </c>
      <c r="AH183" s="633">
        <f t="shared" si="94"/>
        <v>13.3</v>
      </c>
      <c r="AI183" s="633">
        <f t="shared" si="94"/>
        <v>15</v>
      </c>
      <c r="AJ183" s="633">
        <f t="shared" si="94"/>
        <v>15</v>
      </c>
      <c r="AK183" s="633">
        <f t="shared" si="94"/>
        <v>15</v>
      </c>
      <c r="AL183" s="633">
        <f t="shared" si="94"/>
        <v>15</v>
      </c>
      <c r="AM183" s="633">
        <f t="shared" si="94"/>
        <v>15</v>
      </c>
      <c r="AN183" s="633">
        <f t="shared" si="94"/>
        <v>15</v>
      </c>
      <c r="AO183" s="633">
        <f t="shared" si="94"/>
        <v>15</v>
      </c>
      <c r="AP183" s="633">
        <f t="shared" si="94"/>
        <v>15</v>
      </c>
      <c r="AQ183" s="633">
        <f t="shared" si="94"/>
        <v>15</v>
      </c>
      <c r="AR183" s="633">
        <f t="shared" si="94"/>
        <v>15</v>
      </c>
      <c r="AS183" s="633">
        <f t="shared" si="94"/>
        <v>15</v>
      </c>
      <c r="AT183" s="633">
        <f t="shared" si="94"/>
        <v>15</v>
      </c>
      <c r="AU183" s="633">
        <f t="shared" si="94"/>
        <v>15</v>
      </c>
      <c r="AV183" s="633">
        <f t="shared" si="94"/>
        <v>15</v>
      </c>
      <c r="AW183" s="634"/>
      <c r="AX183" s="579" t="s">
        <v>3</v>
      </c>
      <c r="AY183" s="358">
        <f t="shared" si="87"/>
        <v>163.88</v>
      </c>
    </row>
    <row r="184" spans="1:54" s="19" customFormat="1">
      <c r="A184" s="28"/>
      <c r="B184" s="661" t="s">
        <v>311</v>
      </c>
      <c r="C184" s="636" t="s">
        <v>329</v>
      </c>
      <c r="D184" s="330" t="s">
        <v>313</v>
      </c>
      <c r="G184" s="633"/>
      <c r="H184" s="633"/>
      <c r="I184" s="633"/>
      <c r="J184" s="633"/>
      <c r="K184" s="633"/>
      <c r="L184" s="633"/>
      <c r="M184" s="633"/>
      <c r="N184" s="633"/>
      <c r="O184" s="633"/>
      <c r="P184" s="633"/>
      <c r="Q184" s="633"/>
      <c r="R184" s="633"/>
      <c r="S184" s="633"/>
      <c r="T184" s="633">
        <f t="shared" ref="T184:AV184" si="95">T130+T164</f>
        <v>0</v>
      </c>
      <c r="U184" s="633">
        <f t="shared" si="95"/>
        <v>0</v>
      </c>
      <c r="V184" s="633">
        <f t="shared" si="95"/>
        <v>0</v>
      </c>
      <c r="W184" s="633">
        <f t="shared" si="95"/>
        <v>0</v>
      </c>
      <c r="X184" s="633">
        <f t="shared" si="95"/>
        <v>0</v>
      </c>
      <c r="Y184" s="633">
        <f t="shared" si="95"/>
        <v>0</v>
      </c>
      <c r="Z184" s="633">
        <f t="shared" si="95"/>
        <v>0</v>
      </c>
      <c r="AA184" s="633">
        <f t="shared" si="95"/>
        <v>0</v>
      </c>
      <c r="AB184" s="633">
        <f t="shared" si="95"/>
        <v>0</v>
      </c>
      <c r="AC184" s="633">
        <f t="shared" si="95"/>
        <v>0</v>
      </c>
      <c r="AD184" s="633">
        <f t="shared" si="95"/>
        <v>0</v>
      </c>
      <c r="AE184" s="633">
        <f t="shared" si="95"/>
        <v>0</v>
      </c>
      <c r="AF184" s="633">
        <f t="shared" si="95"/>
        <v>0</v>
      </c>
      <c r="AG184" s="633">
        <f t="shared" si="95"/>
        <v>0</v>
      </c>
      <c r="AH184" s="633">
        <f t="shared" si="95"/>
        <v>0</v>
      </c>
      <c r="AI184" s="633">
        <f t="shared" si="95"/>
        <v>0</v>
      </c>
      <c r="AJ184" s="633">
        <f t="shared" si="95"/>
        <v>0</v>
      </c>
      <c r="AK184" s="633">
        <f t="shared" si="95"/>
        <v>0</v>
      </c>
      <c r="AL184" s="633">
        <f t="shared" si="95"/>
        <v>0</v>
      </c>
      <c r="AM184" s="633">
        <f t="shared" si="95"/>
        <v>0</v>
      </c>
      <c r="AN184" s="633">
        <f t="shared" si="95"/>
        <v>0</v>
      </c>
      <c r="AO184" s="633">
        <f t="shared" si="95"/>
        <v>0</v>
      </c>
      <c r="AP184" s="633">
        <f t="shared" si="95"/>
        <v>0</v>
      </c>
      <c r="AQ184" s="633">
        <f t="shared" si="95"/>
        <v>0</v>
      </c>
      <c r="AR184" s="633">
        <f t="shared" si="95"/>
        <v>0</v>
      </c>
      <c r="AS184" s="633">
        <f t="shared" si="95"/>
        <v>0</v>
      </c>
      <c r="AT184" s="633">
        <f t="shared" si="95"/>
        <v>0</v>
      </c>
      <c r="AU184" s="633">
        <f t="shared" si="95"/>
        <v>0</v>
      </c>
      <c r="AV184" s="633">
        <f t="shared" si="95"/>
        <v>0</v>
      </c>
      <c r="AW184" s="634"/>
      <c r="AX184" s="579" t="s">
        <v>3</v>
      </c>
      <c r="AY184" s="358">
        <f t="shared" si="87"/>
        <v>0</v>
      </c>
    </row>
    <row r="185" spans="1:54" s="19" customFormat="1">
      <c r="A185" s="28"/>
      <c r="B185" s="661" t="s">
        <v>311</v>
      </c>
      <c r="C185" s="636" t="s">
        <v>330</v>
      </c>
      <c r="D185" s="330" t="s">
        <v>313</v>
      </c>
      <c r="G185" s="633"/>
      <c r="H185" s="633"/>
      <c r="I185" s="633"/>
      <c r="J185" s="633"/>
      <c r="K185" s="633"/>
      <c r="L185" s="633"/>
      <c r="M185" s="633"/>
      <c r="N185" s="633"/>
      <c r="O185" s="633"/>
      <c r="P185" s="633"/>
      <c r="Q185" s="633"/>
      <c r="R185" s="633"/>
      <c r="S185" s="633"/>
      <c r="T185" s="633"/>
      <c r="U185" s="633"/>
      <c r="V185" s="633"/>
      <c r="W185" s="633">
        <f>W121+W122+W146+W147</f>
        <v>0</v>
      </c>
      <c r="X185" s="633">
        <f t="shared" ref="X185:AV185" si="96">X121+X122+X146+X147</f>
        <v>0</v>
      </c>
      <c r="Y185" s="633">
        <f t="shared" si="96"/>
        <v>0</v>
      </c>
      <c r="Z185" s="633">
        <f t="shared" si="96"/>
        <v>0</v>
      </c>
      <c r="AA185" s="633">
        <f t="shared" si="96"/>
        <v>0</v>
      </c>
      <c r="AB185" s="633">
        <f t="shared" si="96"/>
        <v>0</v>
      </c>
      <c r="AC185" s="633">
        <f t="shared" si="96"/>
        <v>0</v>
      </c>
      <c r="AD185" s="633">
        <f t="shared" si="96"/>
        <v>0</v>
      </c>
      <c r="AE185" s="633">
        <f t="shared" si="96"/>
        <v>0</v>
      </c>
      <c r="AF185" s="633">
        <f t="shared" si="96"/>
        <v>0</v>
      </c>
      <c r="AG185" s="633">
        <f t="shared" si="96"/>
        <v>0</v>
      </c>
      <c r="AH185" s="633">
        <f t="shared" si="96"/>
        <v>0</v>
      </c>
      <c r="AI185" s="633">
        <f t="shared" si="96"/>
        <v>0</v>
      </c>
      <c r="AJ185" s="633">
        <f t="shared" si="96"/>
        <v>0</v>
      </c>
      <c r="AK185" s="633">
        <f t="shared" si="96"/>
        <v>0</v>
      </c>
      <c r="AL185" s="633">
        <f t="shared" si="96"/>
        <v>0</v>
      </c>
      <c r="AM185" s="633">
        <f t="shared" si="96"/>
        <v>0</v>
      </c>
      <c r="AN185" s="633">
        <f t="shared" si="96"/>
        <v>0</v>
      </c>
      <c r="AO185" s="633">
        <f t="shared" si="96"/>
        <v>0</v>
      </c>
      <c r="AP185" s="633">
        <f t="shared" si="96"/>
        <v>0</v>
      </c>
      <c r="AQ185" s="633">
        <f t="shared" si="96"/>
        <v>0</v>
      </c>
      <c r="AR185" s="633">
        <f t="shared" si="96"/>
        <v>0</v>
      </c>
      <c r="AS185" s="633">
        <f t="shared" si="96"/>
        <v>0</v>
      </c>
      <c r="AT185" s="633">
        <f t="shared" si="96"/>
        <v>0</v>
      </c>
      <c r="AU185" s="633">
        <f t="shared" si="96"/>
        <v>0</v>
      </c>
      <c r="AV185" s="633">
        <f t="shared" si="96"/>
        <v>0</v>
      </c>
      <c r="AW185" s="634"/>
      <c r="AX185" s="579" t="s">
        <v>3</v>
      </c>
      <c r="AY185" s="358">
        <f t="shared" si="87"/>
        <v>0</v>
      </c>
    </row>
    <row r="186" spans="1:54" s="19" customFormat="1">
      <c r="A186" s="28"/>
      <c r="B186" s="661" t="s">
        <v>311</v>
      </c>
      <c r="C186" s="636" t="s">
        <v>331</v>
      </c>
      <c r="D186" s="330" t="s">
        <v>313</v>
      </c>
      <c r="G186" s="633"/>
      <c r="H186" s="633"/>
      <c r="I186" s="633"/>
      <c r="J186" s="633"/>
      <c r="K186" s="633"/>
      <c r="L186" s="633"/>
      <c r="M186" s="633"/>
      <c r="N186" s="633"/>
      <c r="O186" s="633"/>
      <c r="P186" s="633"/>
      <c r="Q186" s="633"/>
      <c r="R186" s="633"/>
      <c r="S186" s="633"/>
      <c r="T186" s="633"/>
      <c r="U186" s="633"/>
      <c r="V186" s="633"/>
      <c r="W186" s="633">
        <f>W123+W124</f>
        <v>0</v>
      </c>
      <c r="X186" s="633">
        <f t="shared" ref="X186:AV186" si="97">X123+X124</f>
        <v>0</v>
      </c>
      <c r="Y186" s="633">
        <f t="shared" si="97"/>
        <v>0</v>
      </c>
      <c r="Z186" s="633">
        <f t="shared" si="97"/>
        <v>0</v>
      </c>
      <c r="AA186" s="633">
        <f t="shared" si="97"/>
        <v>0</v>
      </c>
      <c r="AB186" s="633">
        <f t="shared" si="97"/>
        <v>0</v>
      </c>
      <c r="AC186" s="633">
        <f t="shared" si="97"/>
        <v>0</v>
      </c>
      <c r="AD186" s="633">
        <f t="shared" si="97"/>
        <v>0</v>
      </c>
      <c r="AE186" s="633">
        <f t="shared" si="97"/>
        <v>0</v>
      </c>
      <c r="AF186" s="633">
        <f t="shared" si="97"/>
        <v>0</v>
      </c>
      <c r="AG186" s="633">
        <f t="shared" si="97"/>
        <v>0</v>
      </c>
      <c r="AH186" s="633">
        <f t="shared" si="97"/>
        <v>0</v>
      </c>
      <c r="AI186" s="633">
        <f t="shared" si="97"/>
        <v>0</v>
      </c>
      <c r="AJ186" s="633">
        <f t="shared" si="97"/>
        <v>0</v>
      </c>
      <c r="AK186" s="633">
        <f t="shared" si="97"/>
        <v>0</v>
      </c>
      <c r="AL186" s="633">
        <f t="shared" si="97"/>
        <v>0</v>
      </c>
      <c r="AM186" s="633">
        <f t="shared" si="97"/>
        <v>0</v>
      </c>
      <c r="AN186" s="633">
        <f t="shared" si="97"/>
        <v>0</v>
      </c>
      <c r="AO186" s="633">
        <f t="shared" si="97"/>
        <v>0</v>
      </c>
      <c r="AP186" s="633">
        <f t="shared" si="97"/>
        <v>0</v>
      </c>
      <c r="AQ186" s="633">
        <f t="shared" si="97"/>
        <v>0</v>
      </c>
      <c r="AR186" s="633">
        <f t="shared" si="97"/>
        <v>0</v>
      </c>
      <c r="AS186" s="633">
        <f t="shared" si="97"/>
        <v>0</v>
      </c>
      <c r="AT186" s="633">
        <f t="shared" si="97"/>
        <v>0</v>
      </c>
      <c r="AU186" s="633">
        <f t="shared" si="97"/>
        <v>0</v>
      </c>
      <c r="AV186" s="633">
        <f t="shared" si="97"/>
        <v>0</v>
      </c>
      <c r="AW186" s="634"/>
      <c r="AX186" s="579" t="s">
        <v>3</v>
      </c>
      <c r="AY186" s="358">
        <f t="shared" si="87"/>
        <v>0</v>
      </c>
    </row>
    <row r="187" spans="1:54" s="19" customFormat="1" ht="15" thickBot="1">
      <c r="A187" s="28"/>
      <c r="B187" s="662" t="s">
        <v>311</v>
      </c>
      <c r="C187" s="663" t="s">
        <v>332</v>
      </c>
      <c r="D187" s="332" t="s">
        <v>313</v>
      </c>
      <c r="G187" s="633"/>
      <c r="H187" s="633"/>
      <c r="I187" s="633"/>
      <c r="J187" s="633"/>
      <c r="K187" s="633"/>
      <c r="L187" s="633"/>
      <c r="M187" s="633"/>
      <c r="N187" s="633"/>
      <c r="O187" s="633"/>
      <c r="P187" s="633"/>
      <c r="Q187" s="633"/>
      <c r="R187" s="633"/>
      <c r="S187" s="633"/>
      <c r="T187" s="633"/>
      <c r="U187" s="633"/>
      <c r="V187" s="633"/>
      <c r="W187" s="633">
        <f>W133+W134+W155+W156</f>
        <v>0</v>
      </c>
      <c r="X187" s="633">
        <f t="shared" ref="X187:AV187" si="98">X133+X134+X155+X156</f>
        <v>0</v>
      </c>
      <c r="Y187" s="633">
        <f t="shared" si="98"/>
        <v>0</v>
      </c>
      <c r="Z187" s="633">
        <f t="shared" si="98"/>
        <v>0</v>
      </c>
      <c r="AA187" s="633">
        <f t="shared" si="98"/>
        <v>0</v>
      </c>
      <c r="AB187" s="633">
        <f t="shared" si="98"/>
        <v>0</v>
      </c>
      <c r="AC187" s="633">
        <f t="shared" si="98"/>
        <v>0</v>
      </c>
      <c r="AD187" s="633">
        <f t="shared" si="98"/>
        <v>0</v>
      </c>
      <c r="AE187" s="633">
        <f t="shared" si="98"/>
        <v>0</v>
      </c>
      <c r="AF187" s="633">
        <f t="shared" si="98"/>
        <v>0</v>
      </c>
      <c r="AG187" s="633">
        <f t="shared" si="98"/>
        <v>0</v>
      </c>
      <c r="AH187" s="633">
        <f t="shared" si="98"/>
        <v>0</v>
      </c>
      <c r="AI187" s="633">
        <f t="shared" si="98"/>
        <v>0</v>
      </c>
      <c r="AJ187" s="633">
        <f t="shared" si="98"/>
        <v>0</v>
      </c>
      <c r="AK187" s="633">
        <f t="shared" si="98"/>
        <v>0</v>
      </c>
      <c r="AL187" s="633">
        <f t="shared" si="98"/>
        <v>0</v>
      </c>
      <c r="AM187" s="633">
        <f t="shared" si="98"/>
        <v>0</v>
      </c>
      <c r="AN187" s="633">
        <f t="shared" si="98"/>
        <v>0</v>
      </c>
      <c r="AO187" s="633">
        <f t="shared" si="98"/>
        <v>0</v>
      </c>
      <c r="AP187" s="633">
        <f t="shared" si="98"/>
        <v>0</v>
      </c>
      <c r="AQ187" s="633">
        <f t="shared" si="98"/>
        <v>0</v>
      </c>
      <c r="AR187" s="633">
        <f t="shared" si="98"/>
        <v>0</v>
      </c>
      <c r="AS187" s="633">
        <f t="shared" si="98"/>
        <v>0</v>
      </c>
      <c r="AT187" s="633">
        <f t="shared" si="98"/>
        <v>0</v>
      </c>
      <c r="AU187" s="633">
        <f t="shared" si="98"/>
        <v>0</v>
      </c>
      <c r="AV187" s="633">
        <f t="shared" si="98"/>
        <v>0</v>
      </c>
      <c r="AW187" s="634"/>
      <c r="AX187" s="579" t="s">
        <v>3</v>
      </c>
      <c r="AY187" s="358">
        <f t="shared" si="87"/>
        <v>0</v>
      </c>
    </row>
    <row r="188" spans="1:54" s="19" customFormat="1" ht="15" thickBot="1">
      <c r="A188" s="35" t="s">
        <v>333</v>
      </c>
      <c r="B188" s="662" t="s">
        <v>334</v>
      </c>
      <c r="C188" s="663" t="s">
        <v>335</v>
      </c>
      <c r="D188" s="332" t="s">
        <v>334</v>
      </c>
      <c r="E188" s="34">
        <f>SUM(E103:E166)</f>
        <v>43944.538999999997</v>
      </c>
      <c r="F188" s="34">
        <f>SUM(F103:F166)</f>
        <v>43958.297005059998</v>
      </c>
      <c r="G188" s="34">
        <f>SUM(G103:G166)</f>
        <v>44027.982716919993</v>
      </c>
      <c r="H188" s="34">
        <f>SUM(H103:H166)</f>
        <v>44046.748237969987</v>
      </c>
      <c r="I188" s="337">
        <f t="shared" ref="I188:Y188" si="99">SUM(I105:I166)</f>
        <v>307.97699999999998</v>
      </c>
      <c r="J188" s="337">
        <f t="shared" si="99"/>
        <v>311.40103429999999</v>
      </c>
      <c r="K188" s="337">
        <f t="shared" si="99"/>
        <v>310.49016493999994</v>
      </c>
      <c r="L188" s="337">
        <f t="shared" si="99"/>
        <v>301.83112309999996</v>
      </c>
      <c r="M188" s="337">
        <f t="shared" si="99"/>
        <v>297.98329081999998</v>
      </c>
      <c r="N188" s="337">
        <f t="shared" si="99"/>
        <v>287.21145953000001</v>
      </c>
      <c r="O188" s="337">
        <f t="shared" si="99"/>
        <v>287.78300000000007</v>
      </c>
      <c r="P188" s="337">
        <f t="shared" si="99"/>
        <v>293.58999999999986</v>
      </c>
      <c r="Q188" s="337">
        <f t="shared" si="99"/>
        <v>243.57659381000002</v>
      </c>
      <c r="R188" s="337">
        <f t="shared" si="99"/>
        <v>282.79017382000001</v>
      </c>
      <c r="S188" s="338">
        <f t="shared" si="99"/>
        <v>301.85999999999996</v>
      </c>
      <c r="T188" s="338">
        <f t="shared" si="99"/>
        <v>323.9323626373627</v>
      </c>
      <c r="U188" s="338">
        <f t="shared" si="99"/>
        <v>310.59999999999997</v>
      </c>
      <c r="V188" s="338">
        <f t="shared" si="99"/>
        <v>325.31</v>
      </c>
      <c r="W188" s="338">
        <f t="shared" si="99"/>
        <v>323.36240770999996</v>
      </c>
      <c r="X188" s="338">
        <f t="shared" si="99"/>
        <v>337.09400000000005</v>
      </c>
      <c r="Y188" s="338">
        <f t="shared" si="99"/>
        <v>323.80400000000009</v>
      </c>
      <c r="Z188" s="338">
        <f>SUM(Z105:Z166)+Z94</f>
        <v>324.90343944999995</v>
      </c>
      <c r="AA188" s="338">
        <f>SUM(AA105:AA166)+AA94</f>
        <v>354.01599999999996</v>
      </c>
      <c r="AB188" s="338">
        <f>SUM(AB105:AB166)+AB94</f>
        <v>324.34300000000002</v>
      </c>
      <c r="AC188" s="338">
        <f>SUM(AC105:AC166)+AC94</f>
        <v>370.02199999999993</v>
      </c>
      <c r="AD188" s="338">
        <f>SUM(AD105:AD166)</f>
        <v>350.42</v>
      </c>
      <c r="AE188" s="338">
        <f t="shared" ref="AE188:AN188" si="100">SUM(AE105:AE166)</f>
        <v>336.17400000000004</v>
      </c>
      <c r="AF188" s="338">
        <f t="shared" si="100"/>
        <v>320.54900000000004</v>
      </c>
      <c r="AG188" s="338">
        <f t="shared" si="100"/>
        <v>349.58600000000001</v>
      </c>
      <c r="AH188" s="338">
        <f>SUM(AH105:AH166)</f>
        <v>313.09600000000006</v>
      </c>
      <c r="AI188" s="338">
        <f>SUM(AI105:AI166)</f>
        <v>313.38299999999998</v>
      </c>
      <c r="AJ188" s="338">
        <f t="shared" si="100"/>
        <v>323.8649999999999</v>
      </c>
      <c r="AK188" s="338">
        <f t="shared" si="100"/>
        <v>329.51017944360473</v>
      </c>
      <c r="AL188" s="338">
        <f t="shared" si="100"/>
        <v>321.13491725085458</v>
      </c>
      <c r="AM188" s="338">
        <f t="shared" si="100"/>
        <v>342.19534348184573</v>
      </c>
      <c r="AN188" s="338">
        <f t="shared" si="100"/>
        <v>340.33942315824487</v>
      </c>
      <c r="AO188" s="338">
        <f>SUM(AO105:AO166)</f>
        <v>338.88777925019099</v>
      </c>
      <c r="AP188" s="338">
        <f t="shared" ref="AP188:AV188" si="101">SUM(AP105:AP166)</f>
        <v>313.2027273347183</v>
      </c>
      <c r="AQ188" s="338">
        <f t="shared" si="101"/>
        <v>323.93498880596735</v>
      </c>
      <c r="AR188" s="338">
        <f t="shared" si="101"/>
        <v>325.05845399570478</v>
      </c>
      <c r="AS188" s="338">
        <f t="shared" si="101"/>
        <v>314.40593705596172</v>
      </c>
      <c r="AT188" s="338">
        <f t="shared" si="101"/>
        <v>328.29203982148272</v>
      </c>
      <c r="AU188" s="338">
        <f t="shared" si="101"/>
        <v>320.97713281396716</v>
      </c>
      <c r="AV188" s="338">
        <f t="shared" si="101"/>
        <v>316.11045079336265</v>
      </c>
      <c r="AW188" s="801"/>
      <c r="AX188" s="579" t="s">
        <v>3</v>
      </c>
    </row>
    <row r="189" spans="1:54" s="19" customFormat="1" ht="23.25" thickBot="1">
      <c r="A189" s="25" t="s">
        <v>336</v>
      </c>
      <c r="B189" s="18"/>
      <c r="L189" s="64"/>
      <c r="M189" s="65">
        <f t="shared" ref="M189:Z189" si="102">M188-M168</f>
        <v>188.17329081999998</v>
      </c>
      <c r="N189" s="65">
        <f t="shared" si="102"/>
        <v>202.50545953000002</v>
      </c>
      <c r="O189" s="65">
        <f t="shared" si="102"/>
        <v>168.45500000000007</v>
      </c>
      <c r="P189" s="65">
        <f t="shared" si="102"/>
        <v>172.53999999999985</v>
      </c>
      <c r="Q189" s="65">
        <f t="shared" si="102"/>
        <v>170.11859381000002</v>
      </c>
      <c r="R189" s="65">
        <f t="shared" si="102"/>
        <v>183.64617382</v>
      </c>
      <c r="S189" s="65">
        <f t="shared" si="102"/>
        <v>206.12999999999997</v>
      </c>
      <c r="T189" s="65">
        <f t="shared" si="102"/>
        <v>215.22000000000008</v>
      </c>
      <c r="U189" s="65">
        <f t="shared" si="102"/>
        <v>216.18999999999997</v>
      </c>
      <c r="V189" s="65">
        <f t="shared" si="102"/>
        <v>228.25</v>
      </c>
      <c r="W189" s="65">
        <f t="shared" si="102"/>
        <v>222.56240770999995</v>
      </c>
      <c r="X189" s="65">
        <f t="shared" si="102"/>
        <v>224.22000000000006</v>
      </c>
      <c r="Y189" s="65">
        <f t="shared" si="102"/>
        <v>208.93700000000007</v>
      </c>
      <c r="Z189" s="65">
        <f t="shared" si="102"/>
        <v>204.36743944999995</v>
      </c>
      <c r="AA189" s="65">
        <f>AA188-AA168-AA113-AA114</f>
        <v>224.00999999999996</v>
      </c>
      <c r="AB189" s="65">
        <f t="shared" ref="AB189:AU189" si="103">AB188-AB168-AB113-AB114</f>
        <v>194.65200000000004</v>
      </c>
      <c r="AC189" s="65">
        <f t="shared" si="103"/>
        <v>197.54499999999996</v>
      </c>
      <c r="AD189" s="65">
        <f t="shared" si="103"/>
        <v>200.91</v>
      </c>
      <c r="AE189" s="65">
        <f t="shared" si="103"/>
        <v>203.85500000000005</v>
      </c>
      <c r="AF189" s="65">
        <f t="shared" si="103"/>
        <v>196.11500000000004</v>
      </c>
      <c r="AG189" s="65">
        <f t="shared" si="103"/>
        <v>200.45000000000002</v>
      </c>
      <c r="AH189" s="65">
        <f t="shared" si="103"/>
        <v>204.44000000000008</v>
      </c>
      <c r="AI189" s="65">
        <f t="shared" si="103"/>
        <v>202.23999999999995</v>
      </c>
      <c r="AJ189" s="65">
        <f t="shared" si="103"/>
        <v>207.56499999999991</v>
      </c>
      <c r="AK189" s="65">
        <f t="shared" si="103"/>
        <v>212.53</v>
      </c>
      <c r="AL189" s="65">
        <f t="shared" si="103"/>
        <v>198.42499999999998</v>
      </c>
      <c r="AM189" s="65">
        <f t="shared" si="103"/>
        <v>211.8</v>
      </c>
      <c r="AN189" s="65">
        <f t="shared" si="103"/>
        <v>203.96500000000006</v>
      </c>
      <c r="AO189" s="65">
        <f t="shared" si="103"/>
        <v>209.55</v>
      </c>
      <c r="AP189" s="65">
        <f t="shared" si="103"/>
        <v>205.95500000000001</v>
      </c>
      <c r="AQ189" s="65">
        <f t="shared" si="103"/>
        <v>213.09500000000003</v>
      </c>
      <c r="AR189" s="65">
        <f t="shared" si="103"/>
        <v>214.54500000000004</v>
      </c>
      <c r="AS189" s="65">
        <f t="shared" si="103"/>
        <v>210.45499999999998</v>
      </c>
      <c r="AT189" s="65">
        <f t="shared" si="103"/>
        <v>212.39500000000004</v>
      </c>
      <c r="AU189" s="65">
        <f t="shared" si="103"/>
        <v>208.03499999999997</v>
      </c>
      <c r="AV189" s="65">
        <f>AV188-AV168-AV113-AV114</f>
        <v>210.32500000000002</v>
      </c>
      <c r="AW189" s="184"/>
      <c r="AX189" s="580" t="s">
        <v>158</v>
      </c>
      <c r="AY189" s="19" t="s">
        <v>337</v>
      </c>
    </row>
    <row r="190" spans="1:54">
      <c r="A190" s="321" t="s">
        <v>33</v>
      </c>
      <c r="B190" s="322"/>
      <c r="C190" s="323"/>
      <c r="D190" s="324"/>
      <c r="E190" s="37">
        <f t="shared" ref="E190:AV190" si="104">E61-E143-E144-E145-E146-E147-E148-E149-E151-E152-E153-E154-E155-E156-E157-E158-E159</f>
        <v>-1.4270000000000005</v>
      </c>
      <c r="F190" s="37">
        <f t="shared" si="104"/>
        <v>-3.0010934100000028</v>
      </c>
      <c r="G190" s="37">
        <f t="shared" si="104"/>
        <v>-8.8817841970012523E-16</v>
      </c>
      <c r="H190" s="37">
        <f t="shared" si="104"/>
        <v>-8.8817841970012523E-16</v>
      </c>
      <c r="I190" s="37">
        <f t="shared" si="104"/>
        <v>-1.3322676295501878E-15</v>
      </c>
      <c r="J190" s="37">
        <f t="shared" si="104"/>
        <v>2.6645352591003757E-15</v>
      </c>
      <c r="K190" s="37">
        <f t="shared" si="104"/>
        <v>0</v>
      </c>
      <c r="L190" s="37">
        <f t="shared" si="104"/>
        <v>-1.7763568394002505E-15</v>
      </c>
      <c r="M190" s="37">
        <f t="shared" si="104"/>
        <v>0</v>
      </c>
      <c r="N190" s="37">
        <f t="shared" si="104"/>
        <v>-3.5527136788005009E-15</v>
      </c>
      <c r="O190" s="37">
        <f t="shared" si="104"/>
        <v>0</v>
      </c>
      <c r="P190" s="37">
        <f t="shared" si="104"/>
        <v>-2.2204460492503131E-16</v>
      </c>
      <c r="Q190" s="37">
        <f t="shared" si="104"/>
        <v>2.2204460492503131E-16</v>
      </c>
      <c r="R190" s="37">
        <f t="shared" si="104"/>
        <v>0</v>
      </c>
      <c r="S190" s="37">
        <f t="shared" si="104"/>
        <v>0</v>
      </c>
      <c r="T190" s="37">
        <f t="shared" si="104"/>
        <v>-5.5511151231257827E-17</v>
      </c>
      <c r="U190" s="37">
        <f t="shared" si="104"/>
        <v>0</v>
      </c>
      <c r="V190" s="37">
        <f t="shared" si="104"/>
        <v>0</v>
      </c>
      <c r="W190" s="37">
        <f t="shared" si="104"/>
        <v>0</v>
      </c>
      <c r="X190" s="37">
        <f t="shared" si="104"/>
        <v>0</v>
      </c>
      <c r="Y190" s="37">
        <f t="shared" si="104"/>
        <v>0.80000000000000071</v>
      </c>
      <c r="Z190" s="37">
        <f t="shared" si="104"/>
        <v>0</v>
      </c>
      <c r="AA190" s="37">
        <f t="shared" si="104"/>
        <v>0</v>
      </c>
      <c r="AB190" s="37">
        <f t="shared" si="104"/>
        <v>0</v>
      </c>
      <c r="AC190" s="37">
        <f t="shared" si="104"/>
        <v>0</v>
      </c>
      <c r="AD190" s="37">
        <f t="shared" si="104"/>
        <v>0</v>
      </c>
      <c r="AE190" s="37">
        <f t="shared" si="104"/>
        <v>0</v>
      </c>
      <c r="AF190" s="37">
        <f t="shared" si="104"/>
        <v>0</v>
      </c>
      <c r="AG190" s="37">
        <f t="shared" si="104"/>
        <v>0</v>
      </c>
      <c r="AH190" s="37">
        <f t="shared" si="104"/>
        <v>0</v>
      </c>
      <c r="AI190" s="37">
        <f t="shared" si="104"/>
        <v>0</v>
      </c>
      <c r="AJ190" s="37">
        <f t="shared" si="104"/>
        <v>0</v>
      </c>
      <c r="AK190" s="37">
        <f t="shared" si="104"/>
        <v>0</v>
      </c>
      <c r="AL190" s="37">
        <f t="shared" si="104"/>
        <v>0</v>
      </c>
      <c r="AM190" s="37">
        <f t="shared" si="104"/>
        <v>0</v>
      </c>
      <c r="AN190" s="37">
        <f t="shared" si="104"/>
        <v>0</v>
      </c>
      <c r="AO190" s="37">
        <f t="shared" si="104"/>
        <v>0</v>
      </c>
      <c r="AP190" s="37">
        <f t="shared" si="104"/>
        <v>0</v>
      </c>
      <c r="AQ190" s="37">
        <f t="shared" si="104"/>
        <v>0</v>
      </c>
      <c r="AR190" s="37">
        <f t="shared" si="104"/>
        <v>0</v>
      </c>
      <c r="AS190" s="37">
        <f t="shared" si="104"/>
        <v>0</v>
      </c>
      <c r="AT190" s="37">
        <f t="shared" si="104"/>
        <v>0</v>
      </c>
      <c r="AU190" s="37">
        <f t="shared" si="104"/>
        <v>0</v>
      </c>
      <c r="AV190" s="37">
        <f t="shared" si="104"/>
        <v>0</v>
      </c>
      <c r="AW190" s="795"/>
      <c r="AX190" s="579" t="s">
        <v>3</v>
      </c>
      <c r="AY190" s="19" t="s">
        <v>338</v>
      </c>
      <c r="AZ190" s="19"/>
      <c r="BA190" s="19"/>
      <c r="BB190" s="19"/>
    </row>
    <row r="191" spans="1:54">
      <c r="A191" s="83" t="s">
        <v>229</v>
      </c>
      <c r="B191" s="84"/>
      <c r="C191" s="85"/>
      <c r="D191" s="325"/>
      <c r="E191" s="64">
        <f t="shared" ref="E191:AV191" si="105">E62-E161-E163-E162-E164</f>
        <v>0</v>
      </c>
      <c r="F191" s="64">
        <f t="shared" si="105"/>
        <v>0</v>
      </c>
      <c r="G191" s="64">
        <f t="shared" si="105"/>
        <v>0</v>
      </c>
      <c r="H191" s="64">
        <f t="shared" si="105"/>
        <v>0</v>
      </c>
      <c r="I191" s="64">
        <f t="shared" si="105"/>
        <v>0</v>
      </c>
      <c r="J191" s="64">
        <f t="shared" si="105"/>
        <v>0</v>
      </c>
      <c r="K191" s="64">
        <f t="shared" si="105"/>
        <v>0</v>
      </c>
      <c r="L191" s="64">
        <f t="shared" si="105"/>
        <v>0</v>
      </c>
      <c r="M191" s="64">
        <f t="shared" si="105"/>
        <v>0</v>
      </c>
      <c r="N191" s="64">
        <f t="shared" si="105"/>
        <v>0</v>
      </c>
      <c r="O191" s="64">
        <f t="shared" si="105"/>
        <v>0.74999999999999956</v>
      </c>
      <c r="P191" s="64">
        <f t="shared" si="105"/>
        <v>0</v>
      </c>
      <c r="Q191" s="64">
        <f t="shared" si="105"/>
        <v>0</v>
      </c>
      <c r="R191" s="64">
        <f t="shared" si="105"/>
        <v>0</v>
      </c>
      <c r="S191" s="64">
        <f t="shared" si="105"/>
        <v>0</v>
      </c>
      <c r="T191" s="64">
        <f t="shared" si="105"/>
        <v>0</v>
      </c>
      <c r="U191" s="64">
        <f t="shared" si="105"/>
        <v>1.1102230246251565E-16</v>
      </c>
      <c r="V191" s="64">
        <f t="shared" si="105"/>
        <v>0</v>
      </c>
      <c r="W191" s="64">
        <f t="shared" si="105"/>
        <v>0</v>
      </c>
      <c r="X191" s="64">
        <f t="shared" si="105"/>
        <v>-3.3306690738754696E-16</v>
      </c>
      <c r="Y191" s="64">
        <f t="shared" si="105"/>
        <v>0</v>
      </c>
      <c r="Z191" s="64">
        <f t="shared" si="105"/>
        <v>0.59999999999999964</v>
      </c>
      <c r="AA191" s="64">
        <f t="shared" si="105"/>
        <v>0</v>
      </c>
      <c r="AB191" s="64">
        <f t="shared" si="105"/>
        <v>0</v>
      </c>
      <c r="AC191" s="64">
        <f t="shared" si="105"/>
        <v>0</v>
      </c>
      <c r="AD191" s="64">
        <f t="shared" si="105"/>
        <v>0</v>
      </c>
      <c r="AE191" s="64">
        <f t="shared" si="105"/>
        <v>0</v>
      </c>
      <c r="AF191" s="64">
        <f t="shared" si="105"/>
        <v>0</v>
      </c>
      <c r="AG191" s="64">
        <f t="shared" si="105"/>
        <v>0</v>
      </c>
      <c r="AH191" s="64">
        <f t="shared" si="105"/>
        <v>0</v>
      </c>
      <c r="AI191" s="64">
        <f t="shared" si="105"/>
        <v>0</v>
      </c>
      <c r="AJ191" s="64">
        <f t="shared" si="105"/>
        <v>0</v>
      </c>
      <c r="AK191" s="64">
        <f t="shared" si="105"/>
        <v>0</v>
      </c>
      <c r="AL191" s="64">
        <f t="shared" si="105"/>
        <v>0</v>
      </c>
      <c r="AM191" s="64">
        <f t="shared" si="105"/>
        <v>0</v>
      </c>
      <c r="AN191" s="64">
        <f t="shared" si="105"/>
        <v>0</v>
      </c>
      <c r="AO191" s="64">
        <f t="shared" si="105"/>
        <v>0</v>
      </c>
      <c r="AP191" s="64">
        <f t="shared" si="105"/>
        <v>0</v>
      </c>
      <c r="AQ191" s="64">
        <f t="shared" si="105"/>
        <v>0</v>
      </c>
      <c r="AR191" s="64">
        <f t="shared" si="105"/>
        <v>0</v>
      </c>
      <c r="AS191" s="64">
        <f t="shared" si="105"/>
        <v>0</v>
      </c>
      <c r="AT191" s="64">
        <f t="shared" si="105"/>
        <v>0</v>
      </c>
      <c r="AU191" s="64">
        <f t="shared" si="105"/>
        <v>0</v>
      </c>
      <c r="AV191" s="64">
        <f t="shared" si="105"/>
        <v>0</v>
      </c>
      <c r="AW191" s="184"/>
      <c r="AX191" s="579" t="s">
        <v>3</v>
      </c>
      <c r="AY191" s="19" t="s">
        <v>339</v>
      </c>
      <c r="AZ191" s="19"/>
      <c r="BA191" s="19"/>
      <c r="BB191" s="19"/>
    </row>
    <row r="192" spans="1:54">
      <c r="A192" s="83" t="s">
        <v>230</v>
      </c>
      <c r="B192" s="84"/>
      <c r="C192" s="85"/>
      <c r="D192" s="325"/>
      <c r="E192" s="64">
        <f t="shared" ref="E192:AV192" si="106">E63-E165</f>
        <v>0</v>
      </c>
      <c r="F192" s="64">
        <f t="shared" si="106"/>
        <v>0</v>
      </c>
      <c r="G192" s="64">
        <f t="shared" si="106"/>
        <v>0</v>
      </c>
      <c r="H192" s="64">
        <f t="shared" si="106"/>
        <v>0</v>
      </c>
      <c r="I192" s="64">
        <f t="shared" si="106"/>
        <v>0</v>
      </c>
      <c r="J192" s="64">
        <f t="shared" si="106"/>
        <v>0</v>
      </c>
      <c r="K192" s="64">
        <f t="shared" si="106"/>
        <v>0</v>
      </c>
      <c r="L192" s="64">
        <f t="shared" si="106"/>
        <v>0</v>
      </c>
      <c r="M192" s="64">
        <f t="shared" si="106"/>
        <v>0</v>
      </c>
      <c r="N192" s="64">
        <f t="shared" si="106"/>
        <v>0</v>
      </c>
      <c r="O192" s="64">
        <f t="shared" si="106"/>
        <v>0</v>
      </c>
      <c r="P192" s="64">
        <f t="shared" si="106"/>
        <v>0</v>
      </c>
      <c r="Q192" s="64">
        <f t="shared" si="106"/>
        <v>0</v>
      </c>
      <c r="R192" s="327">
        <f t="shared" si="106"/>
        <v>0</v>
      </c>
      <c r="S192" s="64">
        <f t="shared" si="106"/>
        <v>0</v>
      </c>
      <c r="T192" s="64">
        <f t="shared" si="106"/>
        <v>0</v>
      </c>
      <c r="U192" s="64">
        <f t="shared" si="106"/>
        <v>0</v>
      </c>
      <c r="V192" s="64">
        <f t="shared" si="106"/>
        <v>0</v>
      </c>
      <c r="W192" s="64">
        <f t="shared" si="106"/>
        <v>0</v>
      </c>
      <c r="X192" s="64">
        <f t="shared" si="106"/>
        <v>0</v>
      </c>
      <c r="Y192" s="64">
        <f t="shared" si="106"/>
        <v>0</v>
      </c>
      <c r="Z192" s="64">
        <f t="shared" si="106"/>
        <v>0</v>
      </c>
      <c r="AA192" s="64">
        <f t="shared" si="106"/>
        <v>0</v>
      </c>
      <c r="AB192" s="64">
        <f t="shared" si="106"/>
        <v>0</v>
      </c>
      <c r="AC192" s="64">
        <f t="shared" si="106"/>
        <v>0</v>
      </c>
      <c r="AD192" s="64">
        <f t="shared" si="106"/>
        <v>0</v>
      </c>
      <c r="AE192" s="64">
        <f t="shared" si="106"/>
        <v>0</v>
      </c>
      <c r="AF192" s="64">
        <f t="shared" si="106"/>
        <v>0</v>
      </c>
      <c r="AG192" s="64">
        <f t="shared" si="106"/>
        <v>0</v>
      </c>
      <c r="AH192" s="64">
        <f t="shared" si="106"/>
        <v>0</v>
      </c>
      <c r="AI192" s="64">
        <f t="shared" si="106"/>
        <v>0</v>
      </c>
      <c r="AJ192" s="64">
        <f t="shared" si="106"/>
        <v>0</v>
      </c>
      <c r="AK192" s="64">
        <f t="shared" si="106"/>
        <v>0</v>
      </c>
      <c r="AL192" s="64">
        <f t="shared" si="106"/>
        <v>0</v>
      </c>
      <c r="AM192" s="64">
        <f t="shared" si="106"/>
        <v>0</v>
      </c>
      <c r="AN192" s="64">
        <f t="shared" si="106"/>
        <v>0</v>
      </c>
      <c r="AO192" s="64">
        <f t="shared" si="106"/>
        <v>0</v>
      </c>
      <c r="AP192" s="64">
        <f t="shared" si="106"/>
        <v>0</v>
      </c>
      <c r="AQ192" s="64">
        <f t="shared" si="106"/>
        <v>0</v>
      </c>
      <c r="AR192" s="64">
        <f t="shared" si="106"/>
        <v>0</v>
      </c>
      <c r="AS192" s="64">
        <f t="shared" si="106"/>
        <v>0</v>
      </c>
      <c r="AT192" s="64">
        <f t="shared" si="106"/>
        <v>0</v>
      </c>
      <c r="AU192" s="64">
        <f t="shared" si="106"/>
        <v>0</v>
      </c>
      <c r="AV192" s="64">
        <f t="shared" si="106"/>
        <v>0</v>
      </c>
      <c r="AW192" s="184"/>
      <c r="AX192" s="579" t="s">
        <v>3</v>
      </c>
      <c r="AY192" s="19" t="s">
        <v>340</v>
      </c>
      <c r="AZ192" s="19"/>
      <c r="BA192" s="19"/>
      <c r="BB192" s="19"/>
    </row>
    <row r="193" spans="1:54" ht="15" thickBot="1">
      <c r="A193" s="86" t="s">
        <v>231</v>
      </c>
      <c r="B193" s="87"/>
      <c r="C193" s="88"/>
      <c r="D193" s="326"/>
      <c r="E193" s="65">
        <f t="shared" ref="E193:AV193" si="107">E64-E166</f>
        <v>0</v>
      </c>
      <c r="F193" s="65">
        <f t="shared" si="107"/>
        <v>0</v>
      </c>
      <c r="G193" s="65">
        <f t="shared" si="107"/>
        <v>0</v>
      </c>
      <c r="H193" s="65">
        <f t="shared" si="107"/>
        <v>0</v>
      </c>
      <c r="I193" s="65">
        <f t="shared" si="107"/>
        <v>0</v>
      </c>
      <c r="J193" s="65">
        <f t="shared" si="107"/>
        <v>0</v>
      </c>
      <c r="K193" s="65">
        <f t="shared" si="107"/>
        <v>0</v>
      </c>
      <c r="L193" s="65">
        <f t="shared" si="107"/>
        <v>0</v>
      </c>
      <c r="M193" s="65">
        <f t="shared" si="107"/>
        <v>0</v>
      </c>
      <c r="N193" s="65">
        <f t="shared" si="107"/>
        <v>0</v>
      </c>
      <c r="O193" s="65">
        <f t="shared" si="107"/>
        <v>0</v>
      </c>
      <c r="P193" s="65">
        <f t="shared" si="107"/>
        <v>0</v>
      </c>
      <c r="Q193" s="65">
        <f t="shared" si="107"/>
        <v>0</v>
      </c>
      <c r="R193" s="328">
        <f t="shared" si="107"/>
        <v>0</v>
      </c>
      <c r="S193" s="65">
        <f t="shared" si="107"/>
        <v>0</v>
      </c>
      <c r="T193" s="65">
        <f t="shared" si="107"/>
        <v>0</v>
      </c>
      <c r="U193" s="65">
        <f t="shared" si="107"/>
        <v>0</v>
      </c>
      <c r="V193" s="65">
        <f t="shared" si="107"/>
        <v>0</v>
      </c>
      <c r="W193" s="65">
        <f t="shared" si="107"/>
        <v>0</v>
      </c>
      <c r="X193" s="65">
        <f t="shared" si="107"/>
        <v>0</v>
      </c>
      <c r="Y193" s="65">
        <f t="shared" si="107"/>
        <v>0</v>
      </c>
      <c r="Z193" s="65">
        <f t="shared" si="107"/>
        <v>0</v>
      </c>
      <c r="AA193" s="65">
        <f t="shared" si="107"/>
        <v>0</v>
      </c>
      <c r="AB193" s="65">
        <f t="shared" si="107"/>
        <v>0</v>
      </c>
      <c r="AC193" s="65">
        <f t="shared" si="107"/>
        <v>0</v>
      </c>
      <c r="AD193" s="65">
        <f t="shared" si="107"/>
        <v>0</v>
      </c>
      <c r="AE193" s="65">
        <f t="shared" si="107"/>
        <v>0</v>
      </c>
      <c r="AF193" s="65">
        <f t="shared" si="107"/>
        <v>0</v>
      </c>
      <c r="AG193" s="65">
        <f t="shared" si="107"/>
        <v>0</v>
      </c>
      <c r="AH193" s="65">
        <f t="shared" si="107"/>
        <v>0</v>
      </c>
      <c r="AI193" s="65">
        <f t="shared" si="107"/>
        <v>0</v>
      </c>
      <c r="AJ193" s="65">
        <f t="shared" si="107"/>
        <v>0</v>
      </c>
      <c r="AK193" s="65">
        <f t="shared" si="107"/>
        <v>0</v>
      </c>
      <c r="AL193" s="65">
        <f t="shared" si="107"/>
        <v>0</v>
      </c>
      <c r="AM193" s="65">
        <f t="shared" si="107"/>
        <v>0</v>
      </c>
      <c r="AN193" s="65">
        <f t="shared" si="107"/>
        <v>0</v>
      </c>
      <c r="AO193" s="65">
        <f t="shared" si="107"/>
        <v>0</v>
      </c>
      <c r="AP193" s="65">
        <f t="shared" si="107"/>
        <v>0</v>
      </c>
      <c r="AQ193" s="65">
        <f t="shared" si="107"/>
        <v>0</v>
      </c>
      <c r="AR193" s="65">
        <f t="shared" si="107"/>
        <v>0</v>
      </c>
      <c r="AS193" s="65">
        <f t="shared" si="107"/>
        <v>0</v>
      </c>
      <c r="AT193" s="65">
        <f t="shared" si="107"/>
        <v>0</v>
      </c>
      <c r="AU193" s="65">
        <f t="shared" si="107"/>
        <v>0</v>
      </c>
      <c r="AV193" s="65">
        <f t="shared" si="107"/>
        <v>0</v>
      </c>
      <c r="AW193" s="184"/>
      <c r="AX193" s="579" t="s">
        <v>3</v>
      </c>
      <c r="AY193" s="19" t="s">
        <v>341</v>
      </c>
      <c r="AZ193" s="19"/>
      <c r="BA193" s="19"/>
      <c r="BB193" s="19"/>
    </row>
    <row r="194" spans="1:54">
      <c r="F194" s="184"/>
      <c r="G194" s="184"/>
      <c r="H194" s="184"/>
      <c r="I194" s="184"/>
      <c r="J194" s="184"/>
      <c r="K194" s="184"/>
      <c r="L194" s="184"/>
      <c r="M194" s="184"/>
      <c r="N194" s="184"/>
      <c r="O194" s="184"/>
      <c r="P194" s="184"/>
      <c r="Q194" s="184"/>
      <c r="R194" s="184"/>
      <c r="S194" s="184"/>
      <c r="T194" s="184"/>
      <c r="U194" s="184"/>
      <c r="V194" s="184"/>
      <c r="W194" s="184"/>
      <c r="X194" s="184"/>
      <c r="Y194" s="184"/>
      <c r="Z194" s="184"/>
      <c r="AA194" s="184"/>
      <c r="AB194" s="184"/>
      <c r="AC194" s="184"/>
      <c r="AD194" s="184"/>
      <c r="AE194" s="184"/>
      <c r="AF194" s="184"/>
      <c r="AG194" s="184"/>
      <c r="AH194" s="184"/>
      <c r="AI194" s="184"/>
      <c r="AJ194" s="184"/>
      <c r="AK194" s="184">
        <f t="shared" ref="AK194:AV194" si="108">AK168+AK178-AK8</f>
        <v>289.64017944360472</v>
      </c>
      <c r="AL194" s="184">
        <f t="shared" si="108"/>
        <v>261.25991725085458</v>
      </c>
      <c r="AM194" s="184">
        <f t="shared" si="108"/>
        <v>290.39534348184566</v>
      </c>
      <c r="AN194" s="184">
        <f t="shared" si="108"/>
        <v>264.98442315824479</v>
      </c>
      <c r="AO194" s="184">
        <f t="shared" si="108"/>
        <v>264.70777925019098</v>
      </c>
      <c r="AP194" s="184">
        <f t="shared" si="108"/>
        <v>254.94772733471825</v>
      </c>
      <c r="AQ194" s="184">
        <f t="shared" si="108"/>
        <v>263.37998880596729</v>
      </c>
      <c r="AR194" s="184">
        <f t="shared" si="108"/>
        <v>263.6434539957047</v>
      </c>
      <c r="AS194" s="184">
        <f t="shared" si="108"/>
        <v>255.49093705596169</v>
      </c>
      <c r="AT194" s="184">
        <f t="shared" si="108"/>
        <v>263.57703982148269</v>
      </c>
      <c r="AU194" s="184">
        <f t="shared" si="108"/>
        <v>249.42213281396721</v>
      </c>
      <c r="AV194" s="184">
        <f t="shared" si="108"/>
        <v>242.1554507933626</v>
      </c>
      <c r="AW194" s="184"/>
      <c r="AX194" s="580" t="s">
        <v>158</v>
      </c>
    </row>
    <row r="195" spans="1:54">
      <c r="D195" t="s">
        <v>342</v>
      </c>
      <c r="F195" s="184"/>
      <c r="G195" s="184"/>
      <c r="H195" s="184"/>
      <c r="I195" s="184"/>
      <c r="J195" s="184"/>
      <c r="K195" s="184"/>
      <c r="L195" s="184"/>
      <c r="M195" s="184"/>
      <c r="N195" s="184"/>
      <c r="O195" s="184"/>
      <c r="P195" s="184"/>
      <c r="Q195" s="184"/>
      <c r="R195" s="184"/>
      <c r="S195" s="184"/>
      <c r="T195" s="184"/>
      <c r="U195" s="184"/>
      <c r="V195" s="184">
        <f>V180-156-V165</f>
        <v>0.70000000000000018</v>
      </c>
      <c r="W195" s="184">
        <f t="shared" ref="W195:AU195" si="109">W180-156-W165</f>
        <v>-0.43759229000002087</v>
      </c>
      <c r="X195" s="184">
        <f t="shared" si="109"/>
        <v>-0.45999999999999552</v>
      </c>
      <c r="Y195" s="184">
        <f t="shared" si="109"/>
        <v>-9.650000000000011</v>
      </c>
      <c r="Z195" s="184">
        <f t="shared" si="109"/>
        <v>-16.452560549999994</v>
      </c>
      <c r="AA195" s="184">
        <f t="shared" si="109"/>
        <v>-1.4299999999999979</v>
      </c>
      <c r="AB195" s="184">
        <f t="shared" si="109"/>
        <v>-19.37</v>
      </c>
      <c r="AC195" s="184">
        <f t="shared" si="109"/>
        <v>-16.86999999999999</v>
      </c>
      <c r="AD195" s="184">
        <f t="shared" si="109"/>
        <v>-16.780000000000022</v>
      </c>
      <c r="AE195" s="184">
        <f t="shared" si="109"/>
        <v>-14.679999999999993</v>
      </c>
      <c r="AF195" s="184">
        <f t="shared" si="109"/>
        <v>-18.670000000000002</v>
      </c>
      <c r="AG195" s="184">
        <f t="shared" si="109"/>
        <v>-14.899999999999995</v>
      </c>
      <c r="AH195" s="184">
        <f t="shared" si="109"/>
        <v>-11.516000000000002</v>
      </c>
      <c r="AI195" s="184">
        <f t="shared" si="109"/>
        <v>-16.510000000000009</v>
      </c>
      <c r="AJ195" s="184">
        <f t="shared" si="109"/>
        <v>-12.36999999999999</v>
      </c>
      <c r="AK195" s="184">
        <f t="shared" si="109"/>
        <v>-8.4049999999999585</v>
      </c>
      <c r="AL195" s="184">
        <f t="shared" si="109"/>
        <v>-16.509999999999977</v>
      </c>
      <c r="AM195" s="184">
        <f t="shared" si="109"/>
        <v>-9.1350000000000051</v>
      </c>
      <c r="AN195" s="184">
        <f t="shared" si="109"/>
        <v>-16.969999999999985</v>
      </c>
      <c r="AO195" s="184">
        <f t="shared" si="109"/>
        <v>-11.385000000000005</v>
      </c>
      <c r="AP195" s="184">
        <f t="shared" si="109"/>
        <v>-14.979999999999976</v>
      </c>
      <c r="AQ195" s="184">
        <f t="shared" si="109"/>
        <v>-9.8399999999999892</v>
      </c>
      <c r="AR195" s="184">
        <f t="shared" si="109"/>
        <v>-8.39</v>
      </c>
      <c r="AS195" s="184">
        <f t="shared" si="109"/>
        <v>-12.480000000000004</v>
      </c>
      <c r="AT195" s="184">
        <f t="shared" si="109"/>
        <v>-10.539999999999978</v>
      </c>
      <c r="AU195" s="184">
        <f t="shared" si="109"/>
        <v>-14.899999999999991</v>
      </c>
      <c r="AV195" s="184">
        <f>AV180-156-AV165</f>
        <v>-12.61</v>
      </c>
      <c r="AW195" s="184"/>
      <c r="AX195" s="580" t="s">
        <v>158</v>
      </c>
    </row>
    <row r="196" spans="1:54">
      <c r="T196" s="184"/>
      <c r="U196" s="184"/>
      <c r="X196" s="184"/>
      <c r="Y196" s="184"/>
      <c r="Z196" s="184"/>
      <c r="AA196" s="184"/>
      <c r="AB196" s="184"/>
      <c r="AC196" s="184"/>
      <c r="AD196" s="184"/>
      <c r="AE196" s="184"/>
      <c r="AF196" s="184"/>
      <c r="AG196" s="184"/>
      <c r="AH196" s="184"/>
      <c r="AI196" s="184"/>
      <c r="AJ196" s="184"/>
      <c r="AK196" s="184"/>
      <c r="AL196" s="184"/>
      <c r="AM196" s="184"/>
      <c r="AN196" s="184"/>
      <c r="AO196" s="184"/>
      <c r="AP196" s="184"/>
      <c r="AQ196" s="184"/>
      <c r="AR196" s="184"/>
      <c r="AS196" s="184"/>
      <c r="AT196" s="184"/>
      <c r="AU196" s="184"/>
      <c r="AV196" s="184"/>
      <c r="AW196" s="184"/>
    </row>
    <row r="197" spans="1:54" ht="15" thickBot="1">
      <c r="V197" s="184"/>
      <c r="W197" s="184"/>
      <c r="X197" s="184"/>
      <c r="Y197" s="184"/>
      <c r="Z197" s="184"/>
      <c r="AA197" s="184"/>
      <c r="AB197" s="184"/>
      <c r="AC197" s="184"/>
      <c r="AD197" s="184"/>
      <c r="AE197" s="184"/>
      <c r="AF197" s="184"/>
      <c r="AG197" s="184"/>
      <c r="AH197" s="184"/>
      <c r="AI197" s="184"/>
    </row>
    <row r="198" spans="1:54">
      <c r="A198" s="16" t="s">
        <v>222</v>
      </c>
      <c r="B198" s="27"/>
      <c r="C198" s="857" t="str">
        <f>C55</f>
        <v>Ability 11rev3_20Oct'21</v>
      </c>
      <c r="D198" s="858"/>
      <c r="AD198" s="182">
        <f t="shared" ref="AD198:AV198" si="110">AD55-AD42</f>
        <v>0.20900000000000318</v>
      </c>
      <c r="AE198" s="182">
        <f t="shared" si="110"/>
        <v>-5.2158853834375947</v>
      </c>
      <c r="AF198" s="182">
        <f t="shared" si="110"/>
        <v>0.212325415636613</v>
      </c>
      <c r="AG198" s="182">
        <f t="shared" si="110"/>
        <v>0.32244292826847243</v>
      </c>
      <c r="AH198" s="182">
        <f t="shared" si="110"/>
        <v>0.39428184455800874</v>
      </c>
      <c r="AI198" s="182">
        <f t="shared" si="110"/>
        <v>0</v>
      </c>
      <c r="AJ198" s="182">
        <f t="shared" si="110"/>
        <v>0</v>
      </c>
      <c r="AK198" s="182">
        <f t="shared" si="110"/>
        <v>0</v>
      </c>
      <c r="AL198" s="182">
        <f t="shared" si="110"/>
        <v>0</v>
      </c>
      <c r="AM198" s="182">
        <f t="shared" si="110"/>
        <v>0</v>
      </c>
      <c r="AN198" s="182">
        <f t="shared" si="110"/>
        <v>0</v>
      </c>
      <c r="AO198" s="182">
        <f t="shared" si="110"/>
        <v>0</v>
      </c>
      <c r="AP198" s="182">
        <f t="shared" si="110"/>
        <v>0</v>
      </c>
      <c r="AQ198" s="182">
        <f t="shared" si="110"/>
        <v>0</v>
      </c>
      <c r="AR198" s="182">
        <f t="shared" si="110"/>
        <v>0</v>
      </c>
      <c r="AS198" s="182">
        <f t="shared" si="110"/>
        <v>0</v>
      </c>
      <c r="AT198" s="182">
        <f t="shared" si="110"/>
        <v>0</v>
      </c>
      <c r="AU198" s="182">
        <f t="shared" si="110"/>
        <v>-2.7035712082982712</v>
      </c>
      <c r="AV198" s="182">
        <f t="shared" si="110"/>
        <v>-0.59190145780767978</v>
      </c>
      <c r="AW198" s="409"/>
      <c r="AX198" s="580" t="s">
        <v>158</v>
      </c>
    </row>
    <row r="199" spans="1:54">
      <c r="A199" s="28" t="s">
        <v>224</v>
      </c>
      <c r="B199" s="3"/>
      <c r="C199" s="859" t="str">
        <f>C198</f>
        <v>Ability 11rev3_20Oct'21</v>
      </c>
      <c r="D199" s="860"/>
      <c r="AD199" s="182">
        <f t="shared" ref="AD199:AV199" si="111">AD56-AD43</f>
        <v>-0.40126296542575801</v>
      </c>
      <c r="AE199" s="182">
        <f t="shared" si="111"/>
        <v>1.8046653453705801</v>
      </c>
      <c r="AF199" s="182">
        <f t="shared" si="111"/>
        <v>-3.579448526997794</v>
      </c>
      <c r="AG199" s="182">
        <f t="shared" si="111"/>
        <v>-1.5887958694448798</v>
      </c>
      <c r="AH199" s="182">
        <f t="shared" si="111"/>
        <v>-0.70342894189542449</v>
      </c>
      <c r="AI199" s="182">
        <f t="shared" si="111"/>
        <v>0</v>
      </c>
      <c r="AJ199" s="182">
        <f t="shared" si="111"/>
        <v>0</v>
      </c>
      <c r="AK199" s="182">
        <f t="shared" si="111"/>
        <v>0</v>
      </c>
      <c r="AL199" s="182">
        <f t="shared" si="111"/>
        <v>0</v>
      </c>
      <c r="AM199" s="182">
        <f t="shared" si="111"/>
        <v>0</v>
      </c>
      <c r="AN199" s="182">
        <f t="shared" si="111"/>
        <v>0</v>
      </c>
      <c r="AO199" s="182">
        <f t="shared" si="111"/>
        <v>0</v>
      </c>
      <c r="AP199" s="182">
        <f t="shared" si="111"/>
        <v>0</v>
      </c>
      <c r="AQ199" s="182">
        <f t="shared" si="111"/>
        <v>0</v>
      </c>
      <c r="AR199" s="182">
        <f t="shared" si="111"/>
        <v>0</v>
      </c>
      <c r="AS199" s="182">
        <f t="shared" si="111"/>
        <v>0</v>
      </c>
      <c r="AT199" s="182">
        <f t="shared" si="111"/>
        <v>0</v>
      </c>
      <c r="AU199" s="182">
        <f t="shared" si="111"/>
        <v>-11.715825343425877</v>
      </c>
      <c r="AV199" s="182">
        <f t="shared" si="111"/>
        <v>-20.711457421418714</v>
      </c>
      <c r="AW199" s="409"/>
      <c r="AX199" s="580" t="s">
        <v>158</v>
      </c>
    </row>
    <row r="200" spans="1:54">
      <c r="A200" s="550" t="s">
        <v>225</v>
      </c>
      <c r="B200" s="3"/>
      <c r="C200" s="867" t="str">
        <f>C198</f>
        <v>Ability 11rev3_20Oct'21</v>
      </c>
      <c r="D200" s="868"/>
      <c r="AD200" s="182">
        <f t="shared" ref="AD200:AV200" si="112">AD57-AD44</f>
        <v>-0.22800000000000153</v>
      </c>
      <c r="AE200" s="182">
        <f t="shared" si="112"/>
        <v>-0.85210536905975687</v>
      </c>
      <c r="AF200" s="182">
        <f t="shared" si="112"/>
        <v>0.46855172413793866</v>
      </c>
      <c r="AG200" s="182">
        <f t="shared" si="112"/>
        <v>-1.4804482758620594</v>
      </c>
      <c r="AH200" s="182">
        <f t="shared" si="112"/>
        <v>0.66010344827585499</v>
      </c>
      <c r="AI200" s="182">
        <f t="shared" si="112"/>
        <v>0</v>
      </c>
      <c r="AJ200" s="182">
        <f t="shared" si="112"/>
        <v>0</v>
      </c>
      <c r="AK200" s="182">
        <f t="shared" si="112"/>
        <v>0</v>
      </c>
      <c r="AL200" s="182">
        <f t="shared" si="112"/>
        <v>0</v>
      </c>
      <c r="AM200" s="182">
        <f t="shared" si="112"/>
        <v>0</v>
      </c>
      <c r="AN200" s="182">
        <f t="shared" si="112"/>
        <v>0</v>
      </c>
      <c r="AO200" s="182">
        <f t="shared" si="112"/>
        <v>0</v>
      </c>
      <c r="AP200" s="182">
        <f t="shared" si="112"/>
        <v>0</v>
      </c>
      <c r="AQ200" s="182">
        <f t="shared" si="112"/>
        <v>0</v>
      </c>
      <c r="AR200" s="182">
        <f t="shared" si="112"/>
        <v>0</v>
      </c>
      <c r="AS200" s="182">
        <f t="shared" si="112"/>
        <v>0</v>
      </c>
      <c r="AT200" s="182">
        <f t="shared" si="112"/>
        <v>0</v>
      </c>
      <c r="AU200" s="182">
        <f t="shared" si="112"/>
        <v>-1.343902439024383</v>
      </c>
      <c r="AV200" s="182">
        <f t="shared" si="112"/>
        <v>0.57223264540338192</v>
      </c>
      <c r="AW200" s="409"/>
      <c r="AX200" s="580" t="s">
        <v>158</v>
      </c>
    </row>
    <row r="201" spans="1:54">
      <c r="A201" s="550" t="s">
        <v>226</v>
      </c>
      <c r="B201" s="3"/>
      <c r="C201" s="867" t="str">
        <f>C198</f>
        <v>Ability 11rev3_20Oct'21</v>
      </c>
      <c r="D201" s="868"/>
      <c r="AD201" s="182">
        <f t="shared" ref="AD201:AV201" si="113">AD58-AD45</f>
        <v>-0.17326296542597674</v>
      </c>
      <c r="AE201" s="182">
        <f t="shared" si="113"/>
        <v>0.16197815935595372</v>
      </c>
      <c r="AF201" s="182">
        <f t="shared" si="113"/>
        <v>6.8459574221407138E-2</v>
      </c>
      <c r="AG201" s="182">
        <f t="shared" si="113"/>
        <v>-0.10834759358287727</v>
      </c>
      <c r="AH201" s="182">
        <f t="shared" si="113"/>
        <v>-1.3635323901712582</v>
      </c>
      <c r="AI201" s="182">
        <f t="shared" si="113"/>
        <v>0</v>
      </c>
      <c r="AJ201" s="182">
        <f t="shared" si="113"/>
        <v>0</v>
      </c>
      <c r="AK201" s="182">
        <f t="shared" si="113"/>
        <v>0</v>
      </c>
      <c r="AL201" s="182">
        <f t="shared" si="113"/>
        <v>0</v>
      </c>
      <c r="AM201" s="182">
        <f t="shared" si="113"/>
        <v>0</v>
      </c>
      <c r="AN201" s="182">
        <f t="shared" si="113"/>
        <v>0</v>
      </c>
      <c r="AO201" s="182">
        <f t="shared" si="113"/>
        <v>0</v>
      </c>
      <c r="AP201" s="182">
        <f t="shared" si="113"/>
        <v>0</v>
      </c>
      <c r="AQ201" s="182">
        <f t="shared" si="113"/>
        <v>0</v>
      </c>
      <c r="AR201" s="182">
        <f t="shared" si="113"/>
        <v>0</v>
      </c>
      <c r="AS201" s="182">
        <f t="shared" si="113"/>
        <v>0</v>
      </c>
      <c r="AT201" s="182">
        <f t="shared" si="113"/>
        <v>0</v>
      </c>
      <c r="AU201" s="182">
        <f t="shared" si="113"/>
        <v>-10.371922904401515</v>
      </c>
      <c r="AV201" s="182">
        <f t="shared" si="113"/>
        <v>-21.283690066822132</v>
      </c>
      <c r="AW201" s="409"/>
      <c r="AX201" s="580" t="s">
        <v>158</v>
      </c>
    </row>
    <row r="202" spans="1:54">
      <c r="A202" s="28" t="s">
        <v>227</v>
      </c>
      <c r="B202" s="3"/>
      <c r="C202" s="859" t="str">
        <f>C198</f>
        <v>Ability 11rev3_20Oct'21</v>
      </c>
      <c r="D202" s="860"/>
      <c r="AD202" s="182">
        <f t="shared" ref="AD202:AV202" si="114">AD59-AD46</f>
        <v>-0.19226296542575483</v>
      </c>
      <c r="AE202" s="182">
        <f t="shared" si="114"/>
        <v>-3.4112200380670004</v>
      </c>
      <c r="AF202" s="182">
        <f t="shared" si="114"/>
        <v>-3.3671231113611952</v>
      </c>
      <c r="AG202" s="182">
        <f t="shared" si="114"/>
        <v>-1.2663529411764216</v>
      </c>
      <c r="AH202" s="182">
        <f t="shared" si="114"/>
        <v>-0.30914709733741574</v>
      </c>
      <c r="AI202" s="182">
        <f t="shared" si="114"/>
        <v>0</v>
      </c>
      <c r="AJ202" s="182">
        <f t="shared" si="114"/>
        <v>0</v>
      </c>
      <c r="AK202" s="182">
        <f t="shared" si="114"/>
        <v>0</v>
      </c>
      <c r="AL202" s="182">
        <f t="shared" si="114"/>
        <v>0</v>
      </c>
      <c r="AM202" s="182">
        <f t="shared" si="114"/>
        <v>0</v>
      </c>
      <c r="AN202" s="182">
        <f t="shared" si="114"/>
        <v>0</v>
      </c>
      <c r="AO202" s="182">
        <f t="shared" si="114"/>
        <v>0</v>
      </c>
      <c r="AP202" s="182">
        <f t="shared" si="114"/>
        <v>0</v>
      </c>
      <c r="AQ202" s="182">
        <f t="shared" si="114"/>
        <v>0</v>
      </c>
      <c r="AR202" s="182">
        <f t="shared" si="114"/>
        <v>0</v>
      </c>
      <c r="AS202" s="182">
        <f t="shared" si="114"/>
        <v>0</v>
      </c>
      <c r="AT202" s="182">
        <f t="shared" si="114"/>
        <v>0</v>
      </c>
      <c r="AU202" s="182">
        <f t="shared" si="114"/>
        <v>-14.419396551724134</v>
      </c>
      <c r="AV202" s="182">
        <f t="shared" si="114"/>
        <v>-21.30335887922638</v>
      </c>
      <c r="AW202" s="409"/>
      <c r="AX202" s="580" t="s">
        <v>158</v>
      </c>
    </row>
    <row r="203" spans="1:54">
      <c r="A203" s="28" t="s">
        <v>228</v>
      </c>
      <c r="B203" s="3"/>
      <c r="C203" s="862">
        <f>C60</f>
        <v>44480</v>
      </c>
      <c r="D203" s="863"/>
      <c r="AD203" s="182">
        <f t="shared" ref="AD203:AV203" si="115">AD60-AD47</f>
        <v>-1.2</v>
      </c>
      <c r="AE203" s="182">
        <f t="shared" si="115"/>
        <v>0</v>
      </c>
      <c r="AF203" s="182">
        <f t="shared" si="115"/>
        <v>0</v>
      </c>
      <c r="AG203" s="182">
        <f t="shared" si="115"/>
        <v>0</v>
      </c>
      <c r="AH203" s="182">
        <f t="shared" si="115"/>
        <v>0</v>
      </c>
      <c r="AI203" s="182">
        <f t="shared" si="115"/>
        <v>0</v>
      </c>
      <c r="AJ203" s="182">
        <f t="shared" si="115"/>
        <v>0</v>
      </c>
      <c r="AK203" s="182" t="e">
        <f t="shared" si="115"/>
        <v>#VALUE!</v>
      </c>
      <c r="AL203" s="182" t="e">
        <f t="shared" si="115"/>
        <v>#VALUE!</v>
      </c>
      <c r="AM203" s="182" t="e">
        <f t="shared" si="115"/>
        <v>#VALUE!</v>
      </c>
      <c r="AN203" s="182" t="e">
        <f t="shared" si="115"/>
        <v>#VALUE!</v>
      </c>
      <c r="AO203" s="182" t="e">
        <f t="shared" si="115"/>
        <v>#VALUE!</v>
      </c>
      <c r="AP203" s="182" t="e">
        <f t="shared" si="115"/>
        <v>#VALUE!</v>
      </c>
      <c r="AQ203" s="182" t="e">
        <f t="shared" si="115"/>
        <v>#VALUE!</v>
      </c>
      <c r="AR203" s="182" t="e">
        <f t="shared" si="115"/>
        <v>#VALUE!</v>
      </c>
      <c r="AS203" s="182" t="e">
        <f t="shared" si="115"/>
        <v>#VALUE!</v>
      </c>
      <c r="AT203" s="182" t="e">
        <f t="shared" si="115"/>
        <v>#VALUE!</v>
      </c>
      <c r="AU203" s="182" t="e">
        <f t="shared" si="115"/>
        <v>#VALUE!</v>
      </c>
      <c r="AV203" s="182" t="e">
        <f t="shared" si="115"/>
        <v>#VALUE!</v>
      </c>
      <c r="AW203" s="409"/>
      <c r="AX203" s="580" t="s">
        <v>158</v>
      </c>
    </row>
    <row r="204" spans="1:54">
      <c r="A204" s="28" t="s">
        <v>33</v>
      </c>
      <c r="B204" s="3"/>
      <c r="C204" s="862">
        <f>C61</f>
        <v>44490</v>
      </c>
      <c r="D204" s="863"/>
      <c r="AD204" s="182">
        <f t="shared" ref="AD204:AV204" si="116">AD61-AD48</f>
        <v>0</v>
      </c>
      <c r="AE204" s="182">
        <f t="shared" si="116"/>
        <v>0</v>
      </c>
      <c r="AF204" s="182">
        <f t="shared" si="116"/>
        <v>0</v>
      </c>
      <c r="AG204" s="182">
        <f t="shared" si="116"/>
        <v>0</v>
      </c>
      <c r="AH204" s="182">
        <f t="shared" si="116"/>
        <v>1</v>
      </c>
      <c r="AI204" s="182">
        <f t="shared" si="116"/>
        <v>0</v>
      </c>
      <c r="AJ204" s="182">
        <f t="shared" si="116"/>
        <v>0</v>
      </c>
      <c r="AK204" s="182">
        <f t="shared" si="116"/>
        <v>0</v>
      </c>
      <c r="AL204" s="182">
        <f t="shared" si="116"/>
        <v>0</v>
      </c>
      <c r="AM204" s="182">
        <f t="shared" si="116"/>
        <v>0</v>
      </c>
      <c r="AN204" s="182">
        <f t="shared" si="116"/>
        <v>0</v>
      </c>
      <c r="AO204" s="182">
        <f t="shared" si="116"/>
        <v>0</v>
      </c>
      <c r="AP204" s="182">
        <f t="shared" si="116"/>
        <v>0</v>
      </c>
      <c r="AQ204" s="182">
        <f t="shared" si="116"/>
        <v>0</v>
      </c>
      <c r="AR204" s="182">
        <f t="shared" si="116"/>
        <v>0</v>
      </c>
      <c r="AS204" s="182">
        <f t="shared" si="116"/>
        <v>0</v>
      </c>
      <c r="AT204" s="182">
        <f t="shared" si="116"/>
        <v>0</v>
      </c>
      <c r="AU204" s="182">
        <f t="shared" si="116"/>
        <v>0</v>
      </c>
      <c r="AV204" s="182">
        <f t="shared" si="116"/>
        <v>0</v>
      </c>
      <c r="AW204" s="409"/>
      <c r="AX204" s="580" t="s">
        <v>158</v>
      </c>
    </row>
    <row r="205" spans="1:54">
      <c r="A205" s="28" t="s">
        <v>229</v>
      </c>
      <c r="B205" s="3"/>
      <c r="C205" s="862">
        <f>C62</f>
        <v>44495</v>
      </c>
      <c r="D205" s="863"/>
      <c r="AD205" s="182">
        <f t="shared" ref="AD205:AV205" si="117">AD62-AD49</f>
        <v>-0.91999999999999993</v>
      </c>
      <c r="AE205" s="182">
        <f t="shared" si="117"/>
        <v>-0.71999999999999975</v>
      </c>
      <c r="AF205" s="182">
        <f t="shared" si="117"/>
        <v>0</v>
      </c>
      <c r="AG205" s="182">
        <f t="shared" si="117"/>
        <v>0</v>
      </c>
      <c r="AH205" s="182">
        <f t="shared" si="117"/>
        <v>-0.90000000000000036</v>
      </c>
      <c r="AI205" s="182">
        <f t="shared" si="117"/>
        <v>2</v>
      </c>
      <c r="AJ205" s="182">
        <f t="shared" si="117"/>
        <v>-2</v>
      </c>
      <c r="AK205" s="182">
        <f t="shared" si="117"/>
        <v>0.71999999999999975</v>
      </c>
      <c r="AL205" s="182">
        <f t="shared" si="117"/>
        <v>0</v>
      </c>
      <c r="AM205" s="182">
        <f t="shared" si="117"/>
        <v>0</v>
      </c>
      <c r="AN205" s="182">
        <f t="shared" si="117"/>
        <v>0</v>
      </c>
      <c r="AO205" s="182">
        <f t="shared" si="117"/>
        <v>0</v>
      </c>
      <c r="AP205" s="182">
        <f t="shared" si="117"/>
        <v>0</v>
      </c>
      <c r="AQ205" s="182">
        <f t="shared" si="117"/>
        <v>0</v>
      </c>
      <c r="AR205" s="182">
        <f t="shared" si="117"/>
        <v>0</v>
      </c>
      <c r="AS205" s="182">
        <f t="shared" si="117"/>
        <v>0</v>
      </c>
      <c r="AT205" s="182">
        <f t="shared" si="117"/>
        <v>0</v>
      </c>
      <c r="AU205" s="182">
        <f t="shared" si="117"/>
        <v>0</v>
      </c>
      <c r="AV205" s="182">
        <f t="shared" si="117"/>
        <v>0</v>
      </c>
      <c r="AW205" s="409"/>
      <c r="AX205" s="580" t="s">
        <v>158</v>
      </c>
    </row>
    <row r="206" spans="1:54">
      <c r="A206" s="28" t="s">
        <v>230</v>
      </c>
      <c r="B206" s="3"/>
      <c r="C206" s="862">
        <f>C63</f>
        <v>44480</v>
      </c>
      <c r="D206" s="863"/>
      <c r="E206" s="639" t="s">
        <v>92</v>
      </c>
      <c r="AD206" s="182">
        <f t="shared" ref="AD206:AV206" si="118">AD63-AD50</f>
        <v>0.44000000000000039</v>
      </c>
      <c r="AE206" s="182">
        <f t="shared" si="118"/>
        <v>0</v>
      </c>
      <c r="AF206" s="182">
        <f t="shared" si="118"/>
        <v>0</v>
      </c>
      <c r="AG206" s="182">
        <f t="shared" si="118"/>
        <v>0</v>
      </c>
      <c r="AH206" s="182">
        <f t="shared" si="118"/>
        <v>-0.27899999999999991</v>
      </c>
      <c r="AI206" s="182">
        <f t="shared" si="118"/>
        <v>0</v>
      </c>
      <c r="AJ206" s="182">
        <f t="shared" si="118"/>
        <v>0</v>
      </c>
      <c r="AK206" s="182">
        <f t="shared" si="118"/>
        <v>0</v>
      </c>
      <c r="AL206" s="182">
        <f t="shared" si="118"/>
        <v>0</v>
      </c>
      <c r="AM206" s="182">
        <f t="shared" si="118"/>
        <v>0</v>
      </c>
      <c r="AN206" s="182">
        <f t="shared" si="118"/>
        <v>0</v>
      </c>
      <c r="AO206" s="182">
        <f t="shared" si="118"/>
        <v>0</v>
      </c>
      <c r="AP206" s="182">
        <f t="shared" si="118"/>
        <v>0</v>
      </c>
      <c r="AQ206" s="182">
        <f t="shared" si="118"/>
        <v>0</v>
      </c>
      <c r="AR206" s="182">
        <f t="shared" si="118"/>
        <v>0</v>
      </c>
      <c r="AS206" s="182">
        <f t="shared" si="118"/>
        <v>0</v>
      </c>
      <c r="AT206" s="182">
        <f t="shared" si="118"/>
        <v>0</v>
      </c>
      <c r="AU206" s="182">
        <f t="shared" si="118"/>
        <v>0</v>
      </c>
      <c r="AV206" s="182">
        <f t="shared" si="118"/>
        <v>0</v>
      </c>
      <c r="AW206" s="409"/>
      <c r="AX206" s="580" t="s">
        <v>158</v>
      </c>
    </row>
    <row r="207" spans="1:54" ht="15" thickBot="1">
      <c r="A207" s="35" t="s">
        <v>231</v>
      </c>
      <c r="B207" s="36"/>
      <c r="C207" s="862">
        <f>C64</f>
        <v>44470</v>
      </c>
      <c r="D207" s="863"/>
      <c r="E207" s="639" t="s">
        <v>92</v>
      </c>
      <c r="AD207" s="182">
        <f t="shared" ref="AD207:AV207" si="119">AD64-AD51</f>
        <v>-1.5</v>
      </c>
      <c r="AE207" s="182">
        <f t="shared" si="119"/>
        <v>0.63000000000000078</v>
      </c>
      <c r="AF207" s="182">
        <f t="shared" si="119"/>
        <v>-1.5999999999999996</v>
      </c>
      <c r="AG207" s="182">
        <f t="shared" si="119"/>
        <v>1.5</v>
      </c>
      <c r="AH207" s="182">
        <f t="shared" si="119"/>
        <v>0</v>
      </c>
      <c r="AI207" s="182">
        <f t="shared" si="119"/>
        <v>0</v>
      </c>
      <c r="AJ207" s="182">
        <f t="shared" si="119"/>
        <v>0</v>
      </c>
      <c r="AK207" s="182">
        <f t="shared" si="119"/>
        <v>0</v>
      </c>
      <c r="AL207" s="182">
        <f t="shared" si="119"/>
        <v>0</v>
      </c>
      <c r="AM207" s="182">
        <f t="shared" si="119"/>
        <v>0</v>
      </c>
      <c r="AN207" s="182">
        <f t="shared" si="119"/>
        <v>0</v>
      </c>
      <c r="AO207" s="182">
        <f t="shared" si="119"/>
        <v>0</v>
      </c>
      <c r="AP207" s="182">
        <f t="shared" si="119"/>
        <v>0</v>
      </c>
      <c r="AQ207" s="182">
        <f t="shared" si="119"/>
        <v>0</v>
      </c>
      <c r="AR207" s="182">
        <f t="shared" si="119"/>
        <v>0</v>
      </c>
      <c r="AS207" s="182">
        <f t="shared" si="119"/>
        <v>0</v>
      </c>
      <c r="AT207" s="182">
        <f t="shared" si="119"/>
        <v>0</v>
      </c>
      <c r="AU207" s="182">
        <f t="shared" si="119"/>
        <v>1.8400000000000003</v>
      </c>
      <c r="AV207" s="182">
        <f t="shared" si="119"/>
        <v>1.2400000000000002</v>
      </c>
      <c r="AW207" s="409"/>
      <c r="AX207" s="580" t="s">
        <v>158</v>
      </c>
    </row>
    <row r="208" spans="1:54">
      <c r="D208" s="636" t="s">
        <v>343</v>
      </c>
      <c r="Y208" s="184"/>
      <c r="Z208" s="184"/>
      <c r="AA208" s="184"/>
      <c r="AB208" s="184"/>
      <c r="AC208" s="184"/>
      <c r="AD208" s="184">
        <f>AD111+AD112</f>
        <v>29.361000000000001</v>
      </c>
      <c r="AE208" s="802">
        <f t="shared" ref="AE208:AV208" si="120">AE111+AE112</f>
        <v>0</v>
      </c>
      <c r="AF208" s="803">
        <f t="shared" si="120"/>
        <v>11.097</v>
      </c>
      <c r="AG208" s="803">
        <f t="shared" si="120"/>
        <v>30.283999999999999</v>
      </c>
      <c r="AH208" s="802">
        <f t="shared" si="120"/>
        <v>29.466000000000001</v>
      </c>
      <c r="AI208" s="184">
        <f t="shared" si="120"/>
        <v>28.242999999999999</v>
      </c>
      <c r="AJ208" s="184">
        <f t="shared" si="120"/>
        <v>30</v>
      </c>
      <c r="AK208" s="184">
        <f t="shared" si="120"/>
        <v>22.684931506849313</v>
      </c>
      <c r="AL208" s="184">
        <f t="shared" si="120"/>
        <v>20.876712328767123</v>
      </c>
      <c r="AM208" s="184">
        <f t="shared" si="120"/>
        <v>22.684931506849313</v>
      </c>
      <c r="AN208" s="184">
        <f t="shared" si="120"/>
        <v>21.082191780821915</v>
      </c>
      <c r="AO208" s="184">
        <f t="shared" si="120"/>
        <v>21.684931506849313</v>
      </c>
      <c r="AP208" s="184">
        <f t="shared" si="120"/>
        <v>23.082191780821915</v>
      </c>
      <c r="AQ208" s="184">
        <f t="shared" si="120"/>
        <v>24.684931506849313</v>
      </c>
      <c r="AR208" s="184">
        <f t="shared" si="120"/>
        <v>31.837</v>
      </c>
      <c r="AS208" s="184">
        <f t="shared" si="120"/>
        <v>24.082191780821915</v>
      </c>
      <c r="AT208" s="184">
        <f t="shared" si="120"/>
        <v>24.684931506849313</v>
      </c>
      <c r="AU208" s="184">
        <f t="shared" si="120"/>
        <v>24.684931506849313</v>
      </c>
      <c r="AV208" s="184">
        <f t="shared" si="120"/>
        <v>24.684931506849313</v>
      </c>
      <c r="AW208" s="184"/>
      <c r="AX208" s="580" t="s">
        <v>158</v>
      </c>
    </row>
    <row r="209" spans="25:50">
      <c r="Y209" s="184"/>
      <c r="Z209" s="184"/>
      <c r="AA209" s="184"/>
      <c r="AB209" s="184"/>
      <c r="AC209" s="184"/>
      <c r="AD209" s="184"/>
      <c r="AE209" s="184"/>
      <c r="AF209" s="184"/>
      <c r="AG209" s="184"/>
      <c r="AH209" s="184"/>
      <c r="AI209" s="184"/>
      <c r="AJ209" s="184"/>
      <c r="AK209" s="184"/>
      <c r="AL209" s="184"/>
      <c r="AM209" s="184"/>
      <c r="AN209" s="184"/>
      <c r="AO209" s="184"/>
      <c r="AP209" s="184"/>
      <c r="AQ209" s="184"/>
      <c r="AR209" s="184"/>
      <c r="AS209" s="184"/>
      <c r="AT209" s="184"/>
      <c r="AU209" s="184"/>
      <c r="AV209" s="184"/>
      <c r="AW209" s="184"/>
      <c r="AX209" s="580" t="s">
        <v>158</v>
      </c>
    </row>
    <row r="210" spans="25:50">
      <c r="Y210" s="184"/>
      <c r="Z210" s="184"/>
      <c r="AA210" s="184"/>
      <c r="AB210" s="184"/>
      <c r="AC210" s="184"/>
      <c r="AD210" s="184"/>
      <c r="AE210" s="184"/>
      <c r="AF210" s="184"/>
      <c r="AG210" s="184"/>
      <c r="AH210" s="184"/>
      <c r="AI210" s="184"/>
      <c r="AJ210" s="184"/>
      <c r="AK210" s="184"/>
      <c r="AL210" s="184"/>
      <c r="AM210" s="184"/>
      <c r="AN210" s="184"/>
      <c r="AO210" s="184"/>
      <c r="AP210" s="184"/>
      <c r="AQ210" s="184"/>
      <c r="AR210" s="184"/>
      <c r="AS210" s="184"/>
      <c r="AT210" s="184"/>
      <c r="AU210" s="184"/>
      <c r="AV210" s="184"/>
      <c r="AW210" s="184"/>
      <c r="AX210" s="580" t="s">
        <v>158</v>
      </c>
    </row>
    <row r="211" spans="25:50">
      <c r="Y211" s="184"/>
      <c r="Z211" s="184"/>
      <c r="AA211" s="184"/>
      <c r="AB211" s="184"/>
      <c r="AC211" s="184"/>
      <c r="AD211" s="184"/>
      <c r="AE211" s="184"/>
      <c r="AF211" s="184"/>
      <c r="AG211" s="184"/>
      <c r="AH211" s="184"/>
      <c r="AI211" s="184"/>
      <c r="AJ211" s="184"/>
      <c r="AK211" s="184"/>
      <c r="AL211" s="184"/>
      <c r="AM211" s="184"/>
      <c r="AN211" s="184"/>
      <c r="AO211" s="184"/>
      <c r="AP211" s="184"/>
      <c r="AQ211" s="184"/>
      <c r="AR211" s="184"/>
      <c r="AS211" s="184"/>
      <c r="AT211" s="184"/>
      <c r="AU211" s="184"/>
      <c r="AV211" s="184"/>
      <c r="AW211" s="184"/>
      <c r="AX211" s="580" t="s">
        <v>158</v>
      </c>
    </row>
    <row r="212" spans="25:50">
      <c r="Y212" s="184"/>
      <c r="Z212" s="184"/>
      <c r="AA212" s="184"/>
      <c r="AB212" s="184"/>
      <c r="AC212" s="184"/>
      <c r="AD212" s="184"/>
      <c r="AE212" s="184"/>
      <c r="AF212" s="184">
        <v>201.89499999999998</v>
      </c>
      <c r="AG212" s="184">
        <v>201.43</v>
      </c>
      <c r="AH212" s="184">
        <v>211.345</v>
      </c>
      <c r="AI212" s="184">
        <v>209.215</v>
      </c>
      <c r="AJ212" s="184">
        <v>214.04500000000002</v>
      </c>
      <c r="AK212" s="184">
        <v>214.89499999999998</v>
      </c>
      <c r="AL212" s="184">
        <v>215.565</v>
      </c>
      <c r="AM212" s="184">
        <v>220.73500000000001</v>
      </c>
      <c r="AN212" s="184">
        <v>216.35499999999999</v>
      </c>
      <c r="AO212" s="184">
        <v>218.51</v>
      </c>
      <c r="AP212" s="184">
        <v>215.755</v>
      </c>
      <c r="AQ212" s="184">
        <v>221.35499999999999</v>
      </c>
      <c r="AR212" s="184">
        <v>221.35499999999999</v>
      </c>
      <c r="AS212" s="184">
        <v>221.35499999999999</v>
      </c>
      <c r="AT212" s="184">
        <v>221.35499999999999</v>
      </c>
      <c r="AU212" s="184">
        <v>221.35499999999999</v>
      </c>
      <c r="AV212" s="184">
        <v>221.35499999999999</v>
      </c>
      <c r="AW212" s="184"/>
      <c r="AX212" s="580" t="s">
        <v>158</v>
      </c>
    </row>
    <row r="213" spans="25:50">
      <c r="Y213" s="184"/>
      <c r="Z213" s="184"/>
      <c r="AA213" s="184"/>
      <c r="AB213" s="184"/>
      <c r="AC213" s="184"/>
      <c r="AD213" s="184"/>
      <c r="AE213" s="184"/>
      <c r="AF213" s="184">
        <f t="shared" ref="AF213:AV213" si="121">AF212-AF171</f>
        <v>5.7800000000000011</v>
      </c>
      <c r="AG213" s="184">
        <f t="shared" si="121"/>
        <v>0.97999999999998977</v>
      </c>
      <c r="AH213" s="184">
        <f t="shared" si="121"/>
        <v>6.9050000000000011</v>
      </c>
      <c r="AI213" s="184">
        <f t="shared" si="121"/>
        <v>6.9749999999999943</v>
      </c>
      <c r="AJ213" s="184">
        <f t="shared" si="121"/>
        <v>6.4800000000000182</v>
      </c>
      <c r="AK213" s="184">
        <f t="shared" si="121"/>
        <v>2.3649999999999523</v>
      </c>
      <c r="AL213" s="184">
        <f t="shared" si="121"/>
        <v>17.139999999999986</v>
      </c>
      <c r="AM213" s="184">
        <f t="shared" si="121"/>
        <v>8.9350000000000307</v>
      </c>
      <c r="AN213" s="184">
        <f t="shared" si="121"/>
        <v>12.389999999999986</v>
      </c>
      <c r="AO213" s="184">
        <f t="shared" si="121"/>
        <v>8.960000000000008</v>
      </c>
      <c r="AP213" s="184">
        <f t="shared" si="121"/>
        <v>9.7999999999999829</v>
      </c>
      <c r="AQ213" s="184">
        <f t="shared" si="121"/>
        <v>8.2599999999999909</v>
      </c>
      <c r="AR213" s="184">
        <f t="shared" si="121"/>
        <v>6.8100000000000023</v>
      </c>
      <c r="AS213" s="184">
        <f t="shared" si="121"/>
        <v>10.900000000000006</v>
      </c>
      <c r="AT213" s="184">
        <f t="shared" si="121"/>
        <v>8.9599999999999795</v>
      </c>
      <c r="AU213" s="184">
        <f t="shared" si="121"/>
        <v>13.319999999999993</v>
      </c>
      <c r="AV213" s="184">
        <f t="shared" si="121"/>
        <v>11.030000000000001</v>
      </c>
      <c r="AW213" s="184"/>
      <c r="AX213" s="580" t="s">
        <v>158</v>
      </c>
    </row>
    <row r="214" spans="25:50">
      <c r="AX214" s="409"/>
    </row>
    <row r="215" spans="25:50">
      <c r="AX215" s="409"/>
    </row>
    <row r="216" spans="25:50">
      <c r="AX216" s="409"/>
    </row>
    <row r="217" spans="25:50">
      <c r="AX217" s="409"/>
    </row>
    <row r="218" spans="25:50">
      <c r="AX218" s="409"/>
    </row>
    <row r="276" spans="1:1">
      <c r="A276" s="805" t="s">
        <v>344</v>
      </c>
    </row>
    <row r="277" spans="1:1">
      <c r="A277" s="821" t="s">
        <v>345</v>
      </c>
    </row>
    <row r="290" spans="33:38">
      <c r="AG290" s="804"/>
      <c r="AH290" s="804"/>
      <c r="AI290" s="804"/>
      <c r="AJ290" s="804"/>
      <c r="AK290" s="804"/>
      <c r="AL290" s="804"/>
    </row>
    <row r="291" spans="33:38">
      <c r="AG291" s="804"/>
      <c r="AH291" s="804"/>
      <c r="AI291" s="804"/>
      <c r="AJ291" s="804"/>
      <c r="AK291" s="804"/>
      <c r="AL291" s="804"/>
    </row>
    <row r="292" spans="33:38">
      <c r="AG292" s="804"/>
      <c r="AH292" s="804"/>
      <c r="AI292" s="804"/>
      <c r="AJ292" s="804"/>
      <c r="AK292" s="804"/>
      <c r="AL292" s="804"/>
    </row>
  </sheetData>
  <mergeCells count="51">
    <mergeCell ref="C205:D205"/>
    <mergeCell ref="C206:D206"/>
    <mergeCell ref="C207:D207"/>
    <mergeCell ref="C199:D199"/>
    <mergeCell ref="C200:D200"/>
    <mergeCell ref="C201:D201"/>
    <mergeCell ref="C202:D202"/>
    <mergeCell ref="C203:D203"/>
    <mergeCell ref="C204:D204"/>
    <mergeCell ref="C198:D198"/>
    <mergeCell ref="A65:D65"/>
    <mergeCell ref="A67:B67"/>
    <mergeCell ref="C67:D67"/>
    <mergeCell ref="C68:D68"/>
    <mergeCell ref="C69:D69"/>
    <mergeCell ref="C72:D72"/>
    <mergeCell ref="C73:D73"/>
    <mergeCell ref="C74:D74"/>
    <mergeCell ref="C75:D75"/>
    <mergeCell ref="C76:D76"/>
    <mergeCell ref="A77:D77"/>
    <mergeCell ref="C64:D64"/>
    <mergeCell ref="A54:B54"/>
    <mergeCell ref="C54:D54"/>
    <mergeCell ref="C55:D55"/>
    <mergeCell ref="C56:D56"/>
    <mergeCell ref="C57:D57"/>
    <mergeCell ref="C58:D58"/>
    <mergeCell ref="C59:D59"/>
    <mergeCell ref="C60:D60"/>
    <mergeCell ref="C61:D61"/>
    <mergeCell ref="C62:D62"/>
    <mergeCell ref="C63:D63"/>
    <mergeCell ref="A52:D52"/>
    <mergeCell ref="C41:D41"/>
    <mergeCell ref="C42:D42"/>
    <mergeCell ref="C43:D43"/>
    <mergeCell ref="C44:D44"/>
    <mergeCell ref="C45:D45"/>
    <mergeCell ref="C46:D46"/>
    <mergeCell ref="A41:B41"/>
    <mergeCell ref="C47:D47"/>
    <mergeCell ref="C48:D48"/>
    <mergeCell ref="C49:D49"/>
    <mergeCell ref="C50:D50"/>
    <mergeCell ref="C51:D51"/>
    <mergeCell ref="A3:B3"/>
    <mergeCell ref="A13:B13"/>
    <mergeCell ref="A21:B21"/>
    <mergeCell ref="A27:B27"/>
    <mergeCell ref="A34:B34"/>
  </mergeCells>
  <phoneticPr fontId="192" type="noConversion"/>
  <conditionalFormatting sqref="Q192:Q193 E191:AJ191">
    <cfRule type="colorScale" priority="56">
      <colorScale>
        <cfvo type="min"/>
        <cfvo type="percentile" val="50"/>
        <cfvo type="max"/>
        <color rgb="FFF8696B"/>
        <color rgb="FFFFEB84"/>
        <color rgb="FF63BE7B"/>
      </colorScale>
    </cfRule>
  </conditionalFormatting>
  <conditionalFormatting sqref="R192:AD193 E190:AJ190">
    <cfRule type="colorScale" priority="57">
      <colorScale>
        <cfvo type="min"/>
        <cfvo type="percentile" val="50"/>
        <cfvo type="max"/>
        <color rgb="FFF8696B"/>
        <color rgb="FFFFEB84"/>
        <color rgb="FF63BE7B"/>
      </colorScale>
    </cfRule>
  </conditionalFormatting>
  <conditionalFormatting sqref="E192:P193">
    <cfRule type="colorScale" priority="58">
      <colorScale>
        <cfvo type="min"/>
        <cfvo type="percentile" val="50"/>
        <cfvo type="max"/>
        <color rgb="FFF8696B"/>
        <color rgb="FFFFEB84"/>
        <color rgb="FF63BE7B"/>
      </colorScale>
    </cfRule>
  </conditionalFormatting>
  <conditionalFormatting sqref="A178:D178">
    <cfRule type="duplicateValues" dxfId="13" priority="55"/>
  </conditionalFormatting>
  <conditionalFormatting sqref="AE192:AE193">
    <cfRule type="colorScale" priority="54">
      <colorScale>
        <cfvo type="min"/>
        <cfvo type="percentile" val="50"/>
        <cfvo type="max"/>
        <color rgb="FFF8696B"/>
        <color rgb="FFFFEB84"/>
        <color rgb="FF63BE7B"/>
      </colorScale>
    </cfRule>
  </conditionalFormatting>
  <conditionalFormatting sqref="AF192:AF193">
    <cfRule type="colorScale" priority="53">
      <colorScale>
        <cfvo type="min"/>
        <cfvo type="percentile" val="50"/>
        <cfvo type="max"/>
        <color rgb="FFF8696B"/>
        <color rgb="FFFFEB84"/>
        <color rgb="FF63BE7B"/>
      </colorScale>
    </cfRule>
  </conditionalFormatting>
  <conditionalFormatting sqref="AG192:AG193">
    <cfRule type="colorScale" priority="52">
      <colorScale>
        <cfvo type="min"/>
        <cfvo type="percentile" val="50"/>
        <cfvo type="max"/>
        <color rgb="FFF8696B"/>
        <color rgb="FFFFEB84"/>
        <color rgb="FF63BE7B"/>
      </colorScale>
    </cfRule>
  </conditionalFormatting>
  <conditionalFormatting sqref="AH192:AH193">
    <cfRule type="colorScale" priority="51">
      <colorScale>
        <cfvo type="min"/>
        <cfvo type="percentile" val="50"/>
        <cfvo type="max"/>
        <color rgb="FFF8696B"/>
        <color rgb="FFFFEB84"/>
        <color rgb="FF63BE7B"/>
      </colorScale>
    </cfRule>
  </conditionalFormatting>
  <conditionalFormatting sqref="AI192:AI193">
    <cfRule type="colorScale" priority="50">
      <colorScale>
        <cfvo type="min"/>
        <cfvo type="percentile" val="50"/>
        <cfvo type="max"/>
        <color rgb="FFF8696B"/>
        <color rgb="FFFFEB84"/>
        <color rgb="FF63BE7B"/>
      </colorScale>
    </cfRule>
  </conditionalFormatting>
  <conditionalFormatting sqref="AJ192:AJ193">
    <cfRule type="colorScale" priority="49">
      <colorScale>
        <cfvo type="min"/>
        <cfvo type="percentile" val="50"/>
        <cfvo type="max"/>
        <color rgb="FFF8696B"/>
        <color rgb="FFFFEB84"/>
        <color rgb="FF63BE7B"/>
      </colorScale>
    </cfRule>
  </conditionalFormatting>
  <conditionalFormatting sqref="AK191">
    <cfRule type="colorScale" priority="47">
      <colorScale>
        <cfvo type="min"/>
        <cfvo type="percentile" val="50"/>
        <cfvo type="max"/>
        <color rgb="FFF8696B"/>
        <color rgb="FFFFEB84"/>
        <color rgb="FF63BE7B"/>
      </colorScale>
    </cfRule>
  </conditionalFormatting>
  <conditionalFormatting sqref="AK190">
    <cfRule type="colorScale" priority="48">
      <colorScale>
        <cfvo type="min"/>
        <cfvo type="percentile" val="50"/>
        <cfvo type="max"/>
        <color rgb="FFF8696B"/>
        <color rgb="FFFFEB84"/>
        <color rgb="FF63BE7B"/>
      </colorScale>
    </cfRule>
  </conditionalFormatting>
  <conditionalFormatting sqref="AK192:AK193">
    <cfRule type="colorScale" priority="46">
      <colorScale>
        <cfvo type="min"/>
        <cfvo type="percentile" val="50"/>
        <cfvo type="max"/>
        <color rgb="FFF8696B"/>
        <color rgb="FFFFEB84"/>
        <color rgb="FF63BE7B"/>
      </colorScale>
    </cfRule>
  </conditionalFormatting>
  <conditionalFormatting sqref="AL191">
    <cfRule type="colorScale" priority="44">
      <colorScale>
        <cfvo type="min"/>
        <cfvo type="percentile" val="50"/>
        <cfvo type="max"/>
        <color rgb="FFF8696B"/>
        <color rgb="FFFFEB84"/>
        <color rgb="FF63BE7B"/>
      </colorScale>
    </cfRule>
  </conditionalFormatting>
  <conditionalFormatting sqref="AL190">
    <cfRule type="colorScale" priority="45">
      <colorScale>
        <cfvo type="min"/>
        <cfvo type="percentile" val="50"/>
        <cfvo type="max"/>
        <color rgb="FFF8696B"/>
        <color rgb="FFFFEB84"/>
        <color rgb="FF63BE7B"/>
      </colorScale>
    </cfRule>
  </conditionalFormatting>
  <conditionalFormatting sqref="AL192:AL193">
    <cfRule type="colorScale" priority="43">
      <colorScale>
        <cfvo type="min"/>
        <cfvo type="percentile" val="50"/>
        <cfvo type="max"/>
        <color rgb="FFF8696B"/>
        <color rgb="FFFFEB84"/>
        <color rgb="FF63BE7B"/>
      </colorScale>
    </cfRule>
  </conditionalFormatting>
  <conditionalFormatting sqref="AM191">
    <cfRule type="colorScale" priority="41">
      <colorScale>
        <cfvo type="min"/>
        <cfvo type="percentile" val="50"/>
        <cfvo type="max"/>
        <color rgb="FFF8696B"/>
        <color rgb="FFFFEB84"/>
        <color rgb="FF63BE7B"/>
      </colorScale>
    </cfRule>
  </conditionalFormatting>
  <conditionalFormatting sqref="AM190">
    <cfRule type="colorScale" priority="42">
      <colorScale>
        <cfvo type="min"/>
        <cfvo type="percentile" val="50"/>
        <cfvo type="max"/>
        <color rgb="FFF8696B"/>
        <color rgb="FFFFEB84"/>
        <color rgb="FF63BE7B"/>
      </colorScale>
    </cfRule>
  </conditionalFormatting>
  <conditionalFormatting sqref="AM192:AM193">
    <cfRule type="colorScale" priority="40">
      <colorScale>
        <cfvo type="min"/>
        <cfvo type="percentile" val="50"/>
        <cfvo type="max"/>
        <color rgb="FFF8696B"/>
        <color rgb="FFFFEB84"/>
        <color rgb="FF63BE7B"/>
      </colorScale>
    </cfRule>
  </conditionalFormatting>
  <conditionalFormatting sqref="AN191">
    <cfRule type="colorScale" priority="38">
      <colorScale>
        <cfvo type="min"/>
        <cfvo type="percentile" val="50"/>
        <cfvo type="max"/>
        <color rgb="FFF8696B"/>
        <color rgb="FFFFEB84"/>
        <color rgb="FF63BE7B"/>
      </colorScale>
    </cfRule>
  </conditionalFormatting>
  <conditionalFormatting sqref="AN190">
    <cfRule type="colorScale" priority="39">
      <colorScale>
        <cfvo type="min"/>
        <cfvo type="percentile" val="50"/>
        <cfvo type="max"/>
        <color rgb="FFF8696B"/>
        <color rgb="FFFFEB84"/>
        <color rgb="FF63BE7B"/>
      </colorScale>
    </cfRule>
  </conditionalFormatting>
  <conditionalFormatting sqref="AN192:AN193">
    <cfRule type="colorScale" priority="37">
      <colorScale>
        <cfvo type="min"/>
        <cfvo type="percentile" val="50"/>
        <cfvo type="max"/>
        <color rgb="FFF8696B"/>
        <color rgb="FFFFEB84"/>
        <color rgb="FF63BE7B"/>
      </colorScale>
    </cfRule>
  </conditionalFormatting>
  <conditionalFormatting sqref="AO191">
    <cfRule type="colorScale" priority="35">
      <colorScale>
        <cfvo type="min"/>
        <cfvo type="percentile" val="50"/>
        <cfvo type="max"/>
        <color rgb="FFF8696B"/>
        <color rgb="FFFFEB84"/>
        <color rgb="FF63BE7B"/>
      </colorScale>
    </cfRule>
  </conditionalFormatting>
  <conditionalFormatting sqref="AO190">
    <cfRule type="colorScale" priority="36">
      <colorScale>
        <cfvo type="min"/>
        <cfvo type="percentile" val="50"/>
        <cfvo type="max"/>
        <color rgb="FFF8696B"/>
        <color rgb="FFFFEB84"/>
        <color rgb="FF63BE7B"/>
      </colorScale>
    </cfRule>
  </conditionalFormatting>
  <conditionalFormatting sqref="AO192:AO193">
    <cfRule type="colorScale" priority="34">
      <colorScale>
        <cfvo type="min"/>
        <cfvo type="percentile" val="50"/>
        <cfvo type="max"/>
        <color rgb="FFF8696B"/>
        <color rgb="FFFFEB84"/>
        <color rgb="FF63BE7B"/>
      </colorScale>
    </cfRule>
  </conditionalFormatting>
  <conditionalFormatting sqref="AP191">
    <cfRule type="colorScale" priority="32">
      <colorScale>
        <cfvo type="min"/>
        <cfvo type="percentile" val="50"/>
        <cfvo type="max"/>
        <color rgb="FFF8696B"/>
        <color rgb="FFFFEB84"/>
        <color rgb="FF63BE7B"/>
      </colorScale>
    </cfRule>
  </conditionalFormatting>
  <conditionalFormatting sqref="AP190">
    <cfRule type="colorScale" priority="33">
      <colorScale>
        <cfvo type="min"/>
        <cfvo type="percentile" val="50"/>
        <cfvo type="max"/>
        <color rgb="FFF8696B"/>
        <color rgb="FFFFEB84"/>
        <color rgb="FF63BE7B"/>
      </colorScale>
    </cfRule>
  </conditionalFormatting>
  <conditionalFormatting sqref="AP192:AP193">
    <cfRule type="colorScale" priority="31">
      <colorScale>
        <cfvo type="min"/>
        <cfvo type="percentile" val="50"/>
        <cfvo type="max"/>
        <color rgb="FFF8696B"/>
        <color rgb="FFFFEB84"/>
        <color rgb="FF63BE7B"/>
      </colorScale>
    </cfRule>
  </conditionalFormatting>
  <conditionalFormatting sqref="AQ191">
    <cfRule type="colorScale" priority="29">
      <colorScale>
        <cfvo type="min"/>
        <cfvo type="percentile" val="50"/>
        <cfvo type="max"/>
        <color rgb="FFF8696B"/>
        <color rgb="FFFFEB84"/>
        <color rgb="FF63BE7B"/>
      </colorScale>
    </cfRule>
  </conditionalFormatting>
  <conditionalFormatting sqref="AQ190">
    <cfRule type="colorScale" priority="30">
      <colorScale>
        <cfvo type="min"/>
        <cfvo type="percentile" val="50"/>
        <cfvo type="max"/>
        <color rgb="FFF8696B"/>
        <color rgb="FFFFEB84"/>
        <color rgb="FF63BE7B"/>
      </colorScale>
    </cfRule>
  </conditionalFormatting>
  <conditionalFormatting sqref="AQ192:AQ193">
    <cfRule type="colorScale" priority="28">
      <colorScale>
        <cfvo type="min"/>
        <cfvo type="percentile" val="50"/>
        <cfvo type="max"/>
        <color rgb="FFF8696B"/>
        <color rgb="FFFFEB84"/>
        <color rgb="FF63BE7B"/>
      </colorScale>
    </cfRule>
  </conditionalFormatting>
  <conditionalFormatting sqref="AE18:AQ18">
    <cfRule type="cellIs" dxfId="12" priority="26" operator="lessThan">
      <formula>0.5</formula>
    </cfRule>
    <cfRule type="cellIs" dxfId="11" priority="27" operator="greaterThan">
      <formula>0.85</formula>
    </cfRule>
  </conditionalFormatting>
  <conditionalFormatting sqref="AR191">
    <cfRule type="colorScale" priority="24">
      <colorScale>
        <cfvo type="min"/>
        <cfvo type="percentile" val="50"/>
        <cfvo type="max"/>
        <color rgb="FFF8696B"/>
        <color rgb="FFFFEB84"/>
        <color rgb="FF63BE7B"/>
      </colorScale>
    </cfRule>
  </conditionalFormatting>
  <conditionalFormatting sqref="AR190">
    <cfRule type="colorScale" priority="25">
      <colorScale>
        <cfvo type="min"/>
        <cfvo type="percentile" val="50"/>
        <cfvo type="max"/>
        <color rgb="FFF8696B"/>
        <color rgb="FFFFEB84"/>
        <color rgb="FF63BE7B"/>
      </colorScale>
    </cfRule>
  </conditionalFormatting>
  <conditionalFormatting sqref="AR192:AR193">
    <cfRule type="colorScale" priority="23">
      <colorScale>
        <cfvo type="min"/>
        <cfvo type="percentile" val="50"/>
        <cfvo type="max"/>
        <color rgb="FFF8696B"/>
        <color rgb="FFFFEB84"/>
        <color rgb="FF63BE7B"/>
      </colorScale>
    </cfRule>
  </conditionalFormatting>
  <conditionalFormatting sqref="AR18">
    <cfRule type="cellIs" dxfId="10" priority="21" operator="lessThan">
      <formula>0.5</formula>
    </cfRule>
    <cfRule type="cellIs" dxfId="9" priority="22" operator="greaterThan">
      <formula>0.85</formula>
    </cfRule>
  </conditionalFormatting>
  <conditionalFormatting sqref="AS191">
    <cfRule type="colorScale" priority="19">
      <colorScale>
        <cfvo type="min"/>
        <cfvo type="percentile" val="50"/>
        <cfvo type="max"/>
        <color rgb="FFF8696B"/>
        <color rgb="FFFFEB84"/>
        <color rgb="FF63BE7B"/>
      </colorScale>
    </cfRule>
  </conditionalFormatting>
  <conditionalFormatting sqref="AS190">
    <cfRule type="colorScale" priority="20">
      <colorScale>
        <cfvo type="min"/>
        <cfvo type="percentile" val="50"/>
        <cfvo type="max"/>
        <color rgb="FFF8696B"/>
        <color rgb="FFFFEB84"/>
        <color rgb="FF63BE7B"/>
      </colorScale>
    </cfRule>
  </conditionalFormatting>
  <conditionalFormatting sqref="AS192:AS193">
    <cfRule type="colorScale" priority="18">
      <colorScale>
        <cfvo type="min"/>
        <cfvo type="percentile" val="50"/>
        <cfvo type="max"/>
        <color rgb="FFF8696B"/>
        <color rgb="FFFFEB84"/>
        <color rgb="FF63BE7B"/>
      </colorScale>
    </cfRule>
  </conditionalFormatting>
  <conditionalFormatting sqref="AS18">
    <cfRule type="cellIs" dxfId="8" priority="16" operator="lessThan">
      <formula>0.5</formula>
    </cfRule>
    <cfRule type="cellIs" dxfId="7" priority="17" operator="greaterThan">
      <formula>0.85</formula>
    </cfRule>
  </conditionalFormatting>
  <conditionalFormatting sqref="AT191">
    <cfRule type="colorScale" priority="14">
      <colorScale>
        <cfvo type="min"/>
        <cfvo type="percentile" val="50"/>
        <cfvo type="max"/>
        <color rgb="FFF8696B"/>
        <color rgb="FFFFEB84"/>
        <color rgb="FF63BE7B"/>
      </colorScale>
    </cfRule>
  </conditionalFormatting>
  <conditionalFormatting sqref="AT190">
    <cfRule type="colorScale" priority="15">
      <colorScale>
        <cfvo type="min"/>
        <cfvo type="percentile" val="50"/>
        <cfvo type="max"/>
        <color rgb="FFF8696B"/>
        <color rgb="FFFFEB84"/>
        <color rgb="FF63BE7B"/>
      </colorScale>
    </cfRule>
  </conditionalFormatting>
  <conditionalFormatting sqref="AT192:AT193">
    <cfRule type="colorScale" priority="13">
      <colorScale>
        <cfvo type="min"/>
        <cfvo type="percentile" val="50"/>
        <cfvo type="max"/>
        <color rgb="FFF8696B"/>
        <color rgb="FFFFEB84"/>
        <color rgb="FF63BE7B"/>
      </colorScale>
    </cfRule>
  </conditionalFormatting>
  <conditionalFormatting sqref="AT18">
    <cfRule type="cellIs" dxfId="6" priority="11" operator="lessThan">
      <formula>0.5</formula>
    </cfRule>
    <cfRule type="cellIs" dxfId="5" priority="12" operator="greaterThan">
      <formula>0.85</formula>
    </cfRule>
  </conditionalFormatting>
  <conditionalFormatting sqref="AU191">
    <cfRule type="colorScale" priority="9">
      <colorScale>
        <cfvo type="min"/>
        <cfvo type="percentile" val="50"/>
        <cfvo type="max"/>
        <color rgb="FFF8696B"/>
        <color rgb="FFFFEB84"/>
        <color rgb="FF63BE7B"/>
      </colorScale>
    </cfRule>
  </conditionalFormatting>
  <conditionalFormatting sqref="AU190">
    <cfRule type="colorScale" priority="10">
      <colorScale>
        <cfvo type="min"/>
        <cfvo type="percentile" val="50"/>
        <cfvo type="max"/>
        <color rgb="FFF8696B"/>
        <color rgb="FFFFEB84"/>
        <color rgb="FF63BE7B"/>
      </colorScale>
    </cfRule>
  </conditionalFormatting>
  <conditionalFormatting sqref="AU192:AU193">
    <cfRule type="colorScale" priority="8">
      <colorScale>
        <cfvo type="min"/>
        <cfvo type="percentile" val="50"/>
        <cfvo type="max"/>
        <color rgb="FFF8696B"/>
        <color rgb="FFFFEB84"/>
        <color rgb="FF63BE7B"/>
      </colorScale>
    </cfRule>
  </conditionalFormatting>
  <conditionalFormatting sqref="AU18">
    <cfRule type="cellIs" dxfId="4" priority="6" operator="lessThan">
      <formula>0.5</formula>
    </cfRule>
    <cfRule type="cellIs" dxfId="3" priority="7" operator="greaterThan">
      <formula>0.85</formula>
    </cfRule>
  </conditionalFormatting>
  <conditionalFormatting sqref="AV191:AW191">
    <cfRule type="colorScale" priority="4">
      <colorScale>
        <cfvo type="min"/>
        <cfvo type="percentile" val="50"/>
        <cfvo type="max"/>
        <color rgb="FFF8696B"/>
        <color rgb="FFFFEB84"/>
        <color rgb="FF63BE7B"/>
      </colorScale>
    </cfRule>
  </conditionalFormatting>
  <conditionalFormatting sqref="AV190:AW190">
    <cfRule type="colorScale" priority="5">
      <colorScale>
        <cfvo type="min"/>
        <cfvo type="percentile" val="50"/>
        <cfvo type="max"/>
        <color rgb="FFF8696B"/>
        <color rgb="FFFFEB84"/>
        <color rgb="FF63BE7B"/>
      </colorScale>
    </cfRule>
  </conditionalFormatting>
  <conditionalFormatting sqref="AV192:AW193">
    <cfRule type="colorScale" priority="3">
      <colorScale>
        <cfvo type="min"/>
        <cfvo type="percentile" val="50"/>
        <cfvo type="max"/>
        <color rgb="FFF8696B"/>
        <color rgb="FFFFEB84"/>
        <color rgb="FF63BE7B"/>
      </colorScale>
    </cfRule>
  </conditionalFormatting>
  <conditionalFormatting sqref="AV18">
    <cfRule type="cellIs" dxfId="2" priority="1" operator="lessThan">
      <formula>0.5</formula>
    </cfRule>
    <cfRule type="cellIs" dxfId="1" priority="2" operator="greaterThan">
      <formula>0.85</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BE205"/>
  <sheetViews>
    <sheetView zoomScale="90" zoomScaleNormal="90" workbookViewId="0">
      <pane xSplit="4" ySplit="11" topLeftCell="Y72" activePane="bottomRight" state="frozen"/>
      <selection pane="bottomRight" activeCell="Z85" sqref="Z85"/>
      <selection pane="bottomLeft" activeCell="U42" sqref="U42"/>
      <selection pane="topRight" activeCell="U42" sqref="U42"/>
    </sheetView>
  </sheetViews>
  <sheetFormatPr defaultColWidth="8.875" defaultRowHeight="14.25"/>
  <cols>
    <col min="1" max="1" width="22.125" style="1" customWidth="1"/>
    <col min="2" max="2" width="15.125" style="2" customWidth="1"/>
    <col min="3" max="3" width="13.625" customWidth="1"/>
    <col min="4" max="4" width="25.625" bestFit="1" customWidth="1"/>
    <col min="5" max="17" width="10.125" hidden="1" customWidth="1"/>
    <col min="18" max="18" width="9.875" hidden="1" customWidth="1"/>
    <col min="19" max="24" width="10.125" hidden="1" customWidth="1"/>
    <col min="25" max="27" width="10" customWidth="1"/>
    <col min="28" max="29" width="10.125" customWidth="1"/>
    <col min="30" max="30" width="10.125" bestFit="1" customWidth="1"/>
    <col min="31" max="39" width="10.125" hidden="1" customWidth="1"/>
    <col min="40" max="40" width="9.125" hidden="1" customWidth="1"/>
    <col min="41" max="41" width="10.125" hidden="1" customWidth="1"/>
    <col min="42" max="42" width="63.625" style="693" hidden="1" customWidth="1"/>
    <col min="43" max="43" width="11.375" style="693" customWidth="1"/>
    <col min="45" max="45" width="9.5" bestFit="1" customWidth="1"/>
  </cols>
  <sheetData>
    <row r="1" spans="1:57" s="19" customFormat="1">
      <c r="A1" s="3"/>
      <c r="B1" s="18"/>
      <c r="D1" s="449" t="s">
        <v>178</v>
      </c>
      <c r="R1" s="19">
        <v>30</v>
      </c>
      <c r="S1" s="19">
        <v>31</v>
      </c>
      <c r="T1" s="19">
        <v>31</v>
      </c>
      <c r="U1" s="19">
        <v>30</v>
      </c>
      <c r="V1" s="19">
        <v>31</v>
      </c>
      <c r="W1" s="19">
        <v>30</v>
      </c>
      <c r="X1" s="19">
        <v>31</v>
      </c>
      <c r="Y1" s="19">
        <v>31</v>
      </c>
      <c r="Z1" s="448">
        <v>28</v>
      </c>
      <c r="AA1" s="448">
        <v>31</v>
      </c>
      <c r="AB1" s="448">
        <v>30</v>
      </c>
      <c r="AC1" s="448">
        <v>31</v>
      </c>
      <c r="AD1" s="448">
        <v>30</v>
      </c>
      <c r="AE1" s="448">
        <v>31</v>
      </c>
      <c r="AF1" s="448">
        <v>31</v>
      </c>
      <c r="AG1" s="448">
        <v>30</v>
      </c>
      <c r="AH1" s="448">
        <v>31</v>
      </c>
      <c r="AI1" s="448">
        <v>30</v>
      </c>
      <c r="AJ1" s="448">
        <v>31</v>
      </c>
      <c r="AK1" s="448">
        <v>31</v>
      </c>
      <c r="AL1" s="448">
        <v>28</v>
      </c>
      <c r="AM1" s="448">
        <v>31</v>
      </c>
      <c r="AN1" s="448">
        <v>30</v>
      </c>
      <c r="AO1" s="448">
        <v>31</v>
      </c>
      <c r="AP1" s="685"/>
      <c r="AQ1" s="580" t="s">
        <v>158</v>
      </c>
      <c r="AR1" s="528" t="s">
        <v>11</v>
      </c>
    </row>
    <row r="2" spans="1:57" ht="23.25" thickBot="1">
      <c r="A2" s="25" t="s">
        <v>179</v>
      </c>
      <c r="B2" s="18"/>
      <c r="C2" s="19"/>
      <c r="D2" s="34"/>
      <c r="E2" s="19"/>
      <c r="F2" s="19"/>
      <c r="G2" s="187">
        <v>43678</v>
      </c>
      <c r="H2" s="187">
        <v>43698</v>
      </c>
      <c r="I2" s="19"/>
      <c r="J2" s="19"/>
      <c r="K2" s="19"/>
      <c r="L2" s="234">
        <f>L6/1000</f>
        <v>31.888097230590823</v>
      </c>
      <c r="M2" s="234">
        <f>M6/1000</f>
        <v>16.827883907470703</v>
      </c>
      <c r="N2" s="234">
        <f t="shared" ref="N2:Y2" si="0">N6/1000</f>
        <v>36.020527630224606</v>
      </c>
      <c r="O2" s="234">
        <f t="shared" si="0"/>
        <v>33.684161457519529</v>
      </c>
      <c r="P2" s="234">
        <f t="shared" si="0"/>
        <v>18.635842199999999</v>
      </c>
      <c r="Q2" s="234">
        <f t="shared" si="0"/>
        <v>29.542833899999998</v>
      </c>
      <c r="R2" s="234">
        <f t="shared" si="0"/>
        <v>14.458839999999999</v>
      </c>
      <c r="S2" s="234">
        <f t="shared" si="0"/>
        <v>18.007720000000003</v>
      </c>
      <c r="T2" s="234">
        <f t="shared" si="0"/>
        <v>15.124660000000002</v>
      </c>
      <c r="U2" s="234">
        <f t="shared" si="0"/>
        <v>26.696860000000001</v>
      </c>
      <c r="V2" s="234">
        <f t="shared" si="0"/>
        <v>14.437240000000001</v>
      </c>
      <c r="W2" s="234">
        <f t="shared" si="0"/>
        <v>22.420850699999999</v>
      </c>
      <c r="X2" s="234">
        <f t="shared" si="0"/>
        <v>18.055042360000002</v>
      </c>
      <c r="Y2" s="234">
        <f t="shared" si="0"/>
        <v>24.4024</v>
      </c>
      <c r="Z2" s="234">
        <f t="shared" ref="Z2:AE2" si="1">Z6/1000</f>
        <v>28.877920000000003</v>
      </c>
      <c r="AA2" s="234">
        <f t="shared" si="1"/>
        <v>23.042922528000002</v>
      </c>
      <c r="AB2" s="234">
        <f t="shared" si="1"/>
        <v>33.906688200000005</v>
      </c>
      <c r="AC2" s="234">
        <f t="shared" si="1"/>
        <v>33.479688200000055</v>
      </c>
      <c r="AD2" s="234">
        <f t="shared" si="1"/>
        <v>18.272226310734716</v>
      </c>
      <c r="AE2" s="234">
        <f t="shared" si="1"/>
        <v>26.211664940734686</v>
      </c>
      <c r="AF2" s="234">
        <f t="shared" ref="AF2:AK2" si="2">AF6/1000</f>
        <v>23.792009150734636</v>
      </c>
      <c r="AG2" s="234">
        <f t="shared" si="2"/>
        <v>23.47688312073462</v>
      </c>
      <c r="AH2" s="234">
        <f t="shared" si="2"/>
        <v>22.676517991988568</v>
      </c>
      <c r="AI2" s="234">
        <f t="shared" si="2"/>
        <v>22.174694310515129</v>
      </c>
      <c r="AJ2" s="234">
        <f t="shared" si="2"/>
        <v>23.762116115687498</v>
      </c>
      <c r="AK2" s="234">
        <f t="shared" si="2"/>
        <v>24.00309245853115</v>
      </c>
      <c r="AL2" s="234">
        <f t="shared" ref="AL2:AM2" si="3">AL6/1000</f>
        <v>23.512477269164201</v>
      </c>
      <c r="AM2" s="234">
        <f t="shared" si="3"/>
        <v>23.759018242007848</v>
      </c>
      <c r="AN2" s="234">
        <f t="shared" ref="AN2" si="4">AN6/1000</f>
        <v>24.005562654114676</v>
      </c>
      <c r="AO2" s="234">
        <f>AO6/1000</f>
        <v>23.872653326957909</v>
      </c>
      <c r="AP2" s="686"/>
      <c r="AQ2" s="580" t="s">
        <v>158</v>
      </c>
      <c r="AR2" s="538" t="s">
        <v>346</v>
      </c>
      <c r="AS2" s="19"/>
      <c r="AT2" s="19"/>
      <c r="AU2" s="19"/>
      <c r="AV2" s="448" t="s">
        <v>347</v>
      </c>
    </row>
    <row r="3" spans="1:57" s="55" customFormat="1" ht="15" thickBot="1">
      <c r="A3" s="848" t="s">
        <v>180</v>
      </c>
      <c r="B3" s="849"/>
      <c r="C3" s="302"/>
      <c r="D3" s="303"/>
      <c r="E3" s="58">
        <v>43587</v>
      </c>
      <c r="F3" s="58">
        <v>43618</v>
      </c>
      <c r="G3" s="58">
        <v>43648</v>
      </c>
      <c r="H3" s="58">
        <v>43679</v>
      </c>
      <c r="I3" s="197">
        <v>43710</v>
      </c>
      <c r="J3" s="197">
        <v>43740</v>
      </c>
      <c r="K3" s="58">
        <v>43771</v>
      </c>
      <c r="L3" s="222">
        <v>43801</v>
      </c>
      <c r="M3" s="197">
        <v>43832</v>
      </c>
      <c r="N3" s="197">
        <v>43863</v>
      </c>
      <c r="O3" s="58">
        <v>43892</v>
      </c>
      <c r="P3" s="58">
        <v>43923</v>
      </c>
      <c r="Q3" s="58">
        <v>43953</v>
      </c>
      <c r="R3" s="197">
        <v>43984</v>
      </c>
      <c r="S3" s="197">
        <v>44014</v>
      </c>
      <c r="T3" s="197">
        <v>44045</v>
      </c>
      <c r="U3" s="197">
        <v>44076</v>
      </c>
      <c r="V3" s="197">
        <v>44106</v>
      </c>
      <c r="W3" s="197">
        <v>44137</v>
      </c>
      <c r="X3" s="197">
        <v>44167</v>
      </c>
      <c r="Y3" s="197">
        <v>44198</v>
      </c>
      <c r="Z3" s="197">
        <v>44229</v>
      </c>
      <c r="AA3" s="197">
        <v>44257</v>
      </c>
      <c r="AB3" s="197">
        <v>44288</v>
      </c>
      <c r="AC3" s="197">
        <v>44318</v>
      </c>
      <c r="AD3" s="197">
        <v>44349</v>
      </c>
      <c r="AE3" s="197">
        <v>44379</v>
      </c>
      <c r="AF3" s="197">
        <v>44410</v>
      </c>
      <c r="AG3" s="197">
        <v>44441</v>
      </c>
      <c r="AH3" s="197">
        <v>44471</v>
      </c>
      <c r="AI3" s="197">
        <v>44502</v>
      </c>
      <c r="AJ3" s="197">
        <v>44532</v>
      </c>
      <c r="AK3" s="197">
        <v>44563</v>
      </c>
      <c r="AL3" s="197">
        <v>44594</v>
      </c>
      <c r="AM3" s="197">
        <v>44622</v>
      </c>
      <c r="AN3" s="197">
        <v>44653</v>
      </c>
      <c r="AO3" s="197">
        <v>44683</v>
      </c>
      <c r="AP3" s="709"/>
      <c r="AQ3" s="709"/>
      <c r="AR3" s="56"/>
      <c r="AS3" s="54"/>
      <c r="AT3" s="54"/>
      <c r="AU3" s="54"/>
      <c r="AV3" s="54"/>
    </row>
    <row r="4" spans="1:57">
      <c r="A4" s="16" t="s">
        <v>92</v>
      </c>
      <c r="B4" s="311"/>
      <c r="C4" s="30"/>
      <c r="D4" s="313"/>
      <c r="E4" s="72"/>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87"/>
      <c r="AQ4" s="687"/>
      <c r="AR4" s="19"/>
      <c r="AS4" s="19"/>
      <c r="AT4" s="19"/>
      <c r="AU4" s="19"/>
      <c r="AV4" s="19"/>
      <c r="AZ4" s="210"/>
      <c r="BA4" s="210"/>
      <c r="BB4" s="210"/>
      <c r="BC4" s="210"/>
      <c r="BD4" s="210"/>
      <c r="BE4" s="210"/>
    </row>
    <row r="5" spans="1:57">
      <c r="A5" s="66" t="s">
        <v>181</v>
      </c>
      <c r="B5" s="18"/>
      <c r="C5" s="19"/>
      <c r="D5" s="314" t="s">
        <v>41</v>
      </c>
      <c r="E5" s="62">
        <v>49624.800000000003</v>
      </c>
      <c r="F5" s="62">
        <v>49624.800000000003</v>
      </c>
      <c r="G5" s="62">
        <v>49624.800000000003</v>
      </c>
      <c r="H5" s="63">
        <v>46018</v>
      </c>
      <c r="I5" s="62">
        <v>49624.800000000003</v>
      </c>
      <c r="J5" s="63">
        <v>45790.8</v>
      </c>
      <c r="K5" s="62">
        <v>45791</v>
      </c>
      <c r="L5" s="62">
        <v>49624.800000000003</v>
      </c>
      <c r="M5" s="62">
        <v>49624.800000000003</v>
      </c>
      <c r="N5" s="62">
        <v>49624.800000000003</v>
      </c>
      <c r="O5" s="62">
        <v>49624.800000000003</v>
      </c>
      <c r="P5" s="62">
        <v>49624.800000000003</v>
      </c>
      <c r="Q5" s="63">
        <v>45790.8</v>
      </c>
      <c r="R5" s="63">
        <v>45790.8</v>
      </c>
      <c r="S5" s="63">
        <v>45790.8</v>
      </c>
      <c r="T5" s="63">
        <v>45790.8</v>
      </c>
      <c r="U5" s="63">
        <v>45790.8</v>
      </c>
      <c r="V5" s="232">
        <v>46018</v>
      </c>
      <c r="W5" s="63">
        <v>46018</v>
      </c>
      <c r="X5" s="304">
        <v>49624.800000000003</v>
      </c>
      <c r="Y5" s="304">
        <v>49624.80000000001</v>
      </c>
      <c r="Z5" s="232">
        <v>45790.8</v>
      </c>
      <c r="AA5" s="232">
        <v>43641.600000000006</v>
      </c>
      <c r="AB5" s="304">
        <v>47475.62</v>
      </c>
      <c r="AC5" s="232">
        <v>47475.62</v>
      </c>
      <c r="AD5" s="232">
        <v>43641.600000000006</v>
      </c>
      <c r="AE5" s="232">
        <v>43641.600000000006</v>
      </c>
      <c r="AF5" s="304">
        <v>47475.600000000006</v>
      </c>
      <c r="AG5" s="304">
        <v>47475.600000000006</v>
      </c>
      <c r="AH5" s="232">
        <v>43641.600000000006</v>
      </c>
      <c r="AI5" s="232">
        <v>43641.600000000006</v>
      </c>
      <c r="AJ5" s="304">
        <v>47475.600000000006</v>
      </c>
      <c r="AK5" s="304">
        <v>47475.600000000006</v>
      </c>
      <c r="AL5" s="304">
        <v>47475.600000000006</v>
      </c>
      <c r="AM5" s="304">
        <v>47475.600000000006</v>
      </c>
      <c r="AN5" s="304">
        <v>47475.600000000006</v>
      </c>
      <c r="AO5" s="304">
        <v>47475.6</v>
      </c>
      <c r="AP5" s="688" t="s">
        <v>159</v>
      </c>
      <c r="AQ5" s="579" t="s">
        <v>3</v>
      </c>
      <c r="AR5" s="538" t="s">
        <v>348</v>
      </c>
      <c r="AU5" s="19"/>
      <c r="AV5" s="524"/>
      <c r="AW5" s="19"/>
      <c r="AZ5" s="210"/>
      <c r="BA5" s="210"/>
      <c r="BB5" s="210"/>
      <c r="BC5" s="210"/>
      <c r="BD5" s="210"/>
      <c r="BE5" s="210"/>
    </row>
    <row r="6" spans="1:57">
      <c r="A6" s="67" t="s">
        <v>183</v>
      </c>
      <c r="B6" s="18"/>
      <c r="C6" s="19"/>
      <c r="D6" s="314" t="s">
        <v>41</v>
      </c>
      <c r="E6" s="70">
        <v>11096.775659790039</v>
      </c>
      <c r="F6" s="70">
        <v>22008.60853326934</v>
      </c>
      <c r="G6" s="70">
        <v>16060</v>
      </c>
      <c r="H6" s="70">
        <v>18030.939999999999</v>
      </c>
      <c r="I6" s="70">
        <v>10997.417582917811</v>
      </c>
      <c r="J6" s="70">
        <v>27311.326601295474</v>
      </c>
      <c r="K6" s="70">
        <v>26097.899326025392</v>
      </c>
      <c r="L6" s="70">
        <v>31888.097230590822</v>
      </c>
      <c r="M6" s="70">
        <v>16827.883907470703</v>
      </c>
      <c r="N6" s="70">
        <v>36020.527630224606</v>
      </c>
      <c r="O6" s="70">
        <v>33684.161457519527</v>
      </c>
      <c r="P6" s="70">
        <v>18635.842199999999</v>
      </c>
      <c r="Q6" s="70">
        <v>29542.833899999998</v>
      </c>
      <c r="R6" s="70">
        <v>14458.839999999998</v>
      </c>
      <c r="S6" s="70">
        <v>18007.72</v>
      </c>
      <c r="T6" s="70">
        <v>15124.660000000002</v>
      </c>
      <c r="U6" s="70">
        <v>26696.86</v>
      </c>
      <c r="V6" s="70">
        <v>14437.240000000002</v>
      </c>
      <c r="W6" s="70">
        <v>22420.850699999999</v>
      </c>
      <c r="X6" s="70">
        <v>18055.042360000003</v>
      </c>
      <c r="Y6" s="70">
        <v>24402.400000000001</v>
      </c>
      <c r="Z6" s="70">
        <v>28877.920000000002</v>
      </c>
      <c r="AA6" s="70">
        <v>23042.922528000003</v>
      </c>
      <c r="AB6" s="70">
        <v>33906.688200000004</v>
      </c>
      <c r="AC6" s="70">
        <f t="shared" ref="AC6:AN6" si="5">((AC59+(AB6/1000)+AC8+AC61+AC10)-AC97-AC101-AC102-AC103-AC104-AC105-AC106-AC107-AC108-AC109-AC110-AC111-AC112-AC113-AC114-AC115-AC116-AC117-AC118-AC119-AC120-AC121-AC122-AC123-AC124-AC125-AC126-AC127-AC128-AC129-AC130-AC131-AC132-AC133-AC137-AC138-AC139-AC140-AC141-AC142-AC143-AC144-AC145-AC146-AC147-AC148-AC149-AC150-AC151-AC152-AC153-AC9)*1000</f>
        <v>33479.688200000055</v>
      </c>
      <c r="AD6" s="70">
        <f t="shared" si="5"/>
        <v>18272.226310734717</v>
      </c>
      <c r="AE6" s="70">
        <f t="shared" si="5"/>
        <v>26211.664940734685</v>
      </c>
      <c r="AF6" s="70">
        <f t="shared" si="5"/>
        <v>23792.009150734637</v>
      </c>
      <c r="AG6" s="70">
        <f t="shared" si="5"/>
        <v>23476.883120734619</v>
      </c>
      <c r="AH6" s="70">
        <f t="shared" si="5"/>
        <v>22676.517991988567</v>
      </c>
      <c r="AI6" s="70">
        <f t="shared" si="5"/>
        <v>22174.694310515129</v>
      </c>
      <c r="AJ6" s="70">
        <f t="shared" si="5"/>
        <v>23762.116115687499</v>
      </c>
      <c r="AK6" s="70">
        <f t="shared" si="5"/>
        <v>24003.092458531151</v>
      </c>
      <c r="AL6" s="70">
        <f t="shared" si="5"/>
        <v>23512.477269164199</v>
      </c>
      <c r="AM6" s="70">
        <f t="shared" si="5"/>
        <v>23759.018242007849</v>
      </c>
      <c r="AN6" s="70">
        <f t="shared" si="5"/>
        <v>24005.562654114678</v>
      </c>
      <c r="AO6" s="70">
        <f>((AO59+(AN6/1000)+AO8+AO61+AO10)-AO97-AO101-AO102-AO103-AO104-AO105-AO106-AO107-AO108-AO109-AO110-AO111-AO112-AO113-AO114-AO115-AO116-AO117-AO118-AO119-AO120-AO121-AO122-AO123-AO124-AO125-AO126-AO127-AO128-AO129-AO130-AO131-AO132-AO133-AO137-AO138-AO139-AO140-AO141-AO142-AO143-AO144-AO145-AO146-AO147-AO148-AO149-AO150-AO151-AO152-AO153-AO9)*1000</f>
        <v>23872.653326957909</v>
      </c>
      <c r="AP6" s="710" t="s">
        <v>184</v>
      </c>
      <c r="AQ6" s="579" t="s">
        <v>3</v>
      </c>
      <c r="AR6" s="611" t="s">
        <v>349</v>
      </c>
      <c r="AU6" s="19"/>
      <c r="AV6" s="525"/>
      <c r="AW6" s="19"/>
      <c r="AZ6" s="210"/>
      <c r="BA6" s="210"/>
      <c r="BB6" s="210"/>
      <c r="BC6" s="210"/>
      <c r="BD6" s="210"/>
      <c r="BE6" s="210"/>
    </row>
    <row r="7" spans="1:57">
      <c r="A7" s="308" t="s">
        <v>186</v>
      </c>
      <c r="B7" s="18"/>
      <c r="C7" s="19"/>
      <c r="D7" s="314" t="s">
        <v>187</v>
      </c>
      <c r="E7" s="79">
        <f>E6/E5</f>
        <v>0.22361350896708981</v>
      </c>
      <c r="F7" s="79">
        <f t="shared" ref="F7:N7" si="6">F6/F5</f>
        <v>0.44350019613720032</v>
      </c>
      <c r="G7" s="79">
        <f t="shared" si="6"/>
        <v>0.32362850832648188</v>
      </c>
      <c r="H7" s="79">
        <f t="shared" si="6"/>
        <v>0.39182363423008387</v>
      </c>
      <c r="I7" s="79">
        <f t="shared" si="6"/>
        <v>0.2216113230263459</v>
      </c>
      <c r="J7" s="79">
        <f t="shared" si="6"/>
        <v>0.59643698300303716</v>
      </c>
      <c r="K7" s="79">
        <f t="shared" si="6"/>
        <v>0.56993512537453628</v>
      </c>
      <c r="L7" s="79">
        <f t="shared" si="6"/>
        <v>0.64258389415354455</v>
      </c>
      <c r="M7" s="79">
        <f t="shared" si="6"/>
        <v>0.33910230182228851</v>
      </c>
      <c r="N7" s="79">
        <f t="shared" si="6"/>
        <v>0.72585738643227993</v>
      </c>
      <c r="O7" s="79">
        <f t="shared" ref="O7:AK7" si="7">O6/O5</f>
        <v>0.67877677003271597</v>
      </c>
      <c r="P7" s="79">
        <f t="shared" si="7"/>
        <v>0.37553485757121435</v>
      </c>
      <c r="Q7" s="79">
        <f t="shared" si="7"/>
        <v>0.64516963887942547</v>
      </c>
      <c r="R7" s="307">
        <f t="shared" si="7"/>
        <v>0.31575862400307481</v>
      </c>
      <c r="S7" s="307">
        <f t="shared" si="7"/>
        <v>0.39326065497872936</v>
      </c>
      <c r="T7" s="307">
        <f t="shared" si="7"/>
        <v>0.3302990993824087</v>
      </c>
      <c r="U7" s="307">
        <f t="shared" si="7"/>
        <v>0.58301798614568867</v>
      </c>
      <c r="V7" s="307">
        <f t="shared" si="7"/>
        <v>0.31373027945586512</v>
      </c>
      <c r="W7" s="307">
        <f t="shared" si="7"/>
        <v>0.48721914685557821</v>
      </c>
      <c r="X7" s="307">
        <f t="shared" si="7"/>
        <v>0.36383103528880723</v>
      </c>
      <c r="Y7" s="307">
        <f t="shared" si="7"/>
        <v>0.49173800196675849</v>
      </c>
      <c r="Z7" s="307">
        <f t="shared" si="7"/>
        <v>0.63064895131773191</v>
      </c>
      <c r="AA7" s="307">
        <f t="shared" si="7"/>
        <v>0.52800361416630004</v>
      </c>
      <c r="AB7" s="307">
        <f t="shared" si="7"/>
        <v>0.71419158296405616</v>
      </c>
      <c r="AC7" s="307">
        <f t="shared" si="7"/>
        <v>0.70519749294480105</v>
      </c>
      <c r="AD7" s="307">
        <f t="shared" si="7"/>
        <v>0.41868827702776057</v>
      </c>
      <c r="AE7" s="307">
        <f t="shared" si="7"/>
        <v>0.60061191479539433</v>
      </c>
      <c r="AF7" s="307">
        <f t="shared" si="7"/>
        <v>0.5011418318196007</v>
      </c>
      <c r="AG7" s="307">
        <f t="shared" si="7"/>
        <v>0.4945041899572542</v>
      </c>
      <c r="AH7" s="307">
        <f>AH6/AH5</f>
        <v>0.51960785104094631</v>
      </c>
      <c r="AI7" s="307">
        <f t="shared" si="7"/>
        <v>0.50810910485672223</v>
      </c>
      <c r="AJ7" s="307">
        <f t="shared" si="7"/>
        <v>0.50051218132445918</v>
      </c>
      <c r="AK7" s="307">
        <f t="shared" si="7"/>
        <v>0.50558797484457596</v>
      </c>
      <c r="AL7" s="307">
        <f t="shared" ref="AL7:AM7" si="8">AL6/AL5</f>
        <v>0.49525392557785886</v>
      </c>
      <c r="AM7" s="307">
        <f t="shared" si="8"/>
        <v>0.50044692941232649</v>
      </c>
      <c r="AN7" s="307">
        <f t="shared" ref="AN7" si="9">AN6/AN5</f>
        <v>0.50564000568954737</v>
      </c>
      <c r="AO7" s="307">
        <f>AO6/AO5</f>
        <v>0.50284047651757768</v>
      </c>
      <c r="AP7" s="689" t="s">
        <v>5</v>
      </c>
      <c r="AQ7" s="579" t="s">
        <v>3</v>
      </c>
      <c r="AR7" s="538" t="s">
        <v>350</v>
      </c>
      <c r="AU7" s="19"/>
      <c r="AV7" s="357"/>
      <c r="AW7" s="19"/>
    </row>
    <row r="8" spans="1:57" ht="15">
      <c r="A8" s="76" t="s">
        <v>189</v>
      </c>
      <c r="B8" s="18"/>
      <c r="C8" s="19"/>
      <c r="D8" s="314" t="s">
        <v>1</v>
      </c>
      <c r="E8" s="74"/>
      <c r="F8" s="74"/>
      <c r="G8" s="100"/>
      <c r="H8" s="100">
        <f>3.5+1.5+3.6</f>
        <v>8.6</v>
      </c>
      <c r="I8" s="198">
        <v>2.46</v>
      </c>
      <c r="J8" s="211">
        <v>33</v>
      </c>
      <c r="K8" s="211">
        <v>11.6</v>
      </c>
      <c r="L8" s="231">
        <f>12+2.1</f>
        <v>14.1</v>
      </c>
      <c r="M8" s="100"/>
      <c r="N8" s="198">
        <v>3.4</v>
      </c>
      <c r="O8" s="100"/>
      <c r="P8" s="74"/>
      <c r="Q8" s="74">
        <v>2</v>
      </c>
      <c r="R8" s="100">
        <f>3+0.58</f>
        <v>3.58</v>
      </c>
      <c r="S8" s="74">
        <f>19+4</f>
        <v>23</v>
      </c>
      <c r="T8" s="74">
        <v>27</v>
      </c>
      <c r="U8" s="74">
        <v>13</v>
      </c>
      <c r="V8" s="74">
        <v>7</v>
      </c>
      <c r="W8" s="74">
        <f>32</f>
        <v>32</v>
      </c>
      <c r="X8" s="74">
        <v>20.677</v>
      </c>
      <c r="Y8" s="74">
        <f>1+2+3</f>
        <v>6</v>
      </c>
      <c r="Z8" s="74">
        <v>39</v>
      </c>
      <c r="AA8" s="74">
        <v>37</v>
      </c>
      <c r="AB8" s="231">
        <f>35.5-1-6+1</f>
        <v>29.5</v>
      </c>
      <c r="AC8" s="74">
        <v>36</v>
      </c>
      <c r="AD8" s="74">
        <f>3+29-6</f>
        <v>26</v>
      </c>
      <c r="AE8" s="74">
        <v>102</v>
      </c>
      <c r="AF8" s="74">
        <v>36</v>
      </c>
      <c r="AG8" s="74">
        <v>53</v>
      </c>
      <c r="AH8" s="74">
        <v>50</v>
      </c>
      <c r="AI8" s="74">
        <v>45</v>
      </c>
      <c r="AJ8" s="74">
        <v>27</v>
      </c>
      <c r="AK8" s="74">
        <v>41</v>
      </c>
      <c r="AL8" s="74">
        <v>50</v>
      </c>
      <c r="AM8" s="74">
        <v>38</v>
      </c>
      <c r="AN8" s="74">
        <v>38</v>
      </c>
      <c r="AO8" s="74">
        <v>33</v>
      </c>
      <c r="AP8" s="711" t="s">
        <v>351</v>
      </c>
      <c r="AQ8" s="579" t="s">
        <v>3</v>
      </c>
      <c r="AR8" s="530" t="s">
        <v>352</v>
      </c>
      <c r="AU8" s="19"/>
      <c r="AV8" s="358"/>
      <c r="AW8" s="19"/>
    </row>
    <row r="9" spans="1:57" ht="15" thickBot="1">
      <c r="A9" s="77" t="s">
        <v>190</v>
      </c>
      <c r="B9" s="310"/>
      <c r="C9" s="32"/>
      <c r="D9" s="315" t="s">
        <v>1</v>
      </c>
      <c r="E9" s="75"/>
      <c r="F9" s="75"/>
      <c r="G9" s="75"/>
      <c r="H9" s="75"/>
      <c r="I9" s="196"/>
      <c r="J9" s="75"/>
      <c r="K9" s="75"/>
      <c r="L9" s="75">
        <f>-4</f>
        <v>-4</v>
      </c>
      <c r="M9" s="196"/>
      <c r="N9" s="75">
        <v>-5.97</v>
      </c>
      <c r="O9" s="280">
        <v>5.85</v>
      </c>
      <c r="P9" s="75"/>
      <c r="Q9" s="75"/>
      <c r="R9" s="196"/>
      <c r="S9" s="75"/>
      <c r="T9" s="280"/>
      <c r="U9" s="366">
        <v>-5</v>
      </c>
      <c r="V9" s="75"/>
      <c r="W9" s="75"/>
      <c r="X9" s="75"/>
      <c r="Y9" s="75"/>
      <c r="Z9" s="75"/>
      <c r="AA9" s="75"/>
      <c r="AB9" s="75"/>
      <c r="AC9" s="75">
        <v>-3</v>
      </c>
      <c r="AD9" s="75"/>
      <c r="AE9" s="75"/>
      <c r="AF9" s="75"/>
      <c r="AG9" s="75"/>
      <c r="AH9" s="75"/>
      <c r="AI9" s="75"/>
      <c r="AJ9" s="75"/>
      <c r="AK9" s="75"/>
      <c r="AL9" s="75"/>
      <c r="AM9" s="75"/>
      <c r="AN9" s="75"/>
      <c r="AO9" s="75"/>
      <c r="AP9" s="690"/>
      <c r="AQ9" s="580" t="s">
        <v>158</v>
      </c>
      <c r="AR9" s="448" t="s">
        <v>353</v>
      </c>
      <c r="AS9" s="19"/>
      <c r="AT9" s="19"/>
      <c r="AU9" s="19"/>
      <c r="AV9" s="19"/>
    </row>
    <row r="10" spans="1:57" s="19" customFormat="1">
      <c r="A10" s="66" t="s">
        <v>191</v>
      </c>
      <c r="B10" s="18"/>
      <c r="D10" s="68"/>
      <c r="E10" s="91"/>
      <c r="F10" s="92">
        <v>2</v>
      </c>
      <c r="G10" s="91"/>
      <c r="H10" s="91"/>
      <c r="I10" s="91"/>
      <c r="J10" s="91"/>
      <c r="K10" s="91"/>
      <c r="L10" s="91"/>
      <c r="M10" s="91"/>
      <c r="N10" s="91"/>
      <c r="O10" s="91"/>
      <c r="P10" s="91"/>
      <c r="Q10" s="91"/>
      <c r="R10" s="320">
        <v>1.6</v>
      </c>
      <c r="S10" s="91">
        <v>1</v>
      </c>
      <c r="T10" s="91"/>
      <c r="U10" s="91">
        <v>1</v>
      </c>
      <c r="V10" s="320"/>
      <c r="W10" s="320"/>
      <c r="X10" s="320"/>
      <c r="Y10" s="91"/>
      <c r="Z10" s="91"/>
      <c r="AA10" s="91"/>
      <c r="AB10" s="502">
        <v>1.5</v>
      </c>
      <c r="AC10" s="91"/>
      <c r="AD10" s="91"/>
      <c r="AE10" s="91"/>
      <c r="AF10" s="91"/>
      <c r="AG10" s="91"/>
      <c r="AH10" s="91"/>
      <c r="AI10" s="91"/>
      <c r="AJ10" s="91"/>
      <c r="AK10" s="91"/>
      <c r="AL10" s="91"/>
      <c r="AM10" s="91"/>
      <c r="AN10" s="91"/>
      <c r="AO10" s="91"/>
      <c r="AP10" s="691" t="s">
        <v>354</v>
      </c>
      <c r="AQ10" s="579" t="s">
        <v>3</v>
      </c>
      <c r="AR10" s="448" t="s">
        <v>355</v>
      </c>
    </row>
    <row r="11" spans="1:57" s="19" customFormat="1">
      <c r="A11" s="66" t="s">
        <v>192</v>
      </c>
      <c r="B11" s="18"/>
      <c r="D11" s="68"/>
      <c r="E11" s="91"/>
      <c r="F11" s="92"/>
      <c r="G11" s="91"/>
      <c r="H11" s="92">
        <v>3.12</v>
      </c>
      <c r="I11" s="91"/>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c r="AJ11" s="91"/>
      <c r="AK11" s="91"/>
      <c r="AL11" s="91"/>
      <c r="AM11" s="91"/>
      <c r="AN11" s="91"/>
      <c r="AO11" s="91"/>
      <c r="AP11" s="691"/>
      <c r="AQ11" s="580" t="s">
        <v>158</v>
      </c>
      <c r="AR11" s="448" t="s">
        <v>355</v>
      </c>
    </row>
    <row r="12" spans="1:57" ht="23.25" thickBot="1">
      <c r="A12" s="25" t="s">
        <v>194</v>
      </c>
      <c r="B12" s="18"/>
      <c r="C12" s="19"/>
      <c r="D12" s="34"/>
      <c r="E12" s="19"/>
      <c r="F12" s="19"/>
      <c r="G12" s="187">
        <v>43678</v>
      </c>
      <c r="H12" s="187">
        <v>43698</v>
      </c>
      <c r="I12" s="19"/>
      <c r="J12" s="19"/>
      <c r="K12" s="19"/>
      <c r="L12" s="234">
        <f t="shared" ref="L12:Q12" si="10">L16/1000</f>
        <v>0</v>
      </c>
      <c r="M12" s="234">
        <f t="shared" si="10"/>
        <v>0</v>
      </c>
      <c r="N12" s="234">
        <f t="shared" si="10"/>
        <v>0</v>
      </c>
      <c r="O12" s="234">
        <f t="shared" si="10"/>
        <v>0</v>
      </c>
      <c r="P12" s="234">
        <f t="shared" si="10"/>
        <v>0</v>
      </c>
      <c r="Q12" s="234">
        <f t="shared" si="10"/>
        <v>8.6043339000000003</v>
      </c>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686"/>
      <c r="AQ12" s="686"/>
      <c r="AR12" s="19"/>
      <c r="AS12" s="19"/>
      <c r="AT12" s="19"/>
      <c r="AU12" s="19"/>
      <c r="AV12" s="19"/>
    </row>
    <row r="13" spans="1:57" s="55" customFormat="1" ht="15" thickBot="1">
      <c r="A13" s="848" t="s">
        <v>180</v>
      </c>
      <c r="B13" s="849"/>
      <c r="C13" s="302"/>
      <c r="D13" s="303"/>
      <c r="E13" s="58">
        <v>43587</v>
      </c>
      <c r="F13" s="58">
        <v>43618</v>
      </c>
      <c r="G13" s="58">
        <v>43648</v>
      </c>
      <c r="H13" s="58">
        <v>43679</v>
      </c>
      <c r="I13" s="197">
        <v>43710</v>
      </c>
      <c r="J13" s="197">
        <v>43740</v>
      </c>
      <c r="K13" s="58">
        <v>43771</v>
      </c>
      <c r="L13" s="222">
        <v>43801</v>
      </c>
      <c r="M13" s="197">
        <v>43832</v>
      </c>
      <c r="N13" s="197">
        <v>43863</v>
      </c>
      <c r="O13" s="58">
        <v>43892</v>
      </c>
      <c r="P13" s="58">
        <v>43923</v>
      </c>
      <c r="Q13" s="58">
        <v>43953</v>
      </c>
      <c r="R13" s="197">
        <v>43984</v>
      </c>
      <c r="S13" s="197">
        <v>44014</v>
      </c>
      <c r="T13" s="197">
        <v>44045</v>
      </c>
      <c r="U13" s="197">
        <v>44076</v>
      </c>
      <c r="V13" s="197">
        <v>44106</v>
      </c>
      <c r="W13" s="197">
        <v>44137</v>
      </c>
      <c r="X13" s="197">
        <v>44167</v>
      </c>
      <c r="Y13" s="197">
        <f>Y3</f>
        <v>44198</v>
      </c>
      <c r="Z13" s="197">
        <f t="shared" ref="Z13:AK13" si="11">Z3</f>
        <v>44229</v>
      </c>
      <c r="AA13" s="197">
        <f t="shared" si="11"/>
        <v>44257</v>
      </c>
      <c r="AB13" s="197">
        <f t="shared" si="11"/>
        <v>44288</v>
      </c>
      <c r="AC13" s="197">
        <f t="shared" si="11"/>
        <v>44318</v>
      </c>
      <c r="AD13" s="197">
        <f t="shared" si="11"/>
        <v>44349</v>
      </c>
      <c r="AE13" s="197">
        <f t="shared" si="11"/>
        <v>44379</v>
      </c>
      <c r="AF13" s="197">
        <f t="shared" si="11"/>
        <v>44410</v>
      </c>
      <c r="AG13" s="197">
        <f t="shared" si="11"/>
        <v>44441</v>
      </c>
      <c r="AH13" s="197">
        <f t="shared" si="11"/>
        <v>44471</v>
      </c>
      <c r="AI13" s="197">
        <f t="shared" si="11"/>
        <v>44502</v>
      </c>
      <c r="AJ13" s="197">
        <f t="shared" si="11"/>
        <v>44532</v>
      </c>
      <c r="AK13" s="197">
        <f t="shared" si="11"/>
        <v>44563</v>
      </c>
      <c r="AL13" s="197">
        <f t="shared" ref="AL13:AM13" si="12">AL3</f>
        <v>44594</v>
      </c>
      <c r="AM13" s="197">
        <f t="shared" si="12"/>
        <v>44622</v>
      </c>
      <c r="AN13" s="197">
        <f t="shared" ref="AN13:AO13" si="13">AN3</f>
        <v>44653</v>
      </c>
      <c r="AO13" s="197">
        <f t="shared" si="13"/>
        <v>44683</v>
      </c>
      <c r="AP13" s="709"/>
      <c r="AQ13" s="709"/>
      <c r="AR13" s="54"/>
      <c r="AS13" s="54"/>
      <c r="AT13" s="54"/>
      <c r="AU13" s="54"/>
      <c r="AV13" s="54"/>
    </row>
    <row r="14" spans="1:57">
      <c r="A14" s="16" t="s">
        <v>92</v>
      </c>
      <c r="B14" s="311"/>
      <c r="C14" s="30"/>
      <c r="D14" s="313"/>
      <c r="E14" s="72"/>
      <c r="F14" s="69"/>
      <c r="G14" s="69"/>
      <c r="H14" s="69"/>
      <c r="I14" s="69"/>
      <c r="J14" s="69"/>
      <c r="K14" s="69"/>
      <c r="L14" s="69"/>
      <c r="M14" s="69"/>
      <c r="N14" s="69"/>
      <c r="O14" s="69"/>
      <c r="P14" s="69"/>
      <c r="Q14" s="69"/>
      <c r="R14" s="316"/>
      <c r="S14" s="69"/>
      <c r="T14" s="69"/>
      <c r="U14" s="69"/>
      <c r="V14" s="69"/>
      <c r="W14" s="69"/>
      <c r="X14" s="69"/>
      <c r="Y14" s="69"/>
      <c r="Z14" s="69"/>
      <c r="AA14" s="69"/>
      <c r="AB14" s="69"/>
      <c r="AC14" s="69"/>
      <c r="AD14" s="69"/>
      <c r="AE14" s="69"/>
      <c r="AF14" s="69"/>
      <c r="AG14" s="69"/>
      <c r="AH14" s="69"/>
      <c r="AI14" s="69"/>
      <c r="AJ14" s="69"/>
      <c r="AK14" s="69"/>
      <c r="AL14" s="69"/>
      <c r="AM14" s="69"/>
      <c r="AN14" s="69"/>
      <c r="AO14" s="69"/>
      <c r="AP14" s="687"/>
      <c r="AQ14" s="687"/>
      <c r="AR14" s="19"/>
      <c r="AS14" s="19"/>
      <c r="AT14" s="19"/>
      <c r="AU14" s="19"/>
      <c r="AV14" s="19"/>
    </row>
    <row r="15" spans="1:57">
      <c r="A15" s="66" t="s">
        <v>195</v>
      </c>
      <c r="B15" s="18"/>
      <c r="C15" s="19"/>
      <c r="D15" s="314" t="s">
        <v>41</v>
      </c>
      <c r="E15" s="62"/>
      <c r="F15" s="62"/>
      <c r="G15" s="62"/>
      <c r="H15" s="63"/>
      <c r="I15" s="62"/>
      <c r="J15" s="63"/>
      <c r="K15" s="62"/>
      <c r="L15" s="62"/>
      <c r="M15" s="62"/>
      <c r="N15" s="62"/>
      <c r="O15" s="62"/>
      <c r="P15" s="62"/>
      <c r="Q15" s="304">
        <v>10820</v>
      </c>
      <c r="R15" s="317">
        <v>10820</v>
      </c>
      <c r="S15" s="304">
        <v>10820</v>
      </c>
      <c r="T15" s="304">
        <v>10820</v>
      </c>
      <c r="U15" s="304">
        <v>10820</v>
      </c>
      <c r="V15" s="232">
        <v>7213.6</v>
      </c>
      <c r="W15" s="232">
        <v>7213.6</v>
      </c>
      <c r="X15" s="304">
        <v>10820</v>
      </c>
      <c r="Y15" s="304">
        <v>10820.4</v>
      </c>
      <c r="Z15" s="304">
        <v>10820.4</v>
      </c>
      <c r="AA15" s="304">
        <v>10820.4</v>
      </c>
      <c r="AB15" s="304">
        <v>10820.4</v>
      </c>
      <c r="AC15" s="304">
        <v>10820.4</v>
      </c>
      <c r="AD15" s="304">
        <v>10820.4</v>
      </c>
      <c r="AE15" s="304">
        <v>10820.4</v>
      </c>
      <c r="AF15" s="304">
        <v>10820.4</v>
      </c>
      <c r="AG15" s="304">
        <v>10820.4</v>
      </c>
      <c r="AH15" s="304">
        <v>10820.4</v>
      </c>
      <c r="AI15" s="304">
        <v>10820.4</v>
      </c>
      <c r="AJ15" s="304">
        <v>10820.4</v>
      </c>
      <c r="AK15" s="304">
        <v>10820.4</v>
      </c>
      <c r="AL15" s="304">
        <v>10820.4</v>
      </c>
      <c r="AM15" s="304">
        <v>10820.4</v>
      </c>
      <c r="AN15" s="304">
        <v>10820.4</v>
      </c>
      <c r="AO15" s="304">
        <v>10820.4</v>
      </c>
      <c r="AP15" s="688" t="s">
        <v>159</v>
      </c>
      <c r="AQ15" s="579" t="s">
        <v>3</v>
      </c>
      <c r="AR15" s="538" t="s">
        <v>356</v>
      </c>
      <c r="AS15" s="19"/>
      <c r="AT15" s="19"/>
      <c r="AU15" s="19"/>
      <c r="AV15" s="19"/>
    </row>
    <row r="16" spans="1:57">
      <c r="A16" s="66" t="s">
        <v>196</v>
      </c>
      <c r="B16" s="18"/>
      <c r="C16" s="19"/>
      <c r="D16" s="314" t="s">
        <v>41</v>
      </c>
      <c r="E16" s="70"/>
      <c r="F16" s="70"/>
      <c r="G16" s="70"/>
      <c r="H16" s="70"/>
      <c r="I16" s="70"/>
      <c r="J16" s="70"/>
      <c r="K16" s="70"/>
      <c r="L16" s="70"/>
      <c r="M16" s="70"/>
      <c r="N16" s="70"/>
      <c r="O16" s="70"/>
      <c r="P16" s="70"/>
      <c r="Q16" s="70">
        <v>8604.3338999999996</v>
      </c>
      <c r="R16" s="318">
        <v>4280.92</v>
      </c>
      <c r="S16" s="70">
        <v>4603.84</v>
      </c>
      <c r="T16" s="70">
        <v>5097.9400000000005</v>
      </c>
      <c r="U16" s="70">
        <v>8486.9800000000014</v>
      </c>
      <c r="V16" s="70">
        <v>4215.0621000000001</v>
      </c>
      <c r="W16" s="70">
        <v>5552.8707000000004</v>
      </c>
      <c r="X16" s="70">
        <v>3405.2722000000003</v>
      </c>
      <c r="Y16" s="70">
        <v>8673.82</v>
      </c>
      <c r="Z16" s="70">
        <f t="shared" ref="Z16:AN16" si="14">Y16-Z17+((Z55-Z99-Z101-Z102-Z104-Z105-Z106-Z107)*1000)</f>
        <v>4479.3540188754459</v>
      </c>
      <c r="AA16" s="70">
        <v>7425.2542080000003</v>
      </c>
      <c r="AB16" s="70">
        <v>8816.1281999999992</v>
      </c>
      <c r="AC16" s="70">
        <f t="shared" si="14"/>
        <v>5929.1282000000028</v>
      </c>
      <c r="AD16" s="70">
        <f t="shared" si="14"/>
        <v>4118.1282000000028</v>
      </c>
      <c r="AE16" s="70">
        <f t="shared" si="14"/>
        <v>5267.1282000000037</v>
      </c>
      <c r="AF16" s="70">
        <f t="shared" si="14"/>
        <v>7047.128200000001</v>
      </c>
      <c r="AG16" s="70">
        <f t="shared" si="14"/>
        <v>8207.1282000000119</v>
      </c>
      <c r="AH16" s="70">
        <f t="shared" si="14"/>
        <v>7998.3613940090618</v>
      </c>
      <c r="AI16" s="70">
        <f t="shared" si="14"/>
        <v>4572.4768207746602</v>
      </c>
      <c r="AJ16" s="70">
        <f t="shared" si="14"/>
        <v>6538.0137799373406</v>
      </c>
      <c r="AK16" s="70">
        <f t="shared" si="14"/>
        <v>6556.5629156601599</v>
      </c>
      <c r="AL16" s="70">
        <f t="shared" si="14"/>
        <v>4966.8653608291488</v>
      </c>
      <c r="AM16" s="70">
        <f t="shared" si="14"/>
        <v>4985.4144965519681</v>
      </c>
      <c r="AN16" s="70">
        <f t="shared" si="14"/>
        <v>4467.8814020901791</v>
      </c>
      <c r="AO16" s="70">
        <f>AN16-AO17+((AO55-AO99-AO101-AO102-AO104-AO105-AO106-AO107)*1000)</f>
        <v>4486.4305378129984</v>
      </c>
      <c r="AP16" s="689" t="s">
        <v>5</v>
      </c>
      <c r="AQ16" s="579" t="s">
        <v>3</v>
      </c>
      <c r="AR16" s="538" t="s">
        <v>357</v>
      </c>
      <c r="AS16" s="19"/>
      <c r="AT16" s="19"/>
      <c r="AU16" s="19"/>
      <c r="AV16" s="19"/>
    </row>
    <row r="17" spans="1:48">
      <c r="A17" s="66" t="s">
        <v>197</v>
      </c>
      <c r="B17" s="18"/>
      <c r="C17" s="19"/>
      <c r="D17" s="314" t="s">
        <v>41</v>
      </c>
      <c r="E17" s="70"/>
      <c r="F17" s="70"/>
      <c r="G17" s="70"/>
      <c r="H17" s="70"/>
      <c r="I17" s="70"/>
      <c r="J17" s="70"/>
      <c r="K17" s="70"/>
      <c r="L17" s="70"/>
      <c r="M17" s="70"/>
      <c r="N17" s="70"/>
      <c r="O17" s="70"/>
      <c r="P17" s="70"/>
      <c r="Q17" s="70"/>
      <c r="R17" s="318">
        <v>4303.2400800000014</v>
      </c>
      <c r="S17" s="70">
        <v>2500</v>
      </c>
      <c r="T17" s="70">
        <v>8500</v>
      </c>
      <c r="U17" s="70">
        <v>1000</v>
      </c>
      <c r="V17" s="70">
        <v>8000</v>
      </c>
      <c r="W17" s="70">
        <v>5005</v>
      </c>
      <c r="X17" s="70">
        <v>3000</v>
      </c>
      <c r="Y17" s="70">
        <v>7000</v>
      </c>
      <c r="Z17" s="70">
        <v>6000</v>
      </c>
      <c r="AA17" s="70">
        <f>2000</f>
        <v>2000</v>
      </c>
      <c r="AB17" s="70">
        <v>18500</v>
      </c>
      <c r="AC17" s="70">
        <v>6560</v>
      </c>
      <c r="AD17" s="70">
        <v>3000</v>
      </c>
      <c r="AE17" s="70">
        <v>3000</v>
      </c>
      <c r="AF17" s="70">
        <v>3000</v>
      </c>
      <c r="AG17" s="70">
        <v>8000</v>
      </c>
      <c r="AH17" s="70">
        <v>26000</v>
      </c>
      <c r="AI17" s="70">
        <v>3000</v>
      </c>
      <c r="AJ17" s="70">
        <v>3000</v>
      </c>
      <c r="AK17" s="70">
        <v>3000</v>
      </c>
      <c r="AL17" s="70">
        <v>3000</v>
      </c>
      <c r="AM17" s="70">
        <v>3000</v>
      </c>
      <c r="AN17" s="70">
        <v>3000</v>
      </c>
      <c r="AO17" s="70">
        <v>3000</v>
      </c>
      <c r="AP17" s="710" t="s">
        <v>184</v>
      </c>
      <c r="AQ17" s="579" t="s">
        <v>3</v>
      </c>
      <c r="AR17" s="19"/>
      <c r="AT17" s="19"/>
      <c r="AU17" s="19"/>
      <c r="AV17" s="358"/>
    </row>
    <row r="18" spans="1:48" ht="15" thickBot="1">
      <c r="A18" s="189" t="s">
        <v>200</v>
      </c>
      <c r="B18" s="310"/>
      <c r="C18" s="32"/>
      <c r="D18" s="315" t="s">
        <v>187</v>
      </c>
      <c r="E18" s="79" t="e">
        <f>E16/E15</f>
        <v>#DIV/0!</v>
      </c>
      <c r="F18" s="79" t="e">
        <f t="shared" ref="F18:Y18" si="15">F16/F15</f>
        <v>#DIV/0!</v>
      </c>
      <c r="G18" s="79" t="e">
        <f t="shared" si="15"/>
        <v>#DIV/0!</v>
      </c>
      <c r="H18" s="79" t="e">
        <f t="shared" si="15"/>
        <v>#DIV/0!</v>
      </c>
      <c r="I18" s="79" t="e">
        <f t="shared" si="15"/>
        <v>#DIV/0!</v>
      </c>
      <c r="J18" s="79" t="e">
        <f t="shared" si="15"/>
        <v>#DIV/0!</v>
      </c>
      <c r="K18" s="79" t="e">
        <f t="shared" si="15"/>
        <v>#DIV/0!</v>
      </c>
      <c r="L18" s="79" t="e">
        <f t="shared" si="15"/>
        <v>#DIV/0!</v>
      </c>
      <c r="M18" s="79" t="e">
        <f t="shared" si="15"/>
        <v>#DIV/0!</v>
      </c>
      <c r="N18" s="79" t="e">
        <f t="shared" si="15"/>
        <v>#DIV/0!</v>
      </c>
      <c r="O18" s="79" t="e">
        <f t="shared" si="15"/>
        <v>#DIV/0!</v>
      </c>
      <c r="P18" s="79" t="e">
        <f t="shared" si="15"/>
        <v>#DIV/0!</v>
      </c>
      <c r="Q18" s="79">
        <f t="shared" si="15"/>
        <v>0.79522494454713488</v>
      </c>
      <c r="R18" s="333">
        <f t="shared" si="15"/>
        <v>0.39564879852125695</v>
      </c>
      <c r="S18" s="334">
        <f t="shared" si="15"/>
        <v>0.42549353049907579</v>
      </c>
      <c r="T18" s="334">
        <f t="shared" si="15"/>
        <v>0.47115896487985215</v>
      </c>
      <c r="U18" s="334">
        <f t="shared" si="15"/>
        <v>0.7843789279112755</v>
      </c>
      <c r="V18" s="334">
        <f t="shared" si="15"/>
        <v>0.58432157313962518</v>
      </c>
      <c r="W18" s="334">
        <f t="shared" si="15"/>
        <v>0.76977801652434297</v>
      </c>
      <c r="X18" s="334">
        <f t="shared" si="15"/>
        <v>0.31472016635859523</v>
      </c>
      <c r="Y18" s="334">
        <f t="shared" si="15"/>
        <v>0.80161731544120363</v>
      </c>
      <c r="Z18" s="453">
        <f>Z16/Z15</f>
        <v>0.41397305264827972</v>
      </c>
      <c r="AA18" s="453">
        <f t="shared" ref="AA18:AJ18" si="16">AA16/AA15</f>
        <v>0.68622733059775987</v>
      </c>
      <c r="AB18" s="453">
        <f t="shared" si="16"/>
        <v>0.81476915825662632</v>
      </c>
      <c r="AC18" s="453">
        <f t="shared" si="16"/>
        <v>0.54795831947062978</v>
      </c>
      <c r="AD18" s="453">
        <f t="shared" si="16"/>
        <v>0.38058927581235474</v>
      </c>
      <c r="AE18" s="453">
        <f t="shared" si="16"/>
        <v>0.48677758678052602</v>
      </c>
      <c r="AF18" s="453">
        <f t="shared" si="16"/>
        <v>0.65128167165724016</v>
      </c>
      <c r="AG18" s="453">
        <f t="shared" si="16"/>
        <v>0.75848658090274035</v>
      </c>
      <c r="AH18" s="453">
        <f t="shared" si="16"/>
        <v>0.73919276496331576</v>
      </c>
      <c r="AI18" s="453">
        <f t="shared" si="16"/>
        <v>0.42257927810197965</v>
      </c>
      <c r="AJ18" s="453">
        <f t="shared" si="16"/>
        <v>0.60423032234828111</v>
      </c>
      <c r="AK18" s="453">
        <f>AK16/AK15</f>
        <v>0.60594459684116675</v>
      </c>
      <c r="AL18" s="453">
        <f>AL16/AL15</f>
        <v>0.45902788813991618</v>
      </c>
      <c r="AM18" s="453">
        <f>AM16/AM15</f>
        <v>0.46074216263280177</v>
      </c>
      <c r="AN18" s="453">
        <f>AN16/AN15</f>
        <v>0.41291277606097548</v>
      </c>
      <c r="AO18" s="453">
        <f>AO16/AO15</f>
        <v>0.41462705055386107</v>
      </c>
      <c r="AP18" s="689" t="s">
        <v>5</v>
      </c>
      <c r="AQ18" s="579" t="s">
        <v>3</v>
      </c>
      <c r="AR18" s="538" t="s">
        <v>358</v>
      </c>
      <c r="AS18" s="19"/>
      <c r="AT18" s="19"/>
      <c r="AU18" s="19"/>
      <c r="AV18" s="19"/>
    </row>
    <row r="19" spans="1:48" s="19" customFormat="1">
      <c r="A19" s="3" t="s">
        <v>202</v>
      </c>
      <c r="B19" s="18"/>
      <c r="R19" s="64">
        <f t="shared" ref="R19:AL19" si="17">R55-R99-R101-R104-R105-R107</f>
        <v>-2.0173819999998344E-2</v>
      </c>
      <c r="S19" s="64">
        <f t="shared" si="17"/>
        <v>5.0584090909090627</v>
      </c>
      <c r="T19" s="64">
        <f t="shared" si="17"/>
        <v>7.5176373626373696</v>
      </c>
      <c r="U19" s="64">
        <f t="shared" si="17"/>
        <v>0.61100000000000709</v>
      </c>
      <c r="V19" s="64">
        <f t="shared" si="17"/>
        <v>4.01</v>
      </c>
      <c r="W19" s="64">
        <f t="shared" si="17"/>
        <v>6.3309999999999977</v>
      </c>
      <c r="X19" s="64">
        <f t="shared" si="17"/>
        <v>1.0260000000000011</v>
      </c>
      <c r="Y19" s="64">
        <f t="shared" si="17"/>
        <v>11.852380729154897</v>
      </c>
      <c r="Z19" s="64">
        <f t="shared" si="17"/>
        <v>6.3055340188754467</v>
      </c>
      <c r="AA19" s="64">
        <f t="shared" si="17"/>
        <v>11.984000000000007</v>
      </c>
      <c r="AB19" s="64">
        <f t="shared" si="17"/>
        <v>19.509000000000011</v>
      </c>
      <c r="AC19" s="64">
        <f t="shared" si="17"/>
        <v>5.6730000000000036</v>
      </c>
      <c r="AD19" s="64">
        <f t="shared" si="17"/>
        <v>8.5139999999999993</v>
      </c>
      <c r="AE19" s="64">
        <f t="shared" si="17"/>
        <v>4.1490000000000009</v>
      </c>
      <c r="AF19" s="64">
        <f t="shared" si="17"/>
        <v>15.773</v>
      </c>
      <c r="AG19" s="64">
        <f t="shared" si="17"/>
        <v>19.991000000000014</v>
      </c>
      <c r="AH19" s="64">
        <f t="shared" si="17"/>
        <v>36.622233194009056</v>
      </c>
      <c r="AI19" s="64">
        <f t="shared" si="17"/>
        <v>10.405115426765597</v>
      </c>
      <c r="AJ19" s="64">
        <f t="shared" si="17"/>
        <v>8.9655369591626801</v>
      </c>
      <c r="AK19" s="64">
        <f t="shared" si="17"/>
        <v>7.0185491357228198</v>
      </c>
      <c r="AL19" s="64">
        <f t="shared" si="17"/>
        <v>5.4103024451689894</v>
      </c>
      <c r="AM19" s="64">
        <f t="shared" ref="AM19:AN19" si="18">AM55-AM99-AM101-AM104-AM105-AM107</f>
        <v>7.0185491357228198</v>
      </c>
      <c r="AN19" s="64">
        <f t="shared" si="18"/>
        <v>6.482466905538212</v>
      </c>
      <c r="AO19" s="64">
        <f>AO55-AO99-AO101-AO104-AO105-AO107</f>
        <v>7.0185491357228198</v>
      </c>
      <c r="AP19" s="689" t="s">
        <v>5</v>
      </c>
      <c r="AQ19" s="580" t="s">
        <v>158</v>
      </c>
      <c r="AR19" s="536" t="s">
        <v>359</v>
      </c>
    </row>
    <row r="20" spans="1:48" ht="23.25" thickBot="1">
      <c r="A20" s="25" t="s">
        <v>204</v>
      </c>
      <c r="B20" s="18"/>
      <c r="C20" s="19"/>
      <c r="D20" s="34"/>
      <c r="E20" s="19"/>
      <c r="F20" s="19"/>
      <c r="G20" s="187">
        <v>43678</v>
      </c>
      <c r="H20" s="187">
        <v>43698</v>
      </c>
      <c r="I20" s="19"/>
      <c r="J20" s="19"/>
      <c r="K20" s="19"/>
      <c r="L20" s="234">
        <f t="shared" ref="L20:Q20" si="19">L24/1000</f>
        <v>0</v>
      </c>
      <c r="M20" s="234">
        <f t="shared" si="19"/>
        <v>0</v>
      </c>
      <c r="N20" s="234">
        <f t="shared" si="19"/>
        <v>0</v>
      </c>
      <c r="O20" s="234">
        <f t="shared" si="19"/>
        <v>0</v>
      </c>
      <c r="P20" s="234">
        <f t="shared" si="19"/>
        <v>0</v>
      </c>
      <c r="Q20" s="234">
        <f t="shared" si="19"/>
        <v>20.938500000000001</v>
      </c>
      <c r="R20" s="234"/>
      <c r="S20" s="234"/>
      <c r="T20" s="234"/>
      <c r="U20" s="234"/>
      <c r="V20" s="234"/>
      <c r="W20" s="234"/>
      <c r="X20" s="234"/>
      <c r="Y20" s="234"/>
      <c r="Z20" s="234"/>
      <c r="AA20" s="234"/>
      <c r="AB20" s="234"/>
      <c r="AC20" s="234"/>
      <c r="AD20" s="234"/>
      <c r="AE20" s="234"/>
      <c r="AF20" s="234"/>
      <c r="AG20" s="234"/>
      <c r="AH20" s="234"/>
      <c r="AI20" s="234"/>
      <c r="AJ20" s="234"/>
      <c r="AK20" s="234"/>
      <c r="AL20" s="234"/>
      <c r="AM20" s="234"/>
      <c r="AN20" s="234"/>
      <c r="AO20" s="234"/>
      <c r="AP20" s="686"/>
      <c r="AQ20" s="686"/>
      <c r="AR20" s="19"/>
      <c r="AS20" s="19"/>
      <c r="AT20" s="19"/>
      <c r="AU20" s="19"/>
      <c r="AV20" s="19"/>
    </row>
    <row r="21" spans="1:48" s="55" customFormat="1" ht="15" thickBot="1">
      <c r="A21" s="848" t="s">
        <v>180</v>
      </c>
      <c r="B21" s="849"/>
      <c r="C21" s="302"/>
      <c r="D21" s="303"/>
      <c r="E21" s="57">
        <v>43587</v>
      </c>
      <c r="F21" s="58">
        <v>43618</v>
      </c>
      <c r="G21" s="58">
        <v>43648</v>
      </c>
      <c r="H21" s="58">
        <v>43679</v>
      </c>
      <c r="I21" s="197">
        <v>43710</v>
      </c>
      <c r="J21" s="197">
        <v>43740</v>
      </c>
      <c r="K21" s="58">
        <v>43771</v>
      </c>
      <c r="L21" s="222">
        <v>43801</v>
      </c>
      <c r="M21" s="197">
        <v>43832</v>
      </c>
      <c r="N21" s="197">
        <v>43863</v>
      </c>
      <c r="O21" s="58">
        <v>43892</v>
      </c>
      <c r="P21" s="58">
        <v>43923</v>
      </c>
      <c r="Q21" s="58">
        <v>43953</v>
      </c>
      <c r="R21" s="197">
        <v>43984</v>
      </c>
      <c r="S21" s="197">
        <v>44014</v>
      </c>
      <c r="T21" s="197">
        <v>44045</v>
      </c>
      <c r="U21" s="197">
        <v>44076</v>
      </c>
      <c r="V21" s="197">
        <v>44106</v>
      </c>
      <c r="W21" s="197">
        <v>44137</v>
      </c>
      <c r="X21" s="197">
        <v>44167</v>
      </c>
      <c r="Y21" s="197">
        <f>Y3</f>
        <v>44198</v>
      </c>
      <c r="Z21" s="197">
        <f t="shared" ref="Z21:AK21" si="20">Z3</f>
        <v>44229</v>
      </c>
      <c r="AA21" s="197">
        <f t="shared" si="20"/>
        <v>44257</v>
      </c>
      <c r="AB21" s="197">
        <f t="shared" si="20"/>
        <v>44288</v>
      </c>
      <c r="AC21" s="197">
        <f t="shared" si="20"/>
        <v>44318</v>
      </c>
      <c r="AD21" s="197">
        <f t="shared" si="20"/>
        <v>44349</v>
      </c>
      <c r="AE21" s="197">
        <f t="shared" si="20"/>
        <v>44379</v>
      </c>
      <c r="AF21" s="197">
        <f t="shared" si="20"/>
        <v>44410</v>
      </c>
      <c r="AG21" s="197">
        <f t="shared" si="20"/>
        <v>44441</v>
      </c>
      <c r="AH21" s="197">
        <f t="shared" si="20"/>
        <v>44471</v>
      </c>
      <c r="AI21" s="197">
        <f t="shared" si="20"/>
        <v>44502</v>
      </c>
      <c r="AJ21" s="197">
        <f t="shared" si="20"/>
        <v>44532</v>
      </c>
      <c r="AK21" s="197">
        <f t="shared" si="20"/>
        <v>44563</v>
      </c>
      <c r="AL21" s="197">
        <f t="shared" ref="AL21:AM21" si="21">AL3</f>
        <v>44594</v>
      </c>
      <c r="AM21" s="197">
        <f t="shared" si="21"/>
        <v>44622</v>
      </c>
      <c r="AN21" s="197">
        <f t="shared" ref="AN21:AO21" si="22">AN3</f>
        <v>44653</v>
      </c>
      <c r="AO21" s="197">
        <f t="shared" si="22"/>
        <v>44683</v>
      </c>
      <c r="AP21" s="709"/>
      <c r="AQ21" s="709"/>
      <c r="AR21" s="19"/>
      <c r="AS21" s="54"/>
      <c r="AT21" s="54"/>
      <c r="AU21" s="54"/>
      <c r="AV21" s="54"/>
    </row>
    <row r="22" spans="1:48">
      <c r="A22" s="16" t="s">
        <v>92</v>
      </c>
      <c r="B22" s="311"/>
      <c r="C22" s="30"/>
      <c r="D22" s="313"/>
      <c r="E22" s="72"/>
      <c r="F22" s="69"/>
      <c r="G22" s="69"/>
      <c r="H22" s="69"/>
      <c r="I22" s="69"/>
      <c r="J22" s="69"/>
      <c r="K22" s="69"/>
      <c r="L22" s="69"/>
      <c r="M22" s="69"/>
      <c r="N22" s="69"/>
      <c r="O22" s="69"/>
      <c r="P22" s="69"/>
      <c r="Q22" s="69"/>
      <c r="R22" s="316"/>
      <c r="S22" s="69"/>
      <c r="T22" s="69"/>
      <c r="U22" s="69"/>
      <c r="V22" s="69"/>
      <c r="W22" s="69"/>
      <c r="X22" s="69"/>
      <c r="Y22" s="69"/>
      <c r="Z22" s="69"/>
      <c r="AA22" s="69"/>
      <c r="AB22" s="69"/>
      <c r="AC22" s="69"/>
      <c r="AD22" s="69"/>
      <c r="AE22" s="69"/>
      <c r="AF22" s="69"/>
      <c r="AG22" s="69"/>
      <c r="AH22" s="69"/>
      <c r="AI22" s="69"/>
      <c r="AJ22" s="69"/>
      <c r="AK22" s="69"/>
      <c r="AL22" s="69"/>
      <c r="AM22" s="69"/>
      <c r="AN22" s="69"/>
      <c r="AO22" s="69"/>
      <c r="AP22" s="687"/>
      <c r="AQ22" s="687"/>
      <c r="AR22" s="19"/>
      <c r="AS22" s="19"/>
      <c r="AT22" s="19"/>
      <c r="AU22" s="19"/>
      <c r="AV22" s="19"/>
    </row>
    <row r="23" spans="1:48">
      <c r="A23" s="66" t="s">
        <v>205</v>
      </c>
      <c r="B23" s="18"/>
      <c r="C23" s="19"/>
      <c r="D23" s="314" t="s">
        <v>41</v>
      </c>
      <c r="E23" s="62"/>
      <c r="F23" s="62"/>
      <c r="G23" s="62"/>
      <c r="H23" s="63"/>
      <c r="I23" s="62"/>
      <c r="J23" s="63"/>
      <c r="K23" s="62"/>
      <c r="L23" s="62"/>
      <c r="M23" s="62"/>
      <c r="N23" s="62"/>
      <c r="O23" s="62"/>
      <c r="P23" s="62"/>
      <c r="Q23" s="63">
        <v>34970.800000000003</v>
      </c>
      <c r="R23" s="63">
        <f>R5-R15</f>
        <v>34970.800000000003</v>
      </c>
      <c r="S23" s="63">
        <f>S5-S15</f>
        <v>34970.800000000003</v>
      </c>
      <c r="T23" s="63">
        <v>34970.800000000003</v>
      </c>
      <c r="U23" s="63">
        <v>34970.800000000003</v>
      </c>
      <c r="V23" s="304">
        <v>38804.400000000001</v>
      </c>
      <c r="W23" s="304">
        <v>38804.400000000001</v>
      </c>
      <c r="X23" s="304">
        <v>38804.800000000003</v>
      </c>
      <c r="Y23" s="304">
        <v>38804.400000000009</v>
      </c>
      <c r="Z23" s="232">
        <v>34970.400000000001</v>
      </c>
      <c r="AA23" s="232">
        <v>32821.200000000004</v>
      </c>
      <c r="AB23" s="304">
        <v>36655.22</v>
      </c>
      <c r="AC23" s="232">
        <v>36655.22</v>
      </c>
      <c r="AD23" s="232">
        <v>32821.200000000004</v>
      </c>
      <c r="AE23" s="232">
        <v>32821.200000000004</v>
      </c>
      <c r="AF23" s="304">
        <v>36655.200000000004</v>
      </c>
      <c r="AG23" s="304">
        <v>36655.200000000004</v>
      </c>
      <c r="AH23" s="232">
        <v>32821.200000000004</v>
      </c>
      <c r="AI23" s="232">
        <v>32821.200000000004</v>
      </c>
      <c r="AJ23" s="304">
        <v>36655.200000000004</v>
      </c>
      <c r="AK23" s="304">
        <v>36655.200000000004</v>
      </c>
      <c r="AL23" s="304">
        <v>36655.200000000004</v>
      </c>
      <c r="AM23" s="304">
        <v>36655.200000000004</v>
      </c>
      <c r="AN23" s="304">
        <v>36655.200000000004</v>
      </c>
      <c r="AO23" s="304">
        <v>36655.200000000004</v>
      </c>
      <c r="AP23" s="688" t="s">
        <v>159</v>
      </c>
      <c r="AQ23" s="579" t="s">
        <v>3</v>
      </c>
      <c r="AR23" s="538" t="s">
        <v>360</v>
      </c>
      <c r="AS23" s="19"/>
      <c r="AT23" s="19"/>
      <c r="AU23" s="19"/>
      <c r="AV23" s="19"/>
    </row>
    <row r="24" spans="1:48">
      <c r="A24" s="67" t="s">
        <v>206</v>
      </c>
      <c r="B24" s="18"/>
      <c r="C24" s="19"/>
      <c r="D24" s="314" t="s">
        <v>41</v>
      </c>
      <c r="E24" s="70"/>
      <c r="F24" s="70"/>
      <c r="G24" s="70"/>
      <c r="H24" s="70"/>
      <c r="I24" s="70"/>
      <c r="J24" s="70"/>
      <c r="K24" s="70"/>
      <c r="L24" s="70"/>
      <c r="M24" s="70"/>
      <c r="N24" s="70"/>
      <c r="O24" s="70"/>
      <c r="P24" s="70"/>
      <c r="Q24" s="70">
        <v>20938.5</v>
      </c>
      <c r="R24" s="70">
        <v>10177.919999999998</v>
      </c>
      <c r="S24" s="70">
        <v>13403.88</v>
      </c>
      <c r="T24" s="70">
        <v>10026.720000000001</v>
      </c>
      <c r="U24" s="70">
        <v>18209.88</v>
      </c>
      <c r="V24" s="70">
        <v>10209.780000000001</v>
      </c>
      <c r="W24" s="70">
        <v>16867.98</v>
      </c>
      <c r="X24" s="70">
        <v>14649.770160000002</v>
      </c>
      <c r="Y24" s="70">
        <v>15728.580000000002</v>
      </c>
      <c r="Z24" s="70">
        <f t="shared" ref="Z24:AN24" si="23">Y24+Z17+((Z56+Z61+Z8-Z9+Z10-Z100-Z103-Z108-Z109-Z110-Z111-Z112-Z113-Z114-Z115-Z116-Z117-Z118-Z119-Z120-Z121-Z122-Z123-Z124-Z125-Z126-Z127-Z128-Z129-Z130-Z131-Z132-Z133-Z137-Z138-Z139-Z140-Z141-Z142-Z143-Z144-Z145-Z146-Z147-Z148-Z149-Z150-Z151-Z152-Z153)*1000)</f>
        <v>25479.838805474872</v>
      </c>
      <c r="AA24" s="70">
        <v>15617.668320000001</v>
      </c>
      <c r="AB24" s="70">
        <v>25090.560000000001</v>
      </c>
      <c r="AC24" s="70">
        <f t="shared" si="23"/>
        <v>27550.560000000005</v>
      </c>
      <c r="AD24" s="70">
        <f t="shared" si="23"/>
        <v>14154.098110734652</v>
      </c>
      <c r="AE24" s="70">
        <f t="shared" si="23"/>
        <v>20944.536740734649</v>
      </c>
      <c r="AF24" s="70">
        <f t="shared" si="23"/>
        <v>16744.880950734645</v>
      </c>
      <c r="AG24" s="70">
        <f t="shared" si="23"/>
        <v>15269.754920734587</v>
      </c>
      <c r="AH24" s="70">
        <f t="shared" si="23"/>
        <v>14678.156597979498</v>
      </c>
      <c r="AI24" s="70">
        <f t="shared" si="23"/>
        <v>17602.217489740477</v>
      </c>
      <c r="AJ24" s="70">
        <f t="shared" si="23"/>
        <v>17224.10233575026</v>
      </c>
      <c r="AK24" s="70">
        <f t="shared" si="23"/>
        <v>17446.529542871096</v>
      </c>
      <c r="AL24" s="70">
        <f t="shared" si="23"/>
        <v>18545.611908335115</v>
      </c>
      <c r="AM24" s="70">
        <f t="shared" si="23"/>
        <v>18773.603745455959</v>
      </c>
      <c r="AN24" s="70">
        <f t="shared" si="23"/>
        <v>19537.681252024577</v>
      </c>
      <c r="AO24" s="70">
        <f>AN24+AO17+((AO56+AO61+AO8-AO9+AO10-AO100-AO103-AO108-AO109-AO110-AO111-AO112-AO113-AO114-AO115-AO116-AO117-AO118-AO119-AO120-AO121-AO122-AO123-AO124-AO125-AO126-AO127-AO128-AO129-AO130-AO131-AO132-AO133-AO137-AO138-AO139-AO140-AO141-AO142-AO143-AO144-AO145-AO146-AO147-AO148-AO149-AO150-AO151-AO152-AO153)*1000)</f>
        <v>19386.22278914502</v>
      </c>
      <c r="AP24" s="710" t="s">
        <v>184</v>
      </c>
      <c r="AQ24" s="579" t="s">
        <v>3</v>
      </c>
      <c r="AR24" s="538" t="s">
        <v>361</v>
      </c>
      <c r="AS24" s="19"/>
      <c r="AT24" s="19"/>
      <c r="AU24" s="19"/>
      <c r="AV24" s="19"/>
    </row>
    <row r="25" spans="1:48" ht="15" thickBot="1">
      <c r="A25" s="189" t="s">
        <v>207</v>
      </c>
      <c r="B25" s="310"/>
      <c r="C25" s="32"/>
      <c r="D25" s="315" t="s">
        <v>187</v>
      </c>
      <c r="E25" s="79" t="e">
        <f>E24/E23</f>
        <v>#DIV/0!</v>
      </c>
      <c r="F25" s="79" t="e">
        <f t="shared" ref="F25:AJ25" si="24">F24/F23</f>
        <v>#DIV/0!</v>
      </c>
      <c r="G25" s="79" t="e">
        <f t="shared" si="24"/>
        <v>#DIV/0!</v>
      </c>
      <c r="H25" s="79" t="e">
        <f t="shared" si="24"/>
        <v>#DIV/0!</v>
      </c>
      <c r="I25" s="79" t="e">
        <f t="shared" si="24"/>
        <v>#DIV/0!</v>
      </c>
      <c r="J25" s="79" t="e">
        <f t="shared" si="24"/>
        <v>#DIV/0!</v>
      </c>
      <c r="K25" s="79" t="e">
        <f t="shared" si="24"/>
        <v>#DIV/0!</v>
      </c>
      <c r="L25" s="79" t="e">
        <f t="shared" si="24"/>
        <v>#DIV/0!</v>
      </c>
      <c r="M25" s="79" t="e">
        <f t="shared" si="24"/>
        <v>#DIV/0!</v>
      </c>
      <c r="N25" s="79" t="e">
        <f t="shared" si="24"/>
        <v>#DIV/0!</v>
      </c>
      <c r="O25" s="79" t="e">
        <f t="shared" si="24"/>
        <v>#DIV/0!</v>
      </c>
      <c r="P25" s="79" t="e">
        <f t="shared" si="24"/>
        <v>#DIV/0!</v>
      </c>
      <c r="Q25" s="79">
        <f t="shared" si="24"/>
        <v>0.59874237935649166</v>
      </c>
      <c r="R25" s="333">
        <f t="shared" si="24"/>
        <v>0.29104052523819868</v>
      </c>
      <c r="S25" s="334">
        <f t="shared" si="24"/>
        <v>0.38328777151223303</v>
      </c>
      <c r="T25" s="334">
        <f t="shared" si="24"/>
        <v>0.28671691811454131</v>
      </c>
      <c r="U25" s="334">
        <f t="shared" si="24"/>
        <v>0.5207167122284877</v>
      </c>
      <c r="V25" s="334">
        <f t="shared" si="24"/>
        <v>0.26310882271082664</v>
      </c>
      <c r="W25" s="334">
        <f t="shared" si="24"/>
        <v>0.43469245755635955</v>
      </c>
      <c r="X25" s="334">
        <f t="shared" si="24"/>
        <v>0.3775246917907063</v>
      </c>
      <c r="Y25" s="334">
        <f t="shared" si="24"/>
        <v>0.40532980795992202</v>
      </c>
      <c r="Z25" s="334">
        <f t="shared" si="24"/>
        <v>0.72861159167395484</v>
      </c>
      <c r="AA25" s="334">
        <f t="shared" si="24"/>
        <v>0.47584086870681142</v>
      </c>
      <c r="AB25" s="334">
        <f t="shared" si="24"/>
        <v>0.68450168898181485</v>
      </c>
      <c r="AC25" s="334">
        <f t="shared" si="24"/>
        <v>0.7516135491752608</v>
      </c>
      <c r="AD25" s="334">
        <f t="shared" si="24"/>
        <v>0.43124864754288844</v>
      </c>
      <c r="AE25" s="334">
        <f t="shared" si="24"/>
        <v>0.6381404927526918</v>
      </c>
      <c r="AF25" s="334">
        <f t="shared" si="24"/>
        <v>0.45682143190419483</v>
      </c>
      <c r="AG25" s="334">
        <f t="shared" si="24"/>
        <v>0.41657813681918487</v>
      </c>
      <c r="AH25" s="334">
        <f t="shared" si="24"/>
        <v>0.44721572026554468</v>
      </c>
      <c r="AI25" s="334">
        <f t="shared" si="24"/>
        <v>0.53630633522663629</v>
      </c>
      <c r="AJ25" s="334">
        <f t="shared" si="24"/>
        <v>0.46989519456312495</v>
      </c>
      <c r="AK25" s="334">
        <f>AK24/AK23</f>
        <v>0.47596328877952088</v>
      </c>
      <c r="AL25" s="334">
        <f>AL24/AL23</f>
        <v>0.50594763930725006</v>
      </c>
      <c r="AM25" s="334">
        <f>AM24/AM23</f>
        <v>0.51216754363517203</v>
      </c>
      <c r="AN25" s="334">
        <f>AN24/AN23</f>
        <v>0.53301253988587083</v>
      </c>
      <c r="AO25" s="334">
        <f>AO24/AO23</f>
        <v>0.52888056235254532</v>
      </c>
      <c r="AP25" s="689" t="s">
        <v>5</v>
      </c>
      <c r="AQ25" s="579" t="s">
        <v>3</v>
      </c>
      <c r="AR25" s="539" t="s">
        <v>362</v>
      </c>
      <c r="AS25" s="19"/>
      <c r="AT25" s="19"/>
      <c r="AU25" s="19"/>
      <c r="AV25" s="19"/>
    </row>
    <row r="26" spans="1:48" ht="15.75" thickBot="1">
      <c r="A26" s="457" t="s">
        <v>208</v>
      </c>
      <c r="B26" s="458"/>
      <c r="C26" s="459"/>
      <c r="D26" s="460"/>
      <c r="E26" s="19"/>
      <c r="F26" s="19"/>
      <c r="G26" s="187">
        <v>43678</v>
      </c>
      <c r="H26" s="187">
        <v>43698</v>
      </c>
      <c r="I26" s="19"/>
      <c r="J26" s="19"/>
      <c r="K26" s="19"/>
      <c r="L26" s="234">
        <f t="shared" ref="L26:Q26" si="25">L30/1000</f>
        <v>0</v>
      </c>
      <c r="M26" s="234">
        <f t="shared" si="25"/>
        <v>0</v>
      </c>
      <c r="N26" s="234">
        <f t="shared" si="25"/>
        <v>0</v>
      </c>
      <c r="O26" s="234">
        <f t="shared" si="25"/>
        <v>0</v>
      </c>
      <c r="P26" s="234">
        <f t="shared" si="25"/>
        <v>0</v>
      </c>
      <c r="Q26" s="234">
        <f t="shared" si="25"/>
        <v>0</v>
      </c>
      <c r="R26" s="234"/>
      <c r="S26" s="234"/>
      <c r="T26" s="234"/>
      <c r="U26" s="234"/>
      <c r="V26" s="234"/>
      <c r="W26" s="234"/>
      <c r="X26" s="234"/>
      <c r="Y26" s="234"/>
      <c r="Z26" s="234"/>
      <c r="AA26" s="234"/>
      <c r="AB26" s="234"/>
      <c r="AC26" s="234"/>
      <c r="AD26" s="234"/>
      <c r="AE26" s="234"/>
      <c r="AF26" s="234"/>
      <c r="AG26" s="234"/>
      <c r="AH26" s="234"/>
      <c r="AI26" s="234"/>
      <c r="AJ26" s="234"/>
      <c r="AK26" s="234"/>
      <c r="AL26" s="234"/>
      <c r="AM26" s="234"/>
      <c r="AN26" s="234"/>
      <c r="AO26" s="234"/>
      <c r="AP26" s="686"/>
      <c r="AQ26" s="686"/>
      <c r="AR26" s="19"/>
      <c r="AS26" s="19"/>
      <c r="AT26" s="19"/>
      <c r="AU26" s="19"/>
      <c r="AV26" s="19"/>
    </row>
    <row r="27" spans="1:48" s="55" customFormat="1" ht="15" thickBot="1">
      <c r="A27" s="850" t="s">
        <v>180</v>
      </c>
      <c r="B27" s="851"/>
      <c r="C27" s="461"/>
      <c r="D27" s="462"/>
      <c r="E27" s="57">
        <v>43587</v>
      </c>
      <c r="F27" s="58">
        <v>43618</v>
      </c>
      <c r="G27" s="58">
        <v>43648</v>
      </c>
      <c r="H27" s="58">
        <v>43679</v>
      </c>
      <c r="I27" s="197">
        <v>43710</v>
      </c>
      <c r="J27" s="197">
        <v>43740</v>
      </c>
      <c r="K27" s="58">
        <v>43771</v>
      </c>
      <c r="L27" s="222">
        <v>43801</v>
      </c>
      <c r="M27" s="197">
        <v>43832</v>
      </c>
      <c r="N27" s="197">
        <v>43863</v>
      </c>
      <c r="O27" s="58">
        <v>43892</v>
      </c>
      <c r="P27" s="58">
        <v>43923</v>
      </c>
      <c r="Q27" s="58">
        <v>43953</v>
      </c>
      <c r="R27" s="197">
        <v>43984</v>
      </c>
      <c r="S27" s="197">
        <v>44014</v>
      </c>
      <c r="T27" s="197">
        <v>44045</v>
      </c>
      <c r="U27" s="197">
        <v>44076</v>
      </c>
      <c r="V27" s="197">
        <v>44106</v>
      </c>
      <c r="W27" s="197">
        <v>44137</v>
      </c>
      <c r="X27" s="197">
        <v>44167</v>
      </c>
      <c r="Y27" s="197">
        <v>44198</v>
      </c>
      <c r="Z27" s="197">
        <f t="shared" ref="Z27:AL27" si="26">Z3</f>
        <v>44229</v>
      </c>
      <c r="AA27" s="197">
        <f t="shared" si="26"/>
        <v>44257</v>
      </c>
      <c r="AB27" s="197">
        <f t="shared" si="26"/>
        <v>44288</v>
      </c>
      <c r="AC27" s="197">
        <f t="shared" si="26"/>
        <v>44318</v>
      </c>
      <c r="AD27" s="197">
        <f t="shared" si="26"/>
        <v>44349</v>
      </c>
      <c r="AE27" s="197">
        <f t="shared" si="26"/>
        <v>44379</v>
      </c>
      <c r="AF27" s="197">
        <f t="shared" si="26"/>
        <v>44410</v>
      </c>
      <c r="AG27" s="197">
        <f t="shared" si="26"/>
        <v>44441</v>
      </c>
      <c r="AH27" s="197">
        <f t="shared" si="26"/>
        <v>44471</v>
      </c>
      <c r="AI27" s="197">
        <f t="shared" si="26"/>
        <v>44502</v>
      </c>
      <c r="AJ27" s="197">
        <f t="shared" si="26"/>
        <v>44532</v>
      </c>
      <c r="AK27" s="197">
        <f t="shared" si="26"/>
        <v>44563</v>
      </c>
      <c r="AL27" s="197">
        <f t="shared" si="26"/>
        <v>44594</v>
      </c>
      <c r="AM27" s="197">
        <f t="shared" ref="AM27:AN27" si="27">AM3</f>
        <v>44622</v>
      </c>
      <c r="AN27" s="197">
        <f t="shared" si="27"/>
        <v>44653</v>
      </c>
      <c r="AO27" s="197">
        <f t="shared" ref="AO27" si="28">AO3</f>
        <v>44683</v>
      </c>
      <c r="AP27" s="709"/>
      <c r="AQ27" s="709"/>
      <c r="AR27" s="19"/>
      <c r="AS27" s="54"/>
      <c r="AT27" s="54"/>
      <c r="AU27" s="54"/>
      <c r="AV27" s="54"/>
    </row>
    <row r="28" spans="1:48">
      <c r="A28" s="463" t="s">
        <v>92</v>
      </c>
      <c r="B28" s="464"/>
      <c r="C28" s="465"/>
      <c r="D28" s="466"/>
      <c r="E28" s="72"/>
      <c r="F28" s="69"/>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87"/>
      <c r="AQ28" s="687"/>
      <c r="AR28" s="19"/>
      <c r="AS28" s="19"/>
      <c r="AT28" s="19"/>
      <c r="AU28" s="19"/>
      <c r="AV28" s="19"/>
    </row>
    <row r="29" spans="1:48">
      <c r="A29" s="467" t="s">
        <v>209</v>
      </c>
      <c r="B29" s="458"/>
      <c r="C29" s="459"/>
      <c r="D29" s="468" t="s">
        <v>41</v>
      </c>
      <c r="E29" s="62"/>
      <c r="F29" s="62"/>
      <c r="G29" s="62"/>
      <c r="H29" s="63"/>
      <c r="I29" s="62"/>
      <c r="J29" s="63"/>
      <c r="K29" s="62"/>
      <c r="L29" s="62"/>
      <c r="M29" s="62"/>
      <c r="N29" s="62"/>
      <c r="O29" s="62"/>
      <c r="P29" s="62"/>
      <c r="Q29" s="62"/>
      <c r="R29" s="62"/>
      <c r="S29" s="62"/>
      <c r="T29" s="62"/>
      <c r="U29" s="62"/>
      <c r="V29" s="62"/>
      <c r="W29" s="62"/>
      <c r="X29" s="62"/>
      <c r="Y29" s="304">
        <v>11502</v>
      </c>
      <c r="Z29" s="304">
        <v>11502.000000000002</v>
      </c>
      <c r="AA29" s="304">
        <v>11502.000000000002</v>
      </c>
      <c r="AB29" s="304">
        <v>11502.000000000002</v>
      </c>
      <c r="AC29" s="304">
        <v>11502.000000000002</v>
      </c>
      <c r="AD29" s="304">
        <v>11502.000000000002</v>
      </c>
      <c r="AE29" s="304">
        <v>11502.000000000002</v>
      </c>
      <c r="AF29" s="304">
        <v>11502.000000000002</v>
      </c>
      <c r="AG29" s="304">
        <v>11502.000000000002</v>
      </c>
      <c r="AH29" s="304">
        <v>11502.000000000002</v>
      </c>
      <c r="AI29" s="304">
        <v>11502.000000000002</v>
      </c>
      <c r="AJ29" s="304">
        <v>11502.000000000002</v>
      </c>
      <c r="AK29" s="304">
        <v>11502.000000000002</v>
      </c>
      <c r="AL29" s="304">
        <v>11502.000000000002</v>
      </c>
      <c r="AM29" s="304">
        <v>11502.000000000002</v>
      </c>
      <c r="AN29" s="304">
        <v>11502.000000000002</v>
      </c>
      <c r="AO29" s="304">
        <v>11502.000000000002</v>
      </c>
      <c r="AP29" s="688" t="s">
        <v>159</v>
      </c>
      <c r="AQ29" s="579" t="s">
        <v>3</v>
      </c>
      <c r="AR29" s="538" t="s">
        <v>363</v>
      </c>
      <c r="AS29" s="19"/>
      <c r="AT29" s="19"/>
      <c r="AU29" s="19"/>
      <c r="AV29" s="19"/>
    </row>
    <row r="30" spans="1:48">
      <c r="A30" s="467" t="s">
        <v>210</v>
      </c>
      <c r="B30" s="458"/>
      <c r="C30" s="459"/>
      <c r="D30" s="468" t="s">
        <v>41</v>
      </c>
      <c r="E30" s="70"/>
      <c r="F30" s="70"/>
      <c r="G30" s="70"/>
      <c r="H30" s="70"/>
      <c r="I30" s="70"/>
      <c r="J30" s="70"/>
      <c r="K30" s="70"/>
      <c r="L30" s="70"/>
      <c r="M30" s="70"/>
      <c r="N30" s="70"/>
      <c r="O30" s="70"/>
      <c r="P30" s="70"/>
      <c r="Q30" s="70"/>
      <c r="R30" s="70"/>
      <c r="S30" s="70"/>
      <c r="T30" s="70"/>
      <c r="U30" s="70"/>
      <c r="V30" s="70"/>
      <c r="W30" s="70"/>
      <c r="X30" s="70"/>
      <c r="Y30" s="70">
        <v>3245.94</v>
      </c>
      <c r="Z30" s="70">
        <f>Y30-Z31+(Z57-Z100-Z103)*1000</f>
        <v>3358.3049839286928</v>
      </c>
      <c r="AA30" s="70">
        <v>4658.3424000000005</v>
      </c>
      <c r="AB30" s="70">
        <v>9310.68</v>
      </c>
      <c r="AC30" s="70">
        <f t="shared" ref="AC30:AN30" si="29">AB30-AC31+(AC57-AC100-AC103)*1000</f>
        <v>6676.0551615507484</v>
      </c>
      <c r="AD30" s="70">
        <f t="shared" si="29"/>
        <v>674.05516155075293</v>
      </c>
      <c r="AE30" s="70">
        <f t="shared" si="29"/>
        <v>-36521.94483844925</v>
      </c>
      <c r="AF30" s="70">
        <f t="shared" si="29"/>
        <v>-36234.94483844925</v>
      </c>
      <c r="AG30" s="70">
        <f t="shared" si="29"/>
        <v>-67441.944838449243</v>
      </c>
      <c r="AH30" s="70">
        <f t="shared" si="29"/>
        <v>-117217.94483844924</v>
      </c>
      <c r="AI30" s="70">
        <f t="shared" si="29"/>
        <v>-134554.92044820535</v>
      </c>
      <c r="AJ30" s="70">
        <f t="shared" si="29"/>
        <v>-138732.94483844924</v>
      </c>
      <c r="AK30" s="70">
        <f t="shared" si="29"/>
        <v>-149171.96922869314</v>
      </c>
      <c r="AL30" s="70">
        <f t="shared" si="29"/>
        <v>-160342.70093601022</v>
      </c>
      <c r="AM30" s="70">
        <f t="shared" si="29"/>
        <v>-170781.72532625412</v>
      </c>
      <c r="AN30" s="70">
        <f t="shared" si="29"/>
        <v>-181464.6521555224</v>
      </c>
      <c r="AO30" s="70">
        <f>AN30-AO31+(AO57-AO100-AO103)*1000</f>
        <v>-191903.6765457663</v>
      </c>
      <c r="AP30" s="710" t="s">
        <v>184</v>
      </c>
      <c r="AQ30" s="579" t="s">
        <v>3</v>
      </c>
      <c r="AR30" s="538" t="s">
        <v>364</v>
      </c>
      <c r="AS30" s="19"/>
      <c r="AT30" s="19"/>
      <c r="AU30" s="19"/>
      <c r="AV30" s="19"/>
    </row>
    <row r="31" spans="1:48">
      <c r="A31" s="467" t="s">
        <v>211</v>
      </c>
      <c r="B31" s="458"/>
      <c r="C31" s="459"/>
      <c r="D31" s="468"/>
      <c r="E31" s="70"/>
      <c r="F31" s="70"/>
      <c r="G31" s="70"/>
      <c r="H31" s="70"/>
      <c r="I31" s="70"/>
      <c r="J31" s="70"/>
      <c r="K31" s="70"/>
      <c r="L31" s="70"/>
      <c r="M31" s="70"/>
      <c r="N31" s="70"/>
      <c r="O31" s="70"/>
      <c r="P31" s="70"/>
      <c r="Q31" s="70"/>
      <c r="R31" s="70"/>
      <c r="S31" s="70"/>
      <c r="T31" s="70"/>
      <c r="U31" s="70"/>
      <c r="V31" s="70"/>
      <c r="W31" s="70"/>
      <c r="X31" s="70"/>
      <c r="Y31" s="70"/>
      <c r="Z31" s="70">
        <v>1000</v>
      </c>
      <c r="AA31" s="70">
        <v>6000</v>
      </c>
      <c r="AB31" s="70">
        <v>5000</v>
      </c>
      <c r="AC31" s="70">
        <v>1000</v>
      </c>
      <c r="AD31" s="70">
        <v>1000</v>
      </c>
      <c r="AE31" s="70">
        <v>1000</v>
      </c>
      <c r="AF31" s="70">
        <v>1000</v>
      </c>
      <c r="AG31" s="70">
        <v>15000</v>
      </c>
      <c r="AH31" s="70">
        <v>15000</v>
      </c>
      <c r="AI31" s="70">
        <v>15000</v>
      </c>
      <c r="AJ31" s="70">
        <v>15000</v>
      </c>
      <c r="AK31" s="70">
        <v>15000</v>
      </c>
      <c r="AL31" s="70">
        <v>15000</v>
      </c>
      <c r="AM31" s="70">
        <v>15000</v>
      </c>
      <c r="AN31" s="70">
        <v>15000</v>
      </c>
      <c r="AO31" s="70">
        <v>15000</v>
      </c>
      <c r="AP31" s="710" t="s">
        <v>83</v>
      </c>
      <c r="AQ31" s="579" t="s">
        <v>3</v>
      </c>
      <c r="AR31" s="19" t="s">
        <v>365</v>
      </c>
      <c r="AS31" s="19"/>
      <c r="AT31" s="19"/>
      <c r="AU31" s="19"/>
      <c r="AV31" s="19"/>
    </row>
    <row r="32" spans="1:48" ht="15" thickBot="1">
      <c r="A32" s="469" t="s">
        <v>213</v>
      </c>
      <c r="B32" s="470"/>
      <c r="C32" s="471"/>
      <c r="D32" s="472" t="s">
        <v>187</v>
      </c>
      <c r="E32" s="79"/>
      <c r="F32" s="79"/>
      <c r="G32" s="79"/>
      <c r="H32" s="79"/>
      <c r="I32" s="79"/>
      <c r="J32" s="79"/>
      <c r="K32" s="79"/>
      <c r="L32" s="79"/>
      <c r="M32" s="79"/>
      <c r="N32" s="79"/>
      <c r="O32" s="79"/>
      <c r="P32" s="79"/>
      <c r="Q32" s="79"/>
      <c r="R32" s="79"/>
      <c r="S32" s="79"/>
      <c r="T32" s="79"/>
      <c r="U32" s="79"/>
      <c r="V32" s="79"/>
      <c r="W32" s="79"/>
      <c r="X32" s="79"/>
      <c r="Y32" s="79"/>
      <c r="Z32" s="453">
        <f t="shared" ref="Z32:AJ32" si="30">Z30/Z29</f>
        <v>0.29197574195172077</v>
      </c>
      <c r="AA32" s="453">
        <f t="shared" si="30"/>
        <v>0.40500281690140844</v>
      </c>
      <c r="AB32" s="453">
        <f t="shared" si="30"/>
        <v>0.80948356807511723</v>
      </c>
      <c r="AC32" s="453">
        <f t="shared" si="30"/>
        <v>0.58042559220576828</v>
      </c>
      <c r="AD32" s="453">
        <f t="shared" si="30"/>
        <v>5.8603300430425387E-2</v>
      </c>
      <c r="AE32" s="453">
        <f t="shared" si="30"/>
        <v>-3.1752690695921792</v>
      </c>
      <c r="AF32" s="453">
        <f t="shared" si="30"/>
        <v>-3.1503168873630014</v>
      </c>
      <c r="AG32" s="453">
        <f t="shared" si="30"/>
        <v>-5.8634972038297022</v>
      </c>
      <c r="AH32" s="453">
        <f t="shared" si="30"/>
        <v>-10.191092404664339</v>
      </c>
      <c r="AI32" s="453">
        <f t="shared" si="30"/>
        <v>-11.698393361867964</v>
      </c>
      <c r="AJ32" s="453">
        <f t="shared" si="30"/>
        <v>-12.061636657837699</v>
      </c>
      <c r="AK32" s="453">
        <f>AK30/AK29</f>
        <v>-12.969220068570085</v>
      </c>
      <c r="AL32" s="453">
        <f>AL30/AL29</f>
        <v>-13.940419138933246</v>
      </c>
      <c r="AM32" s="453">
        <f>AM30/AM29</f>
        <v>-14.848002549665631</v>
      </c>
      <c r="AN32" s="453">
        <f>AN30/AN29</f>
        <v>-15.776791180274941</v>
      </c>
      <c r="AO32" s="453">
        <f>AO30/AO29</f>
        <v>-16.684374591007327</v>
      </c>
      <c r="AP32" s="689" t="s">
        <v>5</v>
      </c>
      <c r="AQ32" s="579" t="s">
        <v>3</v>
      </c>
      <c r="AR32" s="538" t="s">
        <v>366</v>
      </c>
      <c r="AS32" s="19"/>
      <c r="AT32" s="19"/>
      <c r="AU32" s="19"/>
      <c r="AV32" s="19"/>
    </row>
    <row r="33" spans="1:48" ht="15.75" thickBot="1">
      <c r="A33" s="457" t="s">
        <v>214</v>
      </c>
      <c r="B33" s="458"/>
      <c r="C33" s="459"/>
      <c r="D33" s="460"/>
      <c r="E33" s="19"/>
      <c r="F33" s="19"/>
      <c r="G33" s="187">
        <v>43678</v>
      </c>
      <c r="H33" s="187">
        <v>43698</v>
      </c>
      <c r="I33" s="19"/>
      <c r="J33" s="19"/>
      <c r="K33" s="19"/>
      <c r="L33" s="234">
        <f t="shared" ref="L33:Q33" si="31">L37/1000</f>
        <v>0</v>
      </c>
      <c r="M33" s="234">
        <f t="shared" si="31"/>
        <v>0</v>
      </c>
      <c r="N33" s="234">
        <f t="shared" si="31"/>
        <v>0</v>
      </c>
      <c r="O33" s="234">
        <f t="shared" si="31"/>
        <v>0</v>
      </c>
      <c r="P33" s="234">
        <f t="shared" si="31"/>
        <v>0</v>
      </c>
      <c r="Q33" s="234">
        <f t="shared" si="31"/>
        <v>0</v>
      </c>
      <c r="R33" s="234"/>
      <c r="S33" s="234"/>
      <c r="T33" s="234"/>
      <c r="U33" s="234"/>
      <c r="V33" s="234"/>
      <c r="W33" s="234"/>
      <c r="X33" s="234"/>
      <c r="Y33" s="234"/>
      <c r="Z33" s="234"/>
      <c r="AA33" s="234"/>
      <c r="AB33" s="234"/>
      <c r="AC33" s="234"/>
      <c r="AD33" s="234"/>
      <c r="AE33" s="234"/>
      <c r="AF33" s="234"/>
      <c r="AG33" s="234"/>
      <c r="AH33" s="234"/>
      <c r="AI33" s="234"/>
      <c r="AJ33" s="234"/>
      <c r="AK33" s="234"/>
      <c r="AL33" s="234"/>
      <c r="AM33" s="234"/>
      <c r="AN33" s="234"/>
      <c r="AO33" s="234"/>
      <c r="AP33" s="686"/>
      <c r="AQ33" s="686"/>
      <c r="AR33" s="19"/>
      <c r="AS33" s="19"/>
      <c r="AT33" s="19"/>
      <c r="AU33" s="19"/>
      <c r="AV33" s="19"/>
    </row>
    <row r="34" spans="1:48" s="55" customFormat="1" ht="15" thickBot="1">
      <c r="A34" s="850" t="s">
        <v>180</v>
      </c>
      <c r="B34" s="851"/>
      <c r="C34" s="461"/>
      <c r="D34" s="462"/>
      <c r="E34" s="57">
        <v>43587</v>
      </c>
      <c r="F34" s="58">
        <v>43618</v>
      </c>
      <c r="G34" s="58">
        <v>43648</v>
      </c>
      <c r="H34" s="58">
        <v>43679</v>
      </c>
      <c r="I34" s="197">
        <v>43710</v>
      </c>
      <c r="J34" s="197">
        <v>43740</v>
      </c>
      <c r="K34" s="58">
        <v>43771</v>
      </c>
      <c r="L34" s="222">
        <v>43801</v>
      </c>
      <c r="M34" s="197">
        <v>43832</v>
      </c>
      <c r="N34" s="197">
        <v>43863</v>
      </c>
      <c r="O34" s="58">
        <v>43892</v>
      </c>
      <c r="P34" s="58">
        <v>43923</v>
      </c>
      <c r="Q34" s="58">
        <v>43953</v>
      </c>
      <c r="R34" s="197">
        <v>43984</v>
      </c>
      <c r="S34" s="197">
        <v>44014</v>
      </c>
      <c r="T34" s="197">
        <v>44045</v>
      </c>
      <c r="U34" s="197">
        <v>44076</v>
      </c>
      <c r="V34" s="197">
        <v>44106</v>
      </c>
      <c r="W34" s="197">
        <v>44137</v>
      </c>
      <c r="X34" s="197">
        <v>44167</v>
      </c>
      <c r="Y34" s="197">
        <v>44198</v>
      </c>
      <c r="Z34" s="197">
        <f t="shared" ref="Z34:AL34" si="32">Z3</f>
        <v>44229</v>
      </c>
      <c r="AA34" s="197">
        <f t="shared" si="32"/>
        <v>44257</v>
      </c>
      <c r="AB34" s="197">
        <f t="shared" si="32"/>
        <v>44288</v>
      </c>
      <c r="AC34" s="197">
        <f t="shared" si="32"/>
        <v>44318</v>
      </c>
      <c r="AD34" s="197">
        <f t="shared" si="32"/>
        <v>44349</v>
      </c>
      <c r="AE34" s="197">
        <f t="shared" si="32"/>
        <v>44379</v>
      </c>
      <c r="AF34" s="197">
        <f t="shared" si="32"/>
        <v>44410</v>
      </c>
      <c r="AG34" s="197">
        <f t="shared" si="32"/>
        <v>44441</v>
      </c>
      <c r="AH34" s="197">
        <f t="shared" si="32"/>
        <v>44471</v>
      </c>
      <c r="AI34" s="197">
        <f t="shared" si="32"/>
        <v>44502</v>
      </c>
      <c r="AJ34" s="197">
        <f t="shared" si="32"/>
        <v>44532</v>
      </c>
      <c r="AK34" s="197">
        <f t="shared" si="32"/>
        <v>44563</v>
      </c>
      <c r="AL34" s="197">
        <f t="shared" si="32"/>
        <v>44594</v>
      </c>
      <c r="AM34" s="197">
        <f t="shared" ref="AM34:AN34" si="33">AM3</f>
        <v>44622</v>
      </c>
      <c r="AN34" s="197">
        <f t="shared" si="33"/>
        <v>44653</v>
      </c>
      <c r="AO34" s="197">
        <f t="shared" ref="AO34" si="34">AO3</f>
        <v>44683</v>
      </c>
      <c r="AP34" s="709"/>
      <c r="AQ34" s="709"/>
      <c r="AR34" s="19"/>
      <c r="AS34" s="54"/>
      <c r="AT34" s="54"/>
      <c r="AU34" s="54"/>
      <c r="AV34" s="54"/>
    </row>
    <row r="35" spans="1:48">
      <c r="A35" s="463" t="s">
        <v>92</v>
      </c>
      <c r="B35" s="464"/>
      <c r="C35" s="465"/>
      <c r="D35" s="466"/>
      <c r="E35" s="72"/>
      <c r="F35" s="69"/>
      <c r="G35" s="69"/>
      <c r="H35" s="69"/>
      <c r="I35" s="69"/>
      <c r="J35" s="69"/>
      <c r="K35" s="69"/>
      <c r="L35" s="69"/>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87"/>
      <c r="AQ35" s="687"/>
      <c r="AR35" s="19"/>
      <c r="AS35" s="19"/>
      <c r="AT35" s="19"/>
      <c r="AU35" s="19"/>
      <c r="AV35" s="19"/>
    </row>
    <row r="36" spans="1:48">
      <c r="A36" s="467" t="s">
        <v>215</v>
      </c>
      <c r="B36" s="458"/>
      <c r="C36" s="459"/>
      <c r="D36" s="468" t="s">
        <v>41</v>
      </c>
      <c r="E36" s="62"/>
      <c r="F36" s="62"/>
      <c r="G36" s="62"/>
      <c r="H36" s="63"/>
      <c r="I36" s="62"/>
      <c r="J36" s="63"/>
      <c r="K36" s="62"/>
      <c r="L36" s="62"/>
      <c r="M36" s="62"/>
      <c r="N36" s="62"/>
      <c r="O36" s="62"/>
      <c r="P36" s="62"/>
      <c r="Q36" s="62"/>
      <c r="R36" s="62"/>
      <c r="S36" s="62"/>
      <c r="T36" s="62"/>
      <c r="U36" s="62"/>
      <c r="V36" s="62"/>
      <c r="W36" s="62"/>
      <c r="X36" s="62"/>
      <c r="Y36" s="62">
        <v>27302.400000000005</v>
      </c>
      <c r="Z36" s="232">
        <v>23468.400000000001</v>
      </c>
      <c r="AA36" s="232">
        <v>21319.200000000004</v>
      </c>
      <c r="AB36" s="304">
        <v>25153.22</v>
      </c>
      <c r="AC36" s="232">
        <v>25153.22</v>
      </c>
      <c r="AD36" s="232">
        <v>21319.200000000004</v>
      </c>
      <c r="AE36" s="232">
        <v>21319.200000000004</v>
      </c>
      <c r="AF36" s="304">
        <v>25153.200000000004</v>
      </c>
      <c r="AG36" s="304">
        <v>25153.200000000004</v>
      </c>
      <c r="AH36" s="232">
        <v>21319.200000000004</v>
      </c>
      <c r="AI36" s="232">
        <v>21319.200000000004</v>
      </c>
      <c r="AJ36" s="304">
        <v>25153.200000000004</v>
      </c>
      <c r="AK36" s="304">
        <v>25153.200000000004</v>
      </c>
      <c r="AL36" s="304">
        <v>25153.200000000004</v>
      </c>
      <c r="AM36" s="304">
        <v>25153.200000000004</v>
      </c>
      <c r="AN36" s="304">
        <v>25153.200000000004</v>
      </c>
      <c r="AO36" s="304">
        <v>25153.200000000004</v>
      </c>
      <c r="AP36" s="688" t="s">
        <v>159</v>
      </c>
      <c r="AQ36" s="579" t="s">
        <v>3</v>
      </c>
      <c r="AR36" s="538" t="s">
        <v>367</v>
      </c>
      <c r="AS36" s="19"/>
      <c r="AT36" s="19"/>
      <c r="AU36" s="19"/>
      <c r="AV36" s="19"/>
    </row>
    <row r="37" spans="1:48">
      <c r="A37" s="467" t="s">
        <v>216</v>
      </c>
      <c r="B37" s="458"/>
      <c r="C37" s="459"/>
      <c r="D37" s="468" t="s">
        <v>41</v>
      </c>
      <c r="E37" s="70"/>
      <c r="F37" s="70"/>
      <c r="G37" s="70"/>
      <c r="H37" s="70"/>
      <c r="I37" s="70"/>
      <c r="J37" s="70"/>
      <c r="K37" s="70"/>
      <c r="L37" s="70"/>
      <c r="M37" s="70"/>
      <c r="N37" s="70"/>
      <c r="O37" s="70"/>
      <c r="P37" s="70"/>
      <c r="Q37" s="70"/>
      <c r="R37" s="70"/>
      <c r="S37" s="70"/>
      <c r="T37" s="70"/>
      <c r="U37" s="70"/>
      <c r="V37" s="70"/>
      <c r="W37" s="70"/>
      <c r="X37" s="70"/>
      <c r="Y37" s="70">
        <v>12482.64</v>
      </c>
      <c r="Z37" s="70">
        <f>Y37+Z17+Z31+((Z58+Z61+Z8-Z9+Z10-Z108-Z109-Z110-Z111-Z112-Z113-Z114-Z115-Z116-Z117-Z118-Z119-Z120-Z121-Z122-Z123-Z124-Z125-Z126-Z127-Z128-Z129-Z130-Z131-Z132-Z133-Z137-Z138-Z139-Z140-Z141-Z142-Z143-Z144-Z145-Z146-Z147-Z148-Z149-Z150-Z151-Z152-Z153)*1000)</f>
        <v>22121.533821546196</v>
      </c>
      <c r="AA37" s="70">
        <v>10959.325920000001</v>
      </c>
      <c r="AB37" s="70">
        <v>15779.880000000001</v>
      </c>
      <c r="AC37" s="70">
        <f t="shared" ref="AC37:AN37" si="35">AB37+AC17+AC31+((AC58+AC61+AC8-AC9+AC10-AC108-AC109-AC110-AC111-AC112-AC113-AC114-AC115-AC116-AC117-AC118-AC119-AC120-AC121-AC122-AC123-AC124-AC125-AC126-AC127-AC128-AC129-AC130-AC131-AC132-AC133-AC137-AC138-AC139-AC140-AC141-AC142-AC143-AC144-AC145-AC146-AC147-AC148-AC149-AC150-AC151-AC152-AC153)*1000)</f>
        <v>14727.790910682619</v>
      </c>
      <c r="AD37" s="70">
        <f t="shared" si="35"/>
        <v>7333.3290214172157</v>
      </c>
      <c r="AE37" s="70">
        <f t="shared" si="35"/>
        <v>51319.76765141722</v>
      </c>
      <c r="AF37" s="70">
        <f t="shared" si="35"/>
        <v>46833.111861417237</v>
      </c>
      <c r="AG37" s="70">
        <f t="shared" si="35"/>
        <v>76564.985831417231</v>
      </c>
      <c r="AH37" s="70">
        <f t="shared" si="35"/>
        <v>125749.38750866214</v>
      </c>
      <c r="AI37" s="70">
        <f t="shared" si="35"/>
        <v>146010.42401017921</v>
      </c>
      <c r="AJ37" s="70">
        <f t="shared" si="35"/>
        <v>149810.33324643286</v>
      </c>
      <c r="AK37" s="70">
        <f t="shared" si="35"/>
        <v>160471.78484379762</v>
      </c>
      <c r="AL37" s="70">
        <f t="shared" si="35"/>
        <v>172741.59891657875</v>
      </c>
      <c r="AM37" s="70">
        <f t="shared" si="35"/>
        <v>183408.61514394352</v>
      </c>
      <c r="AN37" s="70">
        <f t="shared" si="35"/>
        <v>194855.61947978041</v>
      </c>
      <c r="AO37" s="70">
        <f>AN37+AO17+AO31+((AO58+AO61+AO8-AO9+AO10-AO108-AO109-AO110-AO111-AO112-AO113-AO114-AO115-AO116-AO117-AO118-AO119-AO120-AO121-AO122-AO123-AO124-AO125-AO126-AO127-AO128-AO129-AO130-AO131-AO132-AO133-AO137-AO138-AO139-AO140-AO141-AO142-AO143-AO144-AO145-AO146-AO147-AO148-AO149-AO150-AO151-AO152-AO153)*1000)</f>
        <v>205143.18540714518</v>
      </c>
      <c r="AP37" s="710" t="s">
        <v>184</v>
      </c>
      <c r="AQ37" s="579" t="s">
        <v>3</v>
      </c>
      <c r="AR37" s="538" t="s">
        <v>368</v>
      </c>
      <c r="AS37" s="19"/>
      <c r="AT37" s="19"/>
      <c r="AU37" s="19"/>
      <c r="AV37" s="19"/>
    </row>
    <row r="38" spans="1:48" ht="15" thickBot="1">
      <c r="A38" s="469" t="s">
        <v>217</v>
      </c>
      <c r="B38" s="470"/>
      <c r="C38" s="471"/>
      <c r="D38" s="472" t="s">
        <v>187</v>
      </c>
      <c r="E38" s="79"/>
      <c r="F38" s="79"/>
      <c r="G38" s="79"/>
      <c r="H38" s="79"/>
      <c r="I38" s="79"/>
      <c r="J38" s="79"/>
      <c r="K38" s="79"/>
      <c r="L38" s="79"/>
      <c r="M38" s="79"/>
      <c r="N38" s="79"/>
      <c r="O38" s="79"/>
      <c r="P38" s="79"/>
      <c r="Q38" s="79"/>
      <c r="R38" s="79"/>
      <c r="S38" s="79"/>
      <c r="T38" s="79"/>
      <c r="U38" s="79"/>
      <c r="V38" s="79"/>
      <c r="W38" s="79"/>
      <c r="X38" s="79"/>
      <c r="Y38" s="79"/>
      <c r="Z38" s="334">
        <f t="shared" ref="Z38:AJ38" si="36">Z37/Z36</f>
        <v>0.94260937352125385</v>
      </c>
      <c r="AA38" s="334">
        <f t="shared" si="36"/>
        <v>0.51405896656534944</v>
      </c>
      <c r="AB38" s="334">
        <f t="shared" si="36"/>
        <v>0.6273502955088851</v>
      </c>
      <c r="AC38" s="334">
        <f t="shared" si="36"/>
        <v>0.58552308255891761</v>
      </c>
      <c r="AD38" s="334">
        <f t="shared" si="36"/>
        <v>0.34397768309398169</v>
      </c>
      <c r="AE38" s="334">
        <f t="shared" si="36"/>
        <v>2.4072088845461934</v>
      </c>
      <c r="AF38" s="334">
        <f t="shared" si="36"/>
        <v>1.8619146614115591</v>
      </c>
      <c r="AG38" s="334">
        <f t="shared" si="36"/>
        <v>3.043946131363692</v>
      </c>
      <c r="AH38" s="334">
        <f t="shared" si="36"/>
        <v>5.8984102362500526</v>
      </c>
      <c r="AI38" s="334">
        <f t="shared" si="36"/>
        <v>6.8487759395370924</v>
      </c>
      <c r="AJ38" s="334">
        <f t="shared" si="36"/>
        <v>5.9559154797971168</v>
      </c>
      <c r="AK38" s="334">
        <f>AK37/AK36</f>
        <v>6.3797761256538967</v>
      </c>
      <c r="AL38" s="334">
        <f>AL37/AL36</f>
        <v>6.8675794299166197</v>
      </c>
      <c r="AM38" s="334">
        <f>AM37/AM36</f>
        <v>7.29166130527899</v>
      </c>
      <c r="AN38" s="334">
        <f>AN37/AN36</f>
        <v>7.7467526787756773</v>
      </c>
      <c r="AO38" s="334">
        <f>AO37/AO36</f>
        <v>8.1557489864965547</v>
      </c>
      <c r="AP38" s="689" t="s">
        <v>5</v>
      </c>
      <c r="AQ38" s="579" t="s">
        <v>3</v>
      </c>
      <c r="AR38" s="538" t="s">
        <v>369</v>
      </c>
      <c r="AS38" s="19"/>
      <c r="AT38" s="19"/>
      <c r="AU38" s="19"/>
      <c r="AV38" s="19"/>
    </row>
    <row r="39" spans="1:48" s="19" customFormat="1" ht="22.5">
      <c r="A39" s="25" t="s">
        <v>218</v>
      </c>
      <c r="B39" s="18"/>
      <c r="AP39" s="693"/>
      <c r="AQ39" s="693"/>
    </row>
    <row r="40" spans="1:48" s="19" customFormat="1" ht="15" thickBot="1">
      <c r="A40" s="26" t="s">
        <v>219</v>
      </c>
      <c r="B40" s="18"/>
      <c r="AP40" s="693"/>
      <c r="AQ40" s="693"/>
    </row>
    <row r="41" spans="1:48" s="55" customFormat="1" ht="15" thickBot="1">
      <c r="A41" s="861" t="s">
        <v>180</v>
      </c>
      <c r="B41" s="855"/>
      <c r="C41" s="855" t="s">
        <v>220</v>
      </c>
      <c r="D41" s="856"/>
      <c r="E41" s="58">
        <f t="shared" ref="E41:AL41" si="37">E3</f>
        <v>43587</v>
      </c>
      <c r="F41" s="58">
        <f t="shared" si="37"/>
        <v>43618</v>
      </c>
      <c r="G41" s="58">
        <f t="shared" si="37"/>
        <v>43648</v>
      </c>
      <c r="H41" s="58">
        <f t="shared" si="37"/>
        <v>43679</v>
      </c>
      <c r="I41" s="58">
        <f t="shared" si="37"/>
        <v>43710</v>
      </c>
      <c r="J41" s="58">
        <f t="shared" si="37"/>
        <v>43740</v>
      </c>
      <c r="K41" s="58">
        <f t="shared" si="37"/>
        <v>43771</v>
      </c>
      <c r="L41" s="58">
        <f t="shared" si="37"/>
        <v>43801</v>
      </c>
      <c r="M41" s="58">
        <f t="shared" si="37"/>
        <v>43832</v>
      </c>
      <c r="N41" s="58">
        <f t="shared" si="37"/>
        <v>43863</v>
      </c>
      <c r="O41" s="58">
        <f t="shared" si="37"/>
        <v>43892</v>
      </c>
      <c r="P41" s="58">
        <f t="shared" si="37"/>
        <v>43923</v>
      </c>
      <c r="Q41" s="58">
        <f t="shared" si="37"/>
        <v>43953</v>
      </c>
      <c r="R41" s="58">
        <f t="shared" si="37"/>
        <v>43984</v>
      </c>
      <c r="S41" s="58">
        <f t="shared" si="37"/>
        <v>44014</v>
      </c>
      <c r="T41" s="58">
        <f t="shared" si="37"/>
        <v>44045</v>
      </c>
      <c r="U41" s="58">
        <f t="shared" si="37"/>
        <v>44076</v>
      </c>
      <c r="V41" s="58">
        <f t="shared" si="37"/>
        <v>44106</v>
      </c>
      <c r="W41" s="58">
        <f t="shared" si="37"/>
        <v>44137</v>
      </c>
      <c r="X41" s="58">
        <f t="shared" si="37"/>
        <v>44167</v>
      </c>
      <c r="Y41" s="58">
        <f t="shared" si="37"/>
        <v>44198</v>
      </c>
      <c r="Z41" s="58">
        <f t="shared" si="37"/>
        <v>44229</v>
      </c>
      <c r="AA41" s="58">
        <f t="shared" si="37"/>
        <v>44257</v>
      </c>
      <c r="AB41" s="58">
        <f t="shared" si="37"/>
        <v>44288</v>
      </c>
      <c r="AC41" s="58">
        <f t="shared" si="37"/>
        <v>44318</v>
      </c>
      <c r="AD41" s="58">
        <f t="shared" si="37"/>
        <v>44349</v>
      </c>
      <c r="AE41" s="58">
        <f t="shared" si="37"/>
        <v>44379</v>
      </c>
      <c r="AF41" s="58">
        <f t="shared" si="37"/>
        <v>44410</v>
      </c>
      <c r="AG41" s="58">
        <f t="shared" si="37"/>
        <v>44441</v>
      </c>
      <c r="AH41" s="58">
        <f t="shared" si="37"/>
        <v>44471</v>
      </c>
      <c r="AI41" s="58">
        <f t="shared" si="37"/>
        <v>44502</v>
      </c>
      <c r="AJ41" s="58">
        <f t="shared" si="37"/>
        <v>44532</v>
      </c>
      <c r="AK41" s="58">
        <f t="shared" si="37"/>
        <v>44563</v>
      </c>
      <c r="AL41" s="58">
        <f t="shared" si="37"/>
        <v>44594</v>
      </c>
      <c r="AM41" s="58">
        <f t="shared" ref="AM41:AN41" si="38">AM3</f>
        <v>44622</v>
      </c>
      <c r="AN41" s="58">
        <f t="shared" si="38"/>
        <v>44653</v>
      </c>
      <c r="AO41" s="58">
        <f t="shared" ref="AO41" si="39">AO3</f>
        <v>44683</v>
      </c>
      <c r="AP41" s="709"/>
      <c r="AQ41" s="579" t="s">
        <v>3</v>
      </c>
      <c r="AR41" s="712" t="s">
        <v>221</v>
      </c>
      <c r="AS41" s="54"/>
      <c r="AT41" s="54"/>
      <c r="AU41" s="54"/>
      <c r="AV41" s="54"/>
    </row>
    <row r="42" spans="1:48" s="55" customFormat="1">
      <c r="A42" s="16" t="s">
        <v>222</v>
      </c>
      <c r="B42" s="27"/>
      <c r="C42" s="857" t="s">
        <v>370</v>
      </c>
      <c r="D42" s="858"/>
      <c r="E42" s="305"/>
      <c r="F42" s="305"/>
      <c r="G42" s="305"/>
      <c r="H42" s="305"/>
      <c r="I42" s="305"/>
      <c r="J42" s="305"/>
      <c r="K42" s="305"/>
      <c r="L42" s="305"/>
      <c r="M42" s="305"/>
      <c r="N42" s="305"/>
      <c r="O42" s="305"/>
      <c r="P42" s="305"/>
      <c r="Q42" s="621"/>
      <c r="R42" s="622">
        <v>70.534090909090878</v>
      </c>
      <c r="S42" s="622">
        <v>73.725999999999999</v>
      </c>
      <c r="T42" s="622">
        <v>79.739999999999995</v>
      </c>
      <c r="U42" s="622">
        <v>75.221000000000004</v>
      </c>
      <c r="V42" s="622">
        <v>84.823999999999998</v>
      </c>
      <c r="W42" s="622">
        <v>81.861999999999995</v>
      </c>
      <c r="X42" s="622">
        <v>79.42</v>
      </c>
      <c r="Y42" s="622">
        <v>93.733999999999995</v>
      </c>
      <c r="Z42" s="622">
        <v>82.968179950302002</v>
      </c>
      <c r="AA42" s="622">
        <v>96.633323189846323</v>
      </c>
      <c r="AB42" s="503">
        <v>92.405205902591902</v>
      </c>
      <c r="AC42" s="622">
        <v>95</v>
      </c>
      <c r="AD42" s="622">
        <v>94.14</v>
      </c>
      <c r="AE42" s="622">
        <v>52.351963636363635</v>
      </c>
      <c r="AF42" s="622">
        <v>97.277999999999992</v>
      </c>
      <c r="AG42" s="622">
        <v>90.43</v>
      </c>
      <c r="AH42" s="622">
        <v>82.229233194009041</v>
      </c>
      <c r="AI42" s="622">
        <v>91.593115426765593</v>
      </c>
      <c r="AJ42" s="622">
        <v>93.892536959162683</v>
      </c>
      <c r="AK42" s="622">
        <v>93.892536959162683</v>
      </c>
      <c r="AL42" s="622">
        <v>84.806162414727595</v>
      </c>
      <c r="AM42" s="622">
        <v>93.892536959162683</v>
      </c>
      <c r="AN42" s="622">
        <v>90.863745444350997</v>
      </c>
      <c r="AO42" s="622">
        <v>90.863745444350997</v>
      </c>
      <c r="AP42" s="688" t="s">
        <v>159</v>
      </c>
      <c r="AQ42" s="579" t="s">
        <v>3</v>
      </c>
      <c r="AR42" s="54"/>
      <c r="AS42" s="54"/>
      <c r="AT42" s="54"/>
      <c r="AU42" s="54"/>
      <c r="AV42" s="54"/>
    </row>
    <row r="43" spans="1:48" s="55" customFormat="1">
      <c r="A43" s="28" t="s">
        <v>224</v>
      </c>
      <c r="B43" s="3"/>
      <c r="C43" s="859" t="s">
        <v>370</v>
      </c>
      <c r="D43" s="860"/>
      <c r="E43" s="305"/>
      <c r="F43" s="305"/>
      <c r="G43" s="305"/>
      <c r="H43" s="305"/>
      <c r="I43" s="305"/>
      <c r="J43" s="305"/>
      <c r="K43" s="305"/>
      <c r="L43" s="305"/>
      <c r="M43" s="305"/>
      <c r="N43" s="305"/>
      <c r="O43" s="305"/>
      <c r="P43" s="305"/>
      <c r="Q43" s="621"/>
      <c r="R43" s="622">
        <v>169.55890909090911</v>
      </c>
      <c r="S43" s="622">
        <f>S46-S42</f>
        <v>177.61747858181801</v>
      </c>
      <c r="T43" s="622">
        <v>191.2</v>
      </c>
      <c r="U43" s="622">
        <v>200.779</v>
      </c>
      <c r="V43" s="622">
        <v>203.572</v>
      </c>
      <c r="W43" s="622">
        <v>170.31</v>
      </c>
      <c r="X43" s="622">
        <v>158.72500000000002</v>
      </c>
      <c r="Y43" s="622">
        <v>183.55100000000004</v>
      </c>
      <c r="Z43" s="622">
        <v>163.03182004969801</v>
      </c>
      <c r="AA43" s="622">
        <v>188.8815558949461</v>
      </c>
      <c r="AB43" s="622">
        <v>183.15295573005574</v>
      </c>
      <c r="AC43" s="622">
        <v>192.15300000000002</v>
      </c>
      <c r="AD43" s="622">
        <v>183.41724537132683</v>
      </c>
      <c r="AE43" s="622">
        <v>157.42153636363639</v>
      </c>
      <c r="AF43" s="622">
        <v>196.292</v>
      </c>
      <c r="AG43" s="622">
        <v>181.51999999999998</v>
      </c>
      <c r="AH43" s="622">
        <v>173.11555520724488</v>
      </c>
      <c r="AI43" s="622">
        <v>188.64144570176094</v>
      </c>
      <c r="AJ43" s="622">
        <v>197.05315269600976</v>
      </c>
      <c r="AK43" s="622">
        <v>192.40315269600973</v>
      </c>
      <c r="AL43" s="622">
        <v>173.78349275768622</v>
      </c>
      <c r="AM43" s="622">
        <v>192.40315269600973</v>
      </c>
      <c r="AN43" s="622">
        <v>186.19659938323528</v>
      </c>
      <c r="AO43" s="622">
        <v>186.19659938323528</v>
      </c>
      <c r="AP43" s="688" t="s">
        <v>159</v>
      </c>
      <c r="AQ43" s="579" t="s">
        <v>3</v>
      </c>
      <c r="AR43" s="54"/>
      <c r="AS43" s="54"/>
      <c r="AT43" s="54"/>
      <c r="AU43" s="54"/>
      <c r="AV43" s="54"/>
    </row>
    <row r="44" spans="1:48" s="55" customFormat="1">
      <c r="A44" s="550" t="s">
        <v>225</v>
      </c>
      <c r="B44" s="3"/>
      <c r="C44" s="859" t="s">
        <v>370</v>
      </c>
      <c r="D44" s="860"/>
      <c r="E44" s="305"/>
      <c r="F44" s="305"/>
      <c r="G44" s="305"/>
      <c r="H44" s="305"/>
      <c r="I44" s="305"/>
      <c r="J44" s="305"/>
      <c r="K44" s="305"/>
      <c r="L44" s="305"/>
      <c r="M44" s="305"/>
      <c r="N44" s="305"/>
      <c r="O44" s="305"/>
      <c r="P44" s="305"/>
      <c r="Q44" s="621"/>
      <c r="R44" s="622"/>
      <c r="S44" s="622"/>
      <c r="T44" s="622"/>
      <c r="U44" s="622"/>
      <c r="V44" s="622"/>
      <c r="W44" s="622"/>
      <c r="X44" s="622"/>
      <c r="Y44" s="622"/>
      <c r="Z44" s="622"/>
      <c r="AA44" s="622">
        <v>46.344512195121951</v>
      </c>
      <c r="AB44" s="622">
        <v>56.996333333333332</v>
      </c>
      <c r="AC44" s="622">
        <v>40.486000000000004</v>
      </c>
      <c r="AD44" s="622">
        <v>40.462994052877605</v>
      </c>
      <c r="AE44" s="622">
        <v>40.299999999999997</v>
      </c>
      <c r="AF44" s="622">
        <v>42.78</v>
      </c>
      <c r="AG44" s="622">
        <v>31.050000000000004</v>
      </c>
      <c r="AH44" s="622">
        <v>19.5</v>
      </c>
      <c r="AI44" s="622">
        <v>39.439024390243901</v>
      </c>
      <c r="AJ44" s="622">
        <v>41.6609756097561</v>
      </c>
      <c r="AK44" s="622">
        <v>41.6609756097561</v>
      </c>
      <c r="AL44" s="622">
        <v>37.629268292682923</v>
      </c>
      <c r="AM44" s="622">
        <v>41.6609756097561</v>
      </c>
      <c r="AN44" s="622">
        <v>40.31707317073171</v>
      </c>
      <c r="AO44" s="622">
        <v>40.31707317073171</v>
      </c>
      <c r="AP44" s="688" t="s">
        <v>159</v>
      </c>
      <c r="AQ44" s="579" t="s">
        <v>3</v>
      </c>
      <c r="AR44" s="54"/>
      <c r="AS44" s="54"/>
      <c r="AT44" s="54"/>
      <c r="AU44" s="54"/>
      <c r="AV44" s="54"/>
    </row>
    <row r="45" spans="1:48" s="55" customFormat="1">
      <c r="A45" s="550" t="s">
        <v>226</v>
      </c>
      <c r="B45" s="3"/>
      <c r="C45" s="859" t="s">
        <v>370</v>
      </c>
      <c r="D45" s="860"/>
      <c r="E45" s="305"/>
      <c r="F45" s="305"/>
      <c r="G45" s="305"/>
      <c r="H45" s="305"/>
      <c r="I45" s="305"/>
      <c r="J45" s="305"/>
      <c r="K45" s="305"/>
      <c r="L45" s="305"/>
      <c r="M45" s="305"/>
      <c r="N45" s="305"/>
      <c r="O45" s="305"/>
      <c r="P45" s="305"/>
      <c r="Q45" s="621"/>
      <c r="R45" s="622"/>
      <c r="S45" s="622"/>
      <c r="T45" s="622"/>
      <c r="U45" s="622"/>
      <c r="V45" s="622"/>
      <c r="W45" s="622"/>
      <c r="X45" s="622"/>
      <c r="Y45" s="622"/>
      <c r="Z45" s="622"/>
      <c r="AA45" s="622">
        <v>142.53704369982415</v>
      </c>
      <c r="AB45" s="622">
        <v>125.18600000000001</v>
      </c>
      <c r="AC45" s="622">
        <v>150.679</v>
      </c>
      <c r="AD45" s="622">
        <v>142.95425131844922</v>
      </c>
      <c r="AE45" s="622">
        <v>117.12153636363637</v>
      </c>
      <c r="AF45" s="622">
        <v>153.512</v>
      </c>
      <c r="AG45" s="622">
        <v>150.47</v>
      </c>
      <c r="AH45" s="622">
        <v>153.61555520724488</v>
      </c>
      <c r="AI45" s="622">
        <v>149.20242131151704</v>
      </c>
      <c r="AJ45" s="622">
        <v>155.39217708625364</v>
      </c>
      <c r="AK45" s="622">
        <v>150.74217708625366</v>
      </c>
      <c r="AL45" s="622">
        <v>136.15422446500332</v>
      </c>
      <c r="AM45" s="622">
        <v>150.74217708625366</v>
      </c>
      <c r="AN45" s="622">
        <v>145.87952621250355</v>
      </c>
      <c r="AO45" s="622">
        <v>145.87952621250355</v>
      </c>
      <c r="AP45" s="688" t="s">
        <v>159</v>
      </c>
      <c r="AQ45" s="579" t="s">
        <v>3</v>
      </c>
      <c r="AR45" s="54"/>
      <c r="AS45" s="54"/>
      <c r="AT45" s="54"/>
      <c r="AU45" s="54"/>
      <c r="AV45" s="54"/>
    </row>
    <row r="46" spans="1:48">
      <c r="A46" s="28" t="s">
        <v>227</v>
      </c>
      <c r="B46" s="19"/>
      <c r="C46" s="859" t="s">
        <v>370</v>
      </c>
      <c r="D46" s="860"/>
      <c r="E46" s="48">
        <v>290.613</v>
      </c>
      <c r="F46" s="621">
        <v>302.52800000000002</v>
      </c>
      <c r="G46" s="621">
        <v>330.5</v>
      </c>
      <c r="H46" s="621">
        <v>317.95</v>
      </c>
      <c r="I46" s="621">
        <v>319.5</v>
      </c>
      <c r="J46" s="621">
        <v>314</v>
      </c>
      <c r="K46" s="621">
        <v>315</v>
      </c>
      <c r="L46" s="621">
        <v>310</v>
      </c>
      <c r="M46" s="621">
        <v>288</v>
      </c>
      <c r="N46" s="621">
        <v>270.45</v>
      </c>
      <c r="O46" s="621">
        <v>313.10000000000002</v>
      </c>
      <c r="P46" s="621">
        <v>291</v>
      </c>
      <c r="Q46" s="621">
        <v>225</v>
      </c>
      <c r="R46" s="622">
        <v>239.1825882138433</v>
      </c>
      <c r="S46" s="622">
        <v>251.343478581818</v>
      </c>
      <c r="T46" s="622">
        <v>270.94</v>
      </c>
      <c r="U46" s="622">
        <v>276</v>
      </c>
      <c r="V46" s="622">
        <v>288.39600000000002</v>
      </c>
      <c r="W46" s="622">
        <v>252.172</v>
      </c>
      <c r="X46" s="622">
        <v>238.14500000000001</v>
      </c>
      <c r="Y46" s="622">
        <v>277.28500000000003</v>
      </c>
      <c r="Z46" s="622">
        <v>246</v>
      </c>
      <c r="AA46" s="622">
        <v>285.51487908479243</v>
      </c>
      <c r="AB46" s="503">
        <v>272.33308494533202</v>
      </c>
      <c r="AC46" s="622">
        <v>287.15300000000002</v>
      </c>
      <c r="AD46" s="622">
        <v>277.55724537132681</v>
      </c>
      <c r="AE46" s="622">
        <v>209.77350000000001</v>
      </c>
      <c r="AF46" s="622">
        <v>293.57</v>
      </c>
      <c r="AG46" s="622">
        <v>271.95</v>
      </c>
      <c r="AH46" s="622">
        <v>255.34478840125394</v>
      </c>
      <c r="AI46" s="622">
        <v>280.23456112852654</v>
      </c>
      <c r="AJ46" s="622">
        <v>290.94568965517243</v>
      </c>
      <c r="AK46" s="622">
        <v>286.2956896551724</v>
      </c>
      <c r="AL46" s="622">
        <v>258.58965517241381</v>
      </c>
      <c r="AM46" s="622">
        <v>286.2956896551724</v>
      </c>
      <c r="AN46" s="622">
        <v>277.06034482758628</v>
      </c>
      <c r="AO46" s="622">
        <v>277.06034482758628</v>
      </c>
      <c r="AP46" s="688" t="s">
        <v>159</v>
      </c>
      <c r="AQ46" s="579" t="s">
        <v>3</v>
      </c>
      <c r="AR46" s="19"/>
      <c r="AS46" s="19"/>
      <c r="AT46" s="19"/>
      <c r="AU46" s="19"/>
      <c r="AV46" s="19"/>
    </row>
    <row r="47" spans="1:48">
      <c r="A47" s="28" t="s">
        <v>228</v>
      </c>
      <c r="B47" s="19"/>
      <c r="C47" s="862">
        <v>44295</v>
      </c>
      <c r="D47" s="863"/>
      <c r="E47" s="48"/>
      <c r="F47" s="621"/>
      <c r="G47" s="621"/>
      <c r="H47" s="621"/>
      <c r="I47" s="621"/>
      <c r="J47" s="621"/>
      <c r="K47" s="621"/>
      <c r="L47" s="621"/>
      <c r="M47" s="621"/>
      <c r="N47" s="621"/>
      <c r="O47" s="621">
        <v>0.68</v>
      </c>
      <c r="P47" s="621">
        <v>0.6</v>
      </c>
      <c r="Q47" s="621">
        <v>0.6</v>
      </c>
      <c r="R47" s="621">
        <v>0</v>
      </c>
      <c r="S47" s="621">
        <v>0.6</v>
      </c>
      <c r="T47" s="621">
        <v>1.2</v>
      </c>
      <c r="U47" s="621">
        <v>0.6</v>
      </c>
      <c r="V47" s="621">
        <v>0.6</v>
      </c>
      <c r="W47" s="621">
        <v>0</v>
      </c>
      <c r="X47" s="621">
        <v>0.6</v>
      </c>
      <c r="Y47" s="621">
        <v>1.2</v>
      </c>
      <c r="Z47" s="621">
        <v>2.4</v>
      </c>
      <c r="AA47" s="621">
        <v>1.2</v>
      </c>
      <c r="AB47" s="621">
        <v>1.2</v>
      </c>
      <c r="AC47" s="621">
        <v>1.2</v>
      </c>
      <c r="AD47" s="621">
        <v>1.2</v>
      </c>
      <c r="AE47" s="621">
        <v>1.2</v>
      </c>
      <c r="AF47" s="621">
        <v>1.2</v>
      </c>
      <c r="AG47" s="621">
        <v>1.2</v>
      </c>
      <c r="AH47" s="621">
        <v>1.2</v>
      </c>
      <c r="AI47" s="621">
        <v>1.2</v>
      </c>
      <c r="AJ47" s="621">
        <v>1.2</v>
      </c>
      <c r="AK47" s="621">
        <v>0</v>
      </c>
      <c r="AL47" s="621">
        <v>0</v>
      </c>
      <c r="AM47" s="621">
        <v>0</v>
      </c>
      <c r="AN47" s="621">
        <v>0</v>
      </c>
      <c r="AO47" s="621">
        <v>0</v>
      </c>
      <c r="AP47" s="688" t="s">
        <v>159</v>
      </c>
      <c r="AQ47" s="579" t="s">
        <v>3</v>
      </c>
      <c r="AR47" s="19"/>
      <c r="AS47" s="19"/>
      <c r="AT47" s="19"/>
      <c r="AU47" s="19"/>
      <c r="AV47" s="19"/>
    </row>
    <row r="48" spans="1:48">
      <c r="A48" s="28" t="s">
        <v>33</v>
      </c>
      <c r="B48" s="19"/>
      <c r="C48" s="862">
        <v>44295</v>
      </c>
      <c r="D48" s="863"/>
      <c r="E48" s="623">
        <v>15.573</v>
      </c>
      <c r="F48" s="623">
        <v>19</v>
      </c>
      <c r="G48" s="623">
        <v>19</v>
      </c>
      <c r="H48" s="623">
        <v>25</v>
      </c>
      <c r="I48" s="623">
        <v>25</v>
      </c>
      <c r="J48" s="623">
        <v>25</v>
      </c>
      <c r="K48" s="623">
        <v>21</v>
      </c>
      <c r="L48" s="623">
        <v>23.5</v>
      </c>
      <c r="M48" s="623">
        <v>23</v>
      </c>
      <c r="N48" s="623">
        <v>16</v>
      </c>
      <c r="O48" s="623">
        <v>7</v>
      </c>
      <c r="P48" s="623">
        <v>14</v>
      </c>
      <c r="Q48" s="623">
        <v>6</v>
      </c>
      <c r="R48" s="623">
        <v>0</v>
      </c>
      <c r="S48" s="623">
        <v>8</v>
      </c>
      <c r="T48" s="623">
        <v>0</v>
      </c>
      <c r="U48" s="623">
        <v>3</v>
      </c>
      <c r="V48" s="623">
        <v>0</v>
      </c>
      <c r="W48" s="623">
        <v>11</v>
      </c>
      <c r="X48" s="623">
        <v>14</v>
      </c>
      <c r="Y48" s="623">
        <v>2.5</v>
      </c>
      <c r="Z48" s="623">
        <v>3</v>
      </c>
      <c r="AA48" s="623">
        <v>0</v>
      </c>
      <c r="AB48" s="623">
        <v>0</v>
      </c>
      <c r="AC48" s="623">
        <v>0</v>
      </c>
      <c r="AD48" s="623">
        <v>0</v>
      </c>
      <c r="AE48" s="623">
        <v>0</v>
      </c>
      <c r="AF48" s="623">
        <v>0</v>
      </c>
      <c r="AG48" s="623">
        <v>0</v>
      </c>
      <c r="AH48" s="623">
        <v>0</v>
      </c>
      <c r="AI48" s="623">
        <v>0</v>
      </c>
      <c r="AJ48" s="623">
        <v>0</v>
      </c>
      <c r="AK48" s="623">
        <v>0</v>
      </c>
      <c r="AL48" s="623">
        <v>0</v>
      </c>
      <c r="AM48" s="623">
        <v>0</v>
      </c>
      <c r="AN48" s="623">
        <v>0</v>
      </c>
      <c r="AO48" s="623">
        <v>0</v>
      </c>
      <c r="AP48" s="688" t="s">
        <v>159</v>
      </c>
      <c r="AQ48" s="579" t="s">
        <v>3</v>
      </c>
      <c r="AR48" s="19"/>
      <c r="AS48" s="19"/>
      <c r="AT48" s="19"/>
      <c r="AU48" s="19"/>
      <c r="AV48" s="19"/>
    </row>
    <row r="49" spans="1:48">
      <c r="A49" s="28" t="s">
        <v>229</v>
      </c>
      <c r="B49" s="19"/>
      <c r="C49" s="862">
        <v>44302</v>
      </c>
      <c r="D49" s="863"/>
      <c r="E49" s="623">
        <v>8.4</v>
      </c>
      <c r="F49" s="623">
        <v>6.2</v>
      </c>
      <c r="G49" s="623">
        <v>6.1</v>
      </c>
      <c r="H49" s="623">
        <v>7.2</v>
      </c>
      <c r="I49" s="623">
        <v>6.7</v>
      </c>
      <c r="J49" s="623">
        <v>6.7</v>
      </c>
      <c r="K49" s="623">
        <v>0</v>
      </c>
      <c r="L49" s="623">
        <v>5.4</v>
      </c>
      <c r="M49" s="623">
        <v>7.2</v>
      </c>
      <c r="N49" s="623">
        <v>6.5</v>
      </c>
      <c r="O49" s="623">
        <v>6.4799999999999995</v>
      </c>
      <c r="P49" s="623">
        <v>6.3</v>
      </c>
      <c r="Q49" s="623">
        <v>6.5</v>
      </c>
      <c r="R49" s="623">
        <v>3.6</v>
      </c>
      <c r="S49" s="623">
        <v>3.6</v>
      </c>
      <c r="T49" s="623">
        <v>5</v>
      </c>
      <c r="U49" s="623">
        <v>4.24</v>
      </c>
      <c r="V49" s="623">
        <v>7.36</v>
      </c>
      <c r="W49" s="623">
        <v>5.36</v>
      </c>
      <c r="X49" s="623">
        <v>5.47</v>
      </c>
      <c r="Y49" s="623">
        <v>6.2</v>
      </c>
      <c r="Z49" s="623">
        <v>7.08</v>
      </c>
      <c r="AA49" s="623">
        <v>7.07</v>
      </c>
      <c r="AB49" s="623">
        <v>6.63</v>
      </c>
      <c r="AC49" s="623">
        <v>5.78</v>
      </c>
      <c r="AD49" s="623">
        <v>6.12</v>
      </c>
      <c r="AE49" s="623">
        <v>6.12</v>
      </c>
      <c r="AF49" s="623">
        <v>6.12</v>
      </c>
      <c r="AG49" s="623">
        <v>6.12</v>
      </c>
      <c r="AH49" s="623">
        <v>6.12</v>
      </c>
      <c r="AI49" s="623">
        <v>6.12</v>
      </c>
      <c r="AJ49" s="623">
        <v>6.12</v>
      </c>
      <c r="AK49" s="623">
        <v>6.12</v>
      </c>
      <c r="AL49" s="623">
        <v>6.12</v>
      </c>
      <c r="AM49" s="623">
        <v>6.12</v>
      </c>
      <c r="AN49" s="623">
        <v>6.12</v>
      </c>
      <c r="AO49" s="623">
        <v>6.12</v>
      </c>
      <c r="AP49" s="688" t="s">
        <v>159</v>
      </c>
      <c r="AQ49" s="579" t="s">
        <v>3</v>
      </c>
      <c r="AR49" s="19"/>
      <c r="AS49" s="19"/>
      <c r="AT49" s="19"/>
      <c r="AU49" s="19"/>
      <c r="AV49" s="19"/>
    </row>
    <row r="50" spans="1:48">
      <c r="A50" s="28" t="s">
        <v>230</v>
      </c>
      <c r="B50" s="19"/>
      <c r="C50" s="862">
        <v>44302</v>
      </c>
      <c r="D50" s="863"/>
      <c r="E50" s="623">
        <v>5.89</v>
      </c>
      <c r="F50" s="623">
        <v>5.7</v>
      </c>
      <c r="G50" s="623">
        <v>5.89</v>
      </c>
      <c r="H50" s="623">
        <v>5.89</v>
      </c>
      <c r="I50" s="623">
        <v>5.85</v>
      </c>
      <c r="J50" s="623">
        <v>6.05</v>
      </c>
      <c r="K50" s="623">
        <v>5.85</v>
      </c>
      <c r="L50" s="623">
        <v>6.05</v>
      </c>
      <c r="M50" s="623">
        <v>6.05</v>
      </c>
      <c r="N50" s="623">
        <v>5.66</v>
      </c>
      <c r="O50" s="623">
        <v>6.0449999999999999</v>
      </c>
      <c r="P50" s="623">
        <v>5.85</v>
      </c>
      <c r="Q50" s="623">
        <v>6.05</v>
      </c>
      <c r="R50" s="623">
        <v>5.4</v>
      </c>
      <c r="S50" s="623">
        <v>4.5599999999999996</v>
      </c>
      <c r="T50" s="623">
        <v>5.58</v>
      </c>
      <c r="U50" s="623">
        <v>5.58</v>
      </c>
      <c r="V50" s="623">
        <v>5.58</v>
      </c>
      <c r="W50" s="623">
        <v>5.4</v>
      </c>
      <c r="X50" s="623">
        <v>5.58</v>
      </c>
      <c r="Y50" s="623">
        <v>5.89</v>
      </c>
      <c r="Z50" s="623">
        <v>5.32</v>
      </c>
      <c r="AA50" s="623">
        <v>5.89</v>
      </c>
      <c r="AB50" s="623">
        <v>5.55</v>
      </c>
      <c r="AC50" s="623">
        <v>5.7350000000000003</v>
      </c>
      <c r="AD50" s="623">
        <v>5.55</v>
      </c>
      <c r="AE50" s="623">
        <v>5.7350000000000003</v>
      </c>
      <c r="AF50" s="623">
        <v>5.7350000000000003</v>
      </c>
      <c r="AG50" s="623">
        <v>5.55</v>
      </c>
      <c r="AH50" s="623">
        <v>5.7350000000000003</v>
      </c>
      <c r="AI50" s="623">
        <v>5.7350000000000003</v>
      </c>
      <c r="AJ50" s="623">
        <v>5.7350000000000003</v>
      </c>
      <c r="AK50" s="623">
        <v>5.7350000000000003</v>
      </c>
      <c r="AL50" s="623">
        <v>5.7350000000000003</v>
      </c>
      <c r="AM50" s="623">
        <v>5.7350000000000003</v>
      </c>
      <c r="AN50" s="623">
        <v>5.7350000000000003</v>
      </c>
      <c r="AO50" s="623">
        <v>5.7350000000000003</v>
      </c>
      <c r="AP50" s="688" t="s">
        <v>159</v>
      </c>
      <c r="AQ50" s="579" t="s">
        <v>3</v>
      </c>
      <c r="AR50" s="19"/>
      <c r="AS50" s="19"/>
      <c r="AT50" s="19"/>
      <c r="AU50" s="19"/>
      <c r="AV50" s="19"/>
    </row>
    <row r="51" spans="1:48" ht="15" thickBot="1">
      <c r="A51" s="35" t="s">
        <v>231</v>
      </c>
      <c r="B51" s="32"/>
      <c r="C51" s="864">
        <v>44289</v>
      </c>
      <c r="D51" s="865"/>
      <c r="E51" s="623">
        <v>15.6</v>
      </c>
      <c r="F51" s="623">
        <v>15.42</v>
      </c>
      <c r="G51" s="623">
        <v>16.027000000000001</v>
      </c>
      <c r="H51" s="623">
        <v>15.93</v>
      </c>
      <c r="I51" s="623">
        <v>15.45</v>
      </c>
      <c r="J51" s="623">
        <v>10.85</v>
      </c>
      <c r="K51" s="623">
        <v>10.5</v>
      </c>
      <c r="L51" s="623">
        <v>13.26</v>
      </c>
      <c r="M51" s="623">
        <v>14.281000000000001</v>
      </c>
      <c r="N51" s="623">
        <v>16</v>
      </c>
      <c r="O51" s="623">
        <v>17</v>
      </c>
      <c r="P51" s="623">
        <v>15.6</v>
      </c>
      <c r="Q51" s="623">
        <v>17.05</v>
      </c>
      <c r="R51" s="623">
        <v>15.6</v>
      </c>
      <c r="S51" s="623">
        <v>16.739999999999998</v>
      </c>
      <c r="T51" s="623">
        <v>14.56</v>
      </c>
      <c r="U51" s="623">
        <v>17.2</v>
      </c>
      <c r="V51" s="623">
        <v>16.739999999999998</v>
      </c>
      <c r="W51" s="623">
        <v>16.2</v>
      </c>
      <c r="X51" s="623">
        <v>16.12</v>
      </c>
      <c r="Y51" s="623">
        <v>13.12</v>
      </c>
      <c r="Z51" s="623">
        <v>8.83</v>
      </c>
      <c r="AA51" s="623">
        <v>15.56</v>
      </c>
      <c r="AB51" s="623">
        <v>15</v>
      </c>
      <c r="AC51" s="623">
        <v>15.5</v>
      </c>
      <c r="AD51" s="623">
        <v>13.95</v>
      </c>
      <c r="AE51" s="623">
        <v>8.99</v>
      </c>
      <c r="AF51" s="623">
        <v>14.66</v>
      </c>
      <c r="AG51" s="623">
        <v>15</v>
      </c>
      <c r="AH51" s="623">
        <v>15.5</v>
      </c>
      <c r="AI51" s="623">
        <v>15</v>
      </c>
      <c r="AJ51" s="623">
        <v>15.08</v>
      </c>
      <c r="AK51" s="623">
        <v>14.87</v>
      </c>
      <c r="AL51" s="623">
        <v>14</v>
      </c>
      <c r="AM51" s="623">
        <v>15.5</v>
      </c>
      <c r="AN51" s="623">
        <v>15</v>
      </c>
      <c r="AO51" s="623">
        <v>15</v>
      </c>
      <c r="AP51" s="688" t="s">
        <v>159</v>
      </c>
      <c r="AQ51" s="579" t="s">
        <v>3</v>
      </c>
      <c r="AR51" s="19"/>
      <c r="AS51" s="19"/>
      <c r="AT51" s="19"/>
      <c r="AU51" s="19"/>
      <c r="AV51" s="19"/>
    </row>
    <row r="52" spans="1:48" ht="15" thickBot="1">
      <c r="A52" s="852" t="s">
        <v>232</v>
      </c>
      <c r="B52" s="853"/>
      <c r="C52" s="853"/>
      <c r="D52" s="854"/>
      <c r="E52" s="42">
        <f>SUM(E46:E51)</f>
        <v>336.07599999999996</v>
      </c>
      <c r="F52" s="43">
        <f t="shared" ref="F52:Y52" si="40">SUM(F46:F51)</f>
        <v>348.84800000000001</v>
      </c>
      <c r="G52" s="43">
        <f t="shared" si="40"/>
        <v>377.517</v>
      </c>
      <c r="H52" s="43">
        <f t="shared" si="40"/>
        <v>371.96999999999997</v>
      </c>
      <c r="I52" s="43">
        <f t="shared" si="40"/>
        <v>372.5</v>
      </c>
      <c r="J52" s="43">
        <f t="shared" si="40"/>
        <v>362.6</v>
      </c>
      <c r="K52" s="43">
        <f t="shared" si="40"/>
        <v>352.35</v>
      </c>
      <c r="L52" s="43">
        <f t="shared" si="40"/>
        <v>358.21</v>
      </c>
      <c r="M52" s="43">
        <f t="shared" si="40"/>
        <v>338.53100000000001</v>
      </c>
      <c r="N52" s="43">
        <f t="shared" si="40"/>
        <v>314.61</v>
      </c>
      <c r="O52" s="43">
        <f t="shared" si="40"/>
        <v>350.30500000000006</v>
      </c>
      <c r="P52" s="43">
        <f t="shared" si="40"/>
        <v>333.35000000000008</v>
      </c>
      <c r="Q52" s="43">
        <f t="shared" si="40"/>
        <v>261.2</v>
      </c>
      <c r="R52" s="43">
        <f t="shared" si="40"/>
        <v>263.78258821384333</v>
      </c>
      <c r="S52" s="43">
        <f>SUM(S46:S51)</f>
        <v>284.84347858181803</v>
      </c>
      <c r="T52" s="43">
        <f>SUM(T46:T51)</f>
        <v>297.27999999999997</v>
      </c>
      <c r="U52" s="43">
        <f>SUM(U46:U51)</f>
        <v>306.62</v>
      </c>
      <c r="V52" s="43">
        <f t="shared" si="40"/>
        <v>318.67600000000004</v>
      </c>
      <c r="W52" s="43">
        <f t="shared" si="40"/>
        <v>290.13200000000001</v>
      </c>
      <c r="X52" s="43">
        <f t="shared" si="40"/>
        <v>279.91500000000002</v>
      </c>
      <c r="Y52" s="43">
        <f t="shared" si="40"/>
        <v>306.19499999999999</v>
      </c>
      <c r="Z52" s="43">
        <f t="shared" ref="Z52:AE52" si="41">SUM(Z46:Z51)</f>
        <v>272.63</v>
      </c>
      <c r="AA52" s="43">
        <f t="shared" si="41"/>
        <v>315.2348790847924</v>
      </c>
      <c r="AB52" s="43">
        <f t="shared" si="41"/>
        <v>300.71308494533201</v>
      </c>
      <c r="AC52" s="43">
        <f t="shared" si="41"/>
        <v>315.36799999999999</v>
      </c>
      <c r="AD52" s="43">
        <f t="shared" si="41"/>
        <v>304.37724537132681</v>
      </c>
      <c r="AE52" s="43">
        <f t="shared" si="41"/>
        <v>231.81850000000003</v>
      </c>
      <c r="AF52" s="43">
        <f t="shared" ref="AF52:AK52" si="42">SUM(AF46:AF51)</f>
        <v>321.28500000000003</v>
      </c>
      <c r="AG52" s="43">
        <f t="shared" si="42"/>
        <v>299.82</v>
      </c>
      <c r="AH52" s="43">
        <f t="shared" si="42"/>
        <v>283.89978840125394</v>
      </c>
      <c r="AI52" s="43">
        <f t="shared" si="42"/>
        <v>308.28956112852654</v>
      </c>
      <c r="AJ52" s="43">
        <f t="shared" si="42"/>
        <v>319.08068965517242</v>
      </c>
      <c r="AK52" s="43">
        <f t="shared" si="42"/>
        <v>313.02068965517242</v>
      </c>
      <c r="AL52" s="43">
        <f t="shared" ref="AL52:AM52" si="43">SUM(AL46:AL51)</f>
        <v>284.44465517241383</v>
      </c>
      <c r="AM52" s="43">
        <f t="shared" si="43"/>
        <v>313.65068965517241</v>
      </c>
      <c r="AN52" s="43">
        <f t="shared" ref="AN52" si="44">SUM(AN46:AN51)</f>
        <v>303.9153448275863</v>
      </c>
      <c r="AO52" s="43">
        <f>SUM(AO46:AO51)</f>
        <v>303.9153448275863</v>
      </c>
      <c r="AP52" s="689" t="s">
        <v>5</v>
      </c>
      <c r="AQ52" s="579" t="s">
        <v>3</v>
      </c>
      <c r="AR52" s="538" t="s">
        <v>371</v>
      </c>
      <c r="AS52" s="19"/>
      <c r="AT52" s="19"/>
      <c r="AU52" s="19"/>
      <c r="AV52" s="19"/>
    </row>
    <row r="53" spans="1:48" ht="15" thickBot="1">
      <c r="A53" s="26" t="s">
        <v>233</v>
      </c>
      <c r="B53" s="18"/>
      <c r="C53" s="19"/>
      <c r="D53" s="19"/>
      <c r="E53" s="19"/>
      <c r="F53" s="19"/>
      <c r="G53" s="19"/>
      <c r="H53" s="19"/>
      <c r="I53" s="19"/>
      <c r="J53" s="19"/>
      <c r="K53" s="19"/>
      <c r="L53" s="19"/>
      <c r="M53" s="64">
        <f>M59-M97-M103-M104-M105-M113-M114-M115-M116-M117-M118-M119-M120-M122-M123-M125-M126-M127-M128-M129-M130-M131-M132-M133</f>
        <v>118.10699999999997</v>
      </c>
      <c r="N53" s="64">
        <f>N59-N97-N103-N104-N105-N113-N114-N115-N116-N117-N118-N119-N120-N122-N123-N125-N126-N127-N128-N129-N130-N131-N132-N133</f>
        <v>139.47399999999999</v>
      </c>
      <c r="O53" s="64">
        <f>O59-O97-O103-O104-O105-O113-O114-O115-O116-O117-O118-O119-O120-O122-O123-O125-O126-O127-O128-O129-O130-O131-O132-O133</f>
        <v>140.74199999999999</v>
      </c>
      <c r="P53" s="64">
        <f>P59-P97-P103-P104-P105-P113-P114-P115-P116-P117-P118-P119-P120-P122-P123-P125-P126-P127-P128-P129-P130-P131-P132-P133</f>
        <v>89.700999999999979</v>
      </c>
      <c r="Q53" s="64">
        <f>Q59-Q97-Q103-Q104-Q105-Q113-Q114-Q115-Q116-Q117-Q118-Q119-Q120-Q122-Q123-Q125-Q126-Q127-Q128-Q129-Q130-Q131-Q132-Q133</f>
        <v>115.392</v>
      </c>
      <c r="R53" s="64">
        <f t="shared" ref="R53:AD53" si="45">R59-R97-R101-R103-R104-R105-R113-R114-R115-R116-R117-R118-R119-R120-R122-R123-R125-R126-R127-R128-R129-R130-R131-R132-R133</f>
        <v>90.575999999999993</v>
      </c>
      <c r="S53" s="64">
        <f t="shared" si="45"/>
        <v>104.07799999999997</v>
      </c>
      <c r="T53" s="64">
        <f t="shared" si="45"/>
        <v>105.9876373626374</v>
      </c>
      <c r="U53" s="64">
        <f>U59-U97-U101-U103-U104-U105-U113-U114-U115-U116-U117-U118-U119-U120-U122-U123-U125-U126-U127-U128-U129-U130-U131-U132-U133</f>
        <v>124.39</v>
      </c>
      <c r="V53" s="64">
        <f>V59-V97-V101-V103-V104-V105-V113-V114-V115-V116-V117-V118-V119-V120-V122-V123-V125-V126-V127-V128-V129-V130-V131-V132-V133</f>
        <v>118.44200000000002</v>
      </c>
      <c r="W53" s="64">
        <f t="shared" si="45"/>
        <v>108.9</v>
      </c>
      <c r="X53" s="64">
        <f t="shared" si="45"/>
        <v>106.32599999999999</v>
      </c>
      <c r="Y53" s="64">
        <f t="shared" si="45"/>
        <v>119.73485793868549</v>
      </c>
      <c r="Z53" s="64">
        <f t="shared" si="45"/>
        <v>88.984232274350305</v>
      </c>
      <c r="AA53" s="64">
        <f t="shared" si="45"/>
        <v>107.17399999999996</v>
      </c>
      <c r="AB53" s="64">
        <f t="shared" si="45"/>
        <v>102.68900000000004</v>
      </c>
      <c r="AC53" s="64">
        <f t="shared" si="45"/>
        <v>87.452999999999989</v>
      </c>
      <c r="AD53" s="64">
        <f t="shared" si="45"/>
        <v>92.707538110734632</v>
      </c>
      <c r="AE53" s="64">
        <f t="shared" ref="AE53:AK53" si="46">AE59-AE97-AE101-AE103-AE104-AE105-AE113-AE114-AE115-AE116-AE117-AE118-AE119-AE120-AE122-AE123-AE125-AE126-AE127-AE128-AE129-AE130-AE131-AE132-AE133</f>
        <v>38.312999999999981</v>
      </c>
      <c r="AF53" s="64">
        <f t="shared" si="46"/>
        <v>109.61199999999997</v>
      </c>
      <c r="AG53" s="64">
        <f t="shared" si="46"/>
        <v>93.673999999999978</v>
      </c>
      <c r="AH53" s="64">
        <f t="shared" si="46"/>
        <v>97.381788401253942</v>
      </c>
      <c r="AI53" s="64">
        <f t="shared" si="46"/>
        <v>101.89056112852654</v>
      </c>
      <c r="AJ53" s="64">
        <f t="shared" si="46"/>
        <v>119.79968965517239</v>
      </c>
      <c r="AK53" s="64">
        <f t="shared" si="46"/>
        <v>103.87281294284364</v>
      </c>
      <c r="AL53" s="64">
        <f t="shared" ref="AL53:AM53" si="47">AL59-AL97-AL101-AL103-AL104-AL105-AL113-AL114-AL115-AL116-AL117-AL118-AL119-AL120-AL122-AL123-AL125-AL126-AL127-AL128-AL129-AL130-AL131-AL132-AL133</f>
        <v>87.251572980633</v>
      </c>
      <c r="AM53" s="64">
        <f t="shared" si="47"/>
        <v>103.87281294284364</v>
      </c>
      <c r="AN53" s="64">
        <f t="shared" ref="AN53" si="48">AN59-AN97-AN101-AN103-AN104-AN105-AN113-AN114-AN115-AN116-AN117-AN118-AN119-AN120-AN122-AN123-AN125-AN126-AN127-AN128-AN129-AN130-AN131-AN132-AN133</f>
        <v>98.332399622106834</v>
      </c>
      <c r="AO53" s="64">
        <f>AO59-AO97-AO101-AO103-AO104-AO105-AO113-AO114-AO115-AO116-AO117-AO118-AO119-AO120-AO122-AO123-AO125-AO126-AO127-AO128-AO129-AO130-AO131-AO132-AO133</f>
        <v>103.87281294284324</v>
      </c>
      <c r="AP53" s="692"/>
      <c r="AQ53" s="580" t="s">
        <v>158</v>
      </c>
      <c r="AR53" s="534" t="s">
        <v>372</v>
      </c>
      <c r="AS53" s="19"/>
      <c r="AT53" s="19"/>
      <c r="AU53" s="19"/>
      <c r="AV53" s="19"/>
    </row>
    <row r="54" spans="1:48" s="55" customFormat="1" ht="15" thickBot="1">
      <c r="A54" s="861" t="s">
        <v>180</v>
      </c>
      <c r="B54" s="855"/>
      <c r="C54" s="855" t="s">
        <v>220</v>
      </c>
      <c r="D54" s="855"/>
      <c r="E54" s="57">
        <f t="shared" ref="E54:AL54" si="49">E3</f>
        <v>43587</v>
      </c>
      <c r="F54" s="58">
        <f t="shared" si="49"/>
        <v>43618</v>
      </c>
      <c r="G54" s="58">
        <f t="shared" si="49"/>
        <v>43648</v>
      </c>
      <c r="H54" s="58">
        <f t="shared" si="49"/>
        <v>43679</v>
      </c>
      <c r="I54" s="58">
        <f t="shared" si="49"/>
        <v>43710</v>
      </c>
      <c r="J54" s="58">
        <f t="shared" si="49"/>
        <v>43740</v>
      </c>
      <c r="K54" s="58">
        <f t="shared" si="49"/>
        <v>43771</v>
      </c>
      <c r="L54" s="58">
        <f t="shared" si="49"/>
        <v>43801</v>
      </c>
      <c r="M54" s="58">
        <f t="shared" si="49"/>
        <v>43832</v>
      </c>
      <c r="N54" s="58">
        <f t="shared" si="49"/>
        <v>43863</v>
      </c>
      <c r="O54" s="58">
        <f t="shared" si="49"/>
        <v>43892</v>
      </c>
      <c r="P54" s="58">
        <f t="shared" si="49"/>
        <v>43923</v>
      </c>
      <c r="Q54" s="58">
        <f t="shared" si="49"/>
        <v>43953</v>
      </c>
      <c r="R54" s="58">
        <f t="shared" si="49"/>
        <v>43984</v>
      </c>
      <c r="S54" s="58">
        <f t="shared" si="49"/>
        <v>44014</v>
      </c>
      <c r="T54" s="58">
        <f t="shared" si="49"/>
        <v>44045</v>
      </c>
      <c r="U54" s="58">
        <f t="shared" si="49"/>
        <v>44076</v>
      </c>
      <c r="V54" s="58">
        <f t="shared" si="49"/>
        <v>44106</v>
      </c>
      <c r="W54" s="58">
        <f t="shared" si="49"/>
        <v>44137</v>
      </c>
      <c r="X54" s="58">
        <f t="shared" si="49"/>
        <v>44167</v>
      </c>
      <c r="Y54" s="58">
        <f t="shared" si="49"/>
        <v>44198</v>
      </c>
      <c r="Z54" s="58">
        <f t="shared" si="49"/>
        <v>44229</v>
      </c>
      <c r="AA54" s="58">
        <f t="shared" si="49"/>
        <v>44257</v>
      </c>
      <c r="AB54" s="58">
        <f t="shared" si="49"/>
        <v>44288</v>
      </c>
      <c r="AC54" s="58">
        <f t="shared" si="49"/>
        <v>44318</v>
      </c>
      <c r="AD54" s="58">
        <f t="shared" si="49"/>
        <v>44349</v>
      </c>
      <c r="AE54" s="58">
        <f t="shared" si="49"/>
        <v>44379</v>
      </c>
      <c r="AF54" s="58">
        <f t="shared" si="49"/>
        <v>44410</v>
      </c>
      <c r="AG54" s="58">
        <f t="shared" si="49"/>
        <v>44441</v>
      </c>
      <c r="AH54" s="58">
        <f t="shared" si="49"/>
        <v>44471</v>
      </c>
      <c r="AI54" s="58">
        <f t="shared" si="49"/>
        <v>44502</v>
      </c>
      <c r="AJ54" s="58">
        <f t="shared" si="49"/>
        <v>44532</v>
      </c>
      <c r="AK54" s="58">
        <f t="shared" si="49"/>
        <v>44563</v>
      </c>
      <c r="AL54" s="58">
        <f t="shared" si="49"/>
        <v>44594</v>
      </c>
      <c r="AM54" s="58">
        <f t="shared" ref="AM54:AN54" si="50">AM3</f>
        <v>44622</v>
      </c>
      <c r="AN54" s="58">
        <f t="shared" si="50"/>
        <v>44653</v>
      </c>
      <c r="AO54" s="58">
        <f t="shared" ref="AO54" si="51">AO3</f>
        <v>44683</v>
      </c>
      <c r="AP54" s="709"/>
      <c r="AQ54" s="709"/>
      <c r="AR54" s="54"/>
      <c r="AS54" s="54"/>
      <c r="AT54" s="54"/>
      <c r="AU54" s="54"/>
      <c r="AV54" s="54"/>
    </row>
    <row r="55" spans="1:48" s="55" customFormat="1">
      <c r="A55" s="16" t="s">
        <v>222</v>
      </c>
      <c r="B55" s="27"/>
      <c r="C55" s="857" t="s">
        <v>373</v>
      </c>
      <c r="D55" s="858"/>
      <c r="E55" s="305"/>
      <c r="F55" s="305"/>
      <c r="G55" s="305"/>
      <c r="H55" s="305"/>
      <c r="I55" s="305"/>
      <c r="J55" s="305"/>
      <c r="K55" s="305"/>
      <c r="L55" s="305"/>
      <c r="M55" s="305"/>
      <c r="N55" s="305"/>
      <c r="O55" s="305"/>
      <c r="P55" s="305"/>
      <c r="Q55" s="624"/>
      <c r="R55" s="624">
        <v>70</v>
      </c>
      <c r="S55" s="624">
        <v>74.078409090909062</v>
      </c>
      <c r="T55" s="624">
        <v>80.5</v>
      </c>
      <c r="U55" s="624">
        <v>75.221000000000004</v>
      </c>
      <c r="V55" s="624">
        <v>85.72</v>
      </c>
      <c r="W55" s="624">
        <v>83.730999999999995</v>
      </c>
      <c r="X55" s="624">
        <v>85</v>
      </c>
      <c r="Y55" s="624">
        <v>93.219380729154906</v>
      </c>
      <c r="Z55" s="624">
        <v>85.441534018875444</v>
      </c>
      <c r="AA55" s="624">
        <v>98</v>
      </c>
      <c r="AB55" s="624">
        <v>86.9</v>
      </c>
      <c r="AC55" s="624">
        <v>89</v>
      </c>
      <c r="AD55" s="624">
        <v>92.25</v>
      </c>
      <c r="AE55" s="624">
        <v>52.35</v>
      </c>
      <c r="AF55" s="624">
        <v>97.277999999999992</v>
      </c>
      <c r="AG55" s="624">
        <v>91.830000000000013</v>
      </c>
      <c r="AH55" s="624">
        <v>89.929233194009043</v>
      </c>
      <c r="AI55" s="624">
        <v>91.593115426765593</v>
      </c>
      <c r="AJ55" s="624">
        <v>93.892536959162683</v>
      </c>
      <c r="AK55" s="624">
        <v>92.411425848051579</v>
      </c>
      <c r="AL55" s="624">
        <v>83.468384636949807</v>
      </c>
      <c r="AM55" s="624">
        <v>92.411425848051579</v>
      </c>
      <c r="AN55" s="624">
        <v>89.43041211101766</v>
      </c>
      <c r="AO55" s="624">
        <v>92.411425848051579</v>
      </c>
      <c r="AP55" s="688" t="s">
        <v>159</v>
      </c>
      <c r="AQ55" s="579" t="s">
        <v>3</v>
      </c>
      <c r="AR55" s="54"/>
      <c r="AS55" s="358"/>
      <c r="AT55" s="54"/>
      <c r="AU55" s="54"/>
      <c r="AV55" s="54"/>
    </row>
    <row r="56" spans="1:48" s="55" customFormat="1">
      <c r="A56" s="28" t="s">
        <v>224</v>
      </c>
      <c r="B56" s="3"/>
      <c r="C56" s="859" t="str">
        <f>C55</f>
        <v>Ability 6rev0_7May'21 (ฉบับแก้ไข)</v>
      </c>
      <c r="D56" s="860"/>
      <c r="E56" s="305"/>
      <c r="F56" s="305"/>
      <c r="G56" s="305"/>
      <c r="H56" s="305"/>
      <c r="I56" s="305"/>
      <c r="J56" s="305"/>
      <c r="K56" s="305"/>
      <c r="L56" s="305"/>
      <c r="M56" s="305"/>
      <c r="N56" s="305"/>
      <c r="O56" s="305"/>
      <c r="P56" s="305"/>
      <c r="Q56" s="624"/>
      <c r="R56" s="624">
        <f t="shared" ref="R56:W56" si="52">R59-R55</f>
        <v>168.5</v>
      </c>
      <c r="S56" s="624">
        <f t="shared" si="52"/>
        <v>176.52959090909093</v>
      </c>
      <c r="T56" s="624">
        <f t="shared" si="52"/>
        <v>189.8</v>
      </c>
      <c r="U56" s="624">
        <f t="shared" si="52"/>
        <v>200.779</v>
      </c>
      <c r="V56" s="624">
        <f t="shared" si="52"/>
        <v>194.08200000000002</v>
      </c>
      <c r="W56" s="624">
        <f t="shared" si="52"/>
        <v>171.96899999999999</v>
      </c>
      <c r="X56" s="624">
        <f t="shared" ref="X56:AL56" si="53">X59-X55</f>
        <v>182.7</v>
      </c>
      <c r="Y56" s="624">
        <f t="shared" si="53"/>
        <v>184.18247720953059</v>
      </c>
      <c r="Z56" s="456">
        <f t="shared" si="53"/>
        <v>168.89869825547487</v>
      </c>
      <c r="AA56" s="456">
        <f t="shared" si="53"/>
        <v>187</v>
      </c>
      <c r="AB56" s="456">
        <f t="shared" si="53"/>
        <v>177.6</v>
      </c>
      <c r="AC56" s="456">
        <f t="shared" si="53"/>
        <v>199.8</v>
      </c>
      <c r="AD56" s="456">
        <f t="shared" si="53"/>
        <v>186.14553811073461</v>
      </c>
      <c r="AE56" s="456">
        <f t="shared" si="53"/>
        <v>158.66</v>
      </c>
      <c r="AF56" s="456">
        <f t="shared" si="53"/>
        <v>195.982</v>
      </c>
      <c r="AG56" s="456">
        <f t="shared" si="53"/>
        <v>176.00999999999996</v>
      </c>
      <c r="AH56" s="456">
        <f t="shared" si="53"/>
        <v>165.41555520724489</v>
      </c>
      <c r="AI56" s="456">
        <f t="shared" si="53"/>
        <v>188.64144570176094</v>
      </c>
      <c r="AJ56" s="456">
        <f t="shared" si="53"/>
        <v>197.05315269600976</v>
      </c>
      <c r="AK56" s="456">
        <f t="shared" si="53"/>
        <v>189.23426380712084</v>
      </c>
      <c r="AL56" s="456">
        <f t="shared" si="53"/>
        <v>170.92127053546403</v>
      </c>
      <c r="AM56" s="456">
        <f t="shared" ref="AM56:AN56" si="54">AM59-AM55</f>
        <v>189.23426380712084</v>
      </c>
      <c r="AN56" s="456">
        <f t="shared" si="54"/>
        <v>183.12993271656862</v>
      </c>
      <c r="AO56" s="456">
        <f>AO59-AO55</f>
        <v>189.23426380712044</v>
      </c>
      <c r="AP56" s="688" t="s">
        <v>159</v>
      </c>
      <c r="AQ56" s="579" t="s">
        <v>3</v>
      </c>
      <c r="AR56" s="534" t="s">
        <v>374</v>
      </c>
      <c r="AS56" s="455"/>
      <c r="AT56" s="54"/>
      <c r="AU56" s="54"/>
      <c r="AV56" s="54"/>
    </row>
    <row r="57" spans="1:48" s="55" customFormat="1">
      <c r="A57" s="550" t="s">
        <v>225</v>
      </c>
      <c r="B57" s="3"/>
      <c r="C57" s="867" t="str">
        <f>C55</f>
        <v>Ability 6rev0_7May'21 (ฉบับแก้ไข)</v>
      </c>
      <c r="D57" s="868"/>
      <c r="E57" s="305"/>
      <c r="F57" s="305"/>
      <c r="G57" s="305"/>
      <c r="H57" s="305"/>
      <c r="I57" s="305"/>
      <c r="J57" s="305"/>
      <c r="K57" s="305"/>
      <c r="L57" s="305"/>
      <c r="M57" s="305"/>
      <c r="N57" s="305"/>
      <c r="O57" s="305"/>
      <c r="P57" s="305"/>
      <c r="Q57" s="624"/>
      <c r="R57" s="624"/>
      <c r="S57" s="624"/>
      <c r="T57" s="624"/>
      <c r="U57" s="624"/>
      <c r="V57" s="624"/>
      <c r="W57" s="624"/>
      <c r="X57" s="624"/>
      <c r="Y57" s="624"/>
      <c r="Z57" s="454">
        <v>38.612364983928693</v>
      </c>
      <c r="AA57" s="454">
        <v>43.169512195121946</v>
      </c>
      <c r="AB57" s="454">
        <v>56.726731707317072</v>
      </c>
      <c r="AC57" s="454">
        <v>71.565375161550747</v>
      </c>
      <c r="AD57" s="454">
        <v>52.03</v>
      </c>
      <c r="AE57" s="454">
        <v>40.92</v>
      </c>
      <c r="AF57" s="454">
        <v>48.05</v>
      </c>
      <c r="AG57" s="454">
        <v>31.740000000000002</v>
      </c>
      <c r="AH57" s="454">
        <v>15</v>
      </c>
      <c r="AI57" s="454">
        <v>39.439024390243901</v>
      </c>
      <c r="AJ57" s="454">
        <v>41.6609756097561</v>
      </c>
      <c r="AK57" s="454">
        <v>41.6609756097561</v>
      </c>
      <c r="AL57" s="454">
        <v>37.629268292682923</v>
      </c>
      <c r="AM57" s="454">
        <v>41.6609756097561</v>
      </c>
      <c r="AN57" s="454">
        <v>40.31707317073171</v>
      </c>
      <c r="AO57" s="454">
        <v>41.6609756097561</v>
      </c>
      <c r="AP57" s="688" t="s">
        <v>159</v>
      </c>
      <c r="AQ57" s="579" t="s">
        <v>3</v>
      </c>
      <c r="AR57" s="54"/>
      <c r="AS57" s="455"/>
      <c r="AT57" s="54"/>
      <c r="AU57" s="54"/>
      <c r="AV57" s="54"/>
    </row>
    <row r="58" spans="1:48" s="55" customFormat="1">
      <c r="A58" s="550" t="s">
        <v>226</v>
      </c>
      <c r="B58" s="3"/>
      <c r="C58" s="867" t="str">
        <f>C55</f>
        <v>Ability 6rev0_7May'21 (ฉบับแก้ไข)</v>
      </c>
      <c r="D58" s="868"/>
      <c r="E58" s="305"/>
      <c r="F58" s="305"/>
      <c r="G58" s="305"/>
      <c r="H58" s="305"/>
      <c r="I58" s="305"/>
      <c r="J58" s="305"/>
      <c r="K58" s="305"/>
      <c r="L58" s="305"/>
      <c r="M58" s="305"/>
      <c r="N58" s="305"/>
      <c r="O58" s="305"/>
      <c r="P58" s="305"/>
      <c r="Q58" s="624"/>
      <c r="R58" s="624"/>
      <c r="S58" s="624"/>
      <c r="T58" s="624"/>
      <c r="U58" s="624"/>
      <c r="V58" s="624"/>
      <c r="W58" s="624"/>
      <c r="X58" s="624"/>
      <c r="Y58" s="624"/>
      <c r="Z58" s="454">
        <v>130.2863332715462</v>
      </c>
      <c r="AA58" s="454">
        <v>148.70393375022635</v>
      </c>
      <c r="AB58" s="454">
        <v>123.2011473354232</v>
      </c>
      <c r="AC58" s="454">
        <v>122.08791091068261</v>
      </c>
      <c r="AD58" s="454">
        <v>134.11553811073458</v>
      </c>
      <c r="AE58" s="454">
        <v>117.74</v>
      </c>
      <c r="AF58" s="454">
        <v>147.93200000000002</v>
      </c>
      <c r="AG58" s="454">
        <v>144.26999999999998</v>
      </c>
      <c r="AH58" s="454">
        <v>150.41555520724489</v>
      </c>
      <c r="AI58" s="454">
        <v>149.20242131151704</v>
      </c>
      <c r="AJ58" s="454">
        <v>155.39217708625364</v>
      </c>
      <c r="AK58" s="454">
        <v>147.57328819736477</v>
      </c>
      <c r="AL58" s="454">
        <v>133.29200224278111</v>
      </c>
      <c r="AM58" s="454">
        <v>147.57328819736477</v>
      </c>
      <c r="AN58" s="454">
        <v>142.81285954583689</v>
      </c>
      <c r="AO58" s="454">
        <v>147.57328819736477</v>
      </c>
      <c r="AP58" s="688" t="s">
        <v>159</v>
      </c>
      <c r="AQ58" s="579" t="s">
        <v>3</v>
      </c>
      <c r="AR58" s="54"/>
      <c r="AS58" s="358"/>
      <c r="AT58" s="54"/>
      <c r="AU58" s="54"/>
      <c r="AV58" s="54"/>
    </row>
    <row r="59" spans="1:48">
      <c r="A59" s="28" t="s">
        <v>227</v>
      </c>
      <c r="B59" s="3"/>
      <c r="C59" s="859" t="str">
        <f>C55</f>
        <v>Ability 6rev0_7May'21 (ฉบับแก้ไข)</v>
      </c>
      <c r="D59" s="860"/>
      <c r="E59" s="306">
        <v>290.613</v>
      </c>
      <c r="F59" s="93">
        <v>302.52800000000002</v>
      </c>
      <c r="G59" s="93">
        <v>320.20999999999998</v>
      </c>
      <c r="H59" s="625">
        <v>318.428</v>
      </c>
      <c r="I59" s="625">
        <v>304.23599999999999</v>
      </c>
      <c r="J59" s="624">
        <v>311</v>
      </c>
      <c r="K59" s="624">
        <v>316.3</v>
      </c>
      <c r="L59" s="223">
        <v>308.76</v>
      </c>
      <c r="M59" s="624">
        <v>274.16699999999997</v>
      </c>
      <c r="N59" s="624">
        <v>269</v>
      </c>
      <c r="O59" s="624">
        <v>299.5</v>
      </c>
      <c r="P59" s="626">
        <v>248.80099999999999</v>
      </c>
      <c r="Q59" s="624">
        <v>225</v>
      </c>
      <c r="R59" s="624">
        <v>238.5</v>
      </c>
      <c r="S59" s="624">
        <f>251.608-1</f>
        <v>250.608</v>
      </c>
      <c r="T59" s="624">
        <v>270.3</v>
      </c>
      <c r="U59" s="624">
        <v>276</v>
      </c>
      <c r="V59" s="624">
        <v>279.80200000000002</v>
      </c>
      <c r="W59" s="624">
        <v>255.7</v>
      </c>
      <c r="X59" s="223">
        <v>267.7</v>
      </c>
      <c r="Y59" s="624">
        <v>277.40185793868551</v>
      </c>
      <c r="Z59" s="624">
        <v>254.34023227435031</v>
      </c>
      <c r="AA59" s="624">
        <f>286-1</f>
        <v>285</v>
      </c>
      <c r="AB59" s="624">
        <v>264.5</v>
      </c>
      <c r="AC59" s="624">
        <v>288.8</v>
      </c>
      <c r="AD59" s="624">
        <v>278.39553811073461</v>
      </c>
      <c r="AE59" s="624">
        <v>211.01</v>
      </c>
      <c r="AF59" s="624">
        <v>293.26</v>
      </c>
      <c r="AG59" s="624">
        <v>267.83999999999997</v>
      </c>
      <c r="AH59" s="624">
        <v>255.34478840125394</v>
      </c>
      <c r="AI59" s="624">
        <v>280.23456112852654</v>
      </c>
      <c r="AJ59" s="624">
        <v>290.94568965517243</v>
      </c>
      <c r="AK59" s="624">
        <v>281.64568965517242</v>
      </c>
      <c r="AL59" s="624">
        <v>254.38965517241382</v>
      </c>
      <c r="AM59" s="624">
        <v>281.64568965517242</v>
      </c>
      <c r="AN59" s="624">
        <v>272.56034482758628</v>
      </c>
      <c r="AO59" s="624">
        <v>281.64568965517202</v>
      </c>
      <c r="AP59" s="688" t="s">
        <v>159</v>
      </c>
      <c r="AQ59" s="579" t="s">
        <v>3</v>
      </c>
      <c r="AR59" s="294"/>
      <c r="AT59" s="19"/>
      <c r="AU59" s="19"/>
      <c r="AV59" s="19"/>
    </row>
    <row r="60" spans="1:48">
      <c r="A60" s="28" t="s">
        <v>228</v>
      </c>
      <c r="B60" s="3"/>
      <c r="C60" s="862">
        <v>44327</v>
      </c>
      <c r="D60" s="863"/>
      <c r="E60" s="306"/>
      <c r="F60" s="93"/>
      <c r="G60" s="93"/>
      <c r="H60" s="625"/>
      <c r="I60" s="625"/>
      <c r="J60" s="624"/>
      <c r="K60" s="624"/>
      <c r="L60" s="223"/>
      <c r="M60" s="624"/>
      <c r="N60" s="624"/>
      <c r="O60" s="279">
        <v>0.68</v>
      </c>
      <c r="P60" s="627">
        <v>0.7</v>
      </c>
      <c r="Q60" s="627">
        <v>0.6</v>
      </c>
      <c r="R60" s="627">
        <v>0</v>
      </c>
      <c r="S60" s="627">
        <v>0.6</v>
      </c>
      <c r="T60" s="279">
        <v>0.6</v>
      </c>
      <c r="U60" s="279">
        <v>1.2</v>
      </c>
      <c r="V60" s="628">
        <v>0</v>
      </c>
      <c r="W60" s="628">
        <v>0.6</v>
      </c>
      <c r="X60" s="627">
        <v>1.88</v>
      </c>
      <c r="Y60" s="384">
        <v>0</v>
      </c>
      <c r="Z60" s="437">
        <v>2.4</v>
      </c>
      <c r="AA60" s="423">
        <v>1.2</v>
      </c>
      <c r="AB60" s="423">
        <v>1.2</v>
      </c>
      <c r="AC60" s="423">
        <v>1.2</v>
      </c>
      <c r="AD60" s="423">
        <v>1.2</v>
      </c>
      <c r="AE60" s="423">
        <v>0</v>
      </c>
      <c r="AF60" s="423">
        <v>1.2</v>
      </c>
      <c r="AG60" s="423">
        <v>1.2</v>
      </c>
      <c r="AH60" s="423">
        <v>1.2</v>
      </c>
      <c r="AI60" s="423">
        <v>1.2</v>
      </c>
      <c r="AJ60" s="423">
        <v>1.2</v>
      </c>
      <c r="AK60" s="424">
        <v>0</v>
      </c>
      <c r="AL60" s="424">
        <v>0</v>
      </c>
      <c r="AM60" s="424">
        <v>0</v>
      </c>
      <c r="AN60" s="424">
        <v>0</v>
      </c>
      <c r="AO60" s="424">
        <v>0</v>
      </c>
      <c r="AP60" s="688" t="s">
        <v>159</v>
      </c>
      <c r="AQ60" s="579" t="s">
        <v>3</v>
      </c>
      <c r="AR60" s="19"/>
      <c r="AS60" s="19"/>
      <c r="AT60" s="19"/>
      <c r="AU60" s="19"/>
      <c r="AV60" s="19"/>
    </row>
    <row r="61" spans="1:48">
      <c r="A61" s="28" t="s">
        <v>33</v>
      </c>
      <c r="B61" s="3"/>
      <c r="C61" s="862">
        <v>44327</v>
      </c>
      <c r="D61" s="863"/>
      <c r="E61" s="629">
        <v>15.573</v>
      </c>
      <c r="F61" s="73">
        <v>16</v>
      </c>
      <c r="G61" s="629">
        <v>21</v>
      </c>
      <c r="H61" s="73">
        <v>25</v>
      </c>
      <c r="I61" s="73">
        <v>25</v>
      </c>
      <c r="J61" s="73">
        <v>22</v>
      </c>
      <c r="K61" s="188">
        <v>23</v>
      </c>
      <c r="L61" s="188">
        <v>25</v>
      </c>
      <c r="M61" s="624">
        <f>23-3</f>
        <v>20</v>
      </c>
      <c r="N61" s="233">
        <v>18</v>
      </c>
      <c r="O61" s="223">
        <v>7</v>
      </c>
      <c r="P61" s="223">
        <v>2</v>
      </c>
      <c r="Q61" s="630">
        <v>6</v>
      </c>
      <c r="R61" s="630">
        <v>0</v>
      </c>
      <c r="S61" s="631">
        <v>4</v>
      </c>
      <c r="T61" s="631">
        <v>1.2</v>
      </c>
      <c r="U61" s="631">
        <v>0</v>
      </c>
      <c r="V61" s="631">
        <v>0</v>
      </c>
      <c r="W61" s="221">
        <v>13</v>
      </c>
      <c r="X61" s="221">
        <v>11.6</v>
      </c>
      <c r="Y61" s="221">
        <v>19</v>
      </c>
      <c r="Z61" s="221">
        <f>3+12</f>
        <v>15</v>
      </c>
      <c r="AA61" s="631">
        <v>0</v>
      </c>
      <c r="AB61" s="631">
        <v>2</v>
      </c>
      <c r="AC61" s="631">
        <v>0</v>
      </c>
      <c r="AD61" s="631">
        <v>0</v>
      </c>
      <c r="AE61" s="631">
        <v>0</v>
      </c>
      <c r="AF61" s="631">
        <v>0</v>
      </c>
      <c r="AG61" s="631">
        <v>0</v>
      </c>
      <c r="AH61" s="631">
        <v>0</v>
      </c>
      <c r="AI61" s="631">
        <v>0</v>
      </c>
      <c r="AJ61" s="631">
        <v>0</v>
      </c>
      <c r="AK61" s="631">
        <v>0</v>
      </c>
      <c r="AL61" s="631">
        <v>0</v>
      </c>
      <c r="AM61" s="631">
        <v>0</v>
      </c>
      <c r="AN61" s="631">
        <v>0</v>
      </c>
      <c r="AO61" s="631">
        <v>0</v>
      </c>
      <c r="AP61" s="688" t="s">
        <v>159</v>
      </c>
      <c r="AQ61" s="579" t="s">
        <v>3</v>
      </c>
      <c r="AR61" s="19"/>
      <c r="AS61" s="19"/>
      <c r="AT61" s="19"/>
      <c r="AU61" s="19"/>
      <c r="AV61" s="19"/>
    </row>
    <row r="62" spans="1:48">
      <c r="A62" s="28" t="s">
        <v>229</v>
      </c>
      <c r="B62" s="3"/>
      <c r="C62" s="862">
        <v>44327</v>
      </c>
      <c r="D62" s="863"/>
      <c r="E62" s="629">
        <v>8.4</v>
      </c>
      <c r="F62" s="629">
        <v>6.2</v>
      </c>
      <c r="G62" s="73">
        <v>7.2</v>
      </c>
      <c r="H62" s="192">
        <v>7.2</v>
      </c>
      <c r="I62" s="73">
        <v>7.4</v>
      </c>
      <c r="J62" s="73">
        <v>6.7</v>
      </c>
      <c r="K62" s="631">
        <v>0</v>
      </c>
      <c r="L62" s="224">
        <v>3.96</v>
      </c>
      <c r="M62" s="631">
        <v>6.37</v>
      </c>
      <c r="N62" s="631">
        <v>6.1</v>
      </c>
      <c r="O62" s="631">
        <v>6.4799999999999995</v>
      </c>
      <c r="P62" s="631">
        <v>4.3</v>
      </c>
      <c r="Q62" s="631">
        <v>3</v>
      </c>
      <c r="R62" s="631">
        <v>3</v>
      </c>
      <c r="S62" s="631">
        <v>3.5</v>
      </c>
      <c r="T62" s="631">
        <v>3</v>
      </c>
      <c r="U62" s="221">
        <v>3.6</v>
      </c>
      <c r="V62" s="221">
        <f>8.06-2+0.7</f>
        <v>6.7600000000000007</v>
      </c>
      <c r="W62" s="221">
        <v>6.06</v>
      </c>
      <c r="X62" s="224">
        <v>6.67</v>
      </c>
      <c r="Y62" s="224">
        <v>8.3699999999999992</v>
      </c>
      <c r="Z62" s="224">
        <f>6.48+0.6+0.6</f>
        <v>7.68</v>
      </c>
      <c r="AA62" s="224">
        <v>6.63</v>
      </c>
      <c r="AB62" s="631">
        <v>5.73</v>
      </c>
      <c r="AC62" s="221">
        <v>5.76</v>
      </c>
      <c r="AD62" s="631">
        <v>5.78</v>
      </c>
      <c r="AE62" s="631">
        <v>6.12</v>
      </c>
      <c r="AF62" s="631">
        <v>6.12</v>
      </c>
      <c r="AG62" s="631">
        <v>6.12</v>
      </c>
      <c r="AH62" s="631">
        <v>6.12</v>
      </c>
      <c r="AI62" s="631">
        <v>6.12</v>
      </c>
      <c r="AJ62" s="631">
        <v>6.12</v>
      </c>
      <c r="AK62" s="631">
        <v>6.12</v>
      </c>
      <c r="AL62" s="631">
        <v>6.12</v>
      </c>
      <c r="AM62" s="631">
        <v>6.12</v>
      </c>
      <c r="AN62" s="631">
        <v>6.12</v>
      </c>
      <c r="AO62" s="631">
        <v>6.12</v>
      </c>
      <c r="AP62" s="688" t="s">
        <v>159</v>
      </c>
      <c r="AQ62" s="579" t="s">
        <v>3</v>
      </c>
      <c r="AR62" s="19"/>
      <c r="AS62" s="19"/>
      <c r="AT62" s="19"/>
      <c r="AU62" s="19"/>
      <c r="AV62" s="19"/>
    </row>
    <row r="63" spans="1:48">
      <c r="A63" s="28" t="s">
        <v>230</v>
      </c>
      <c r="B63" s="3"/>
      <c r="C63" s="862">
        <v>44327</v>
      </c>
      <c r="D63" s="863"/>
      <c r="E63" s="629">
        <v>5.89</v>
      </c>
      <c r="F63" s="629">
        <v>6.22</v>
      </c>
      <c r="G63" s="629">
        <v>5.89</v>
      </c>
      <c r="H63" s="629">
        <v>6.05</v>
      </c>
      <c r="I63" s="629">
        <v>5.85</v>
      </c>
      <c r="J63" s="629">
        <v>6.05</v>
      </c>
      <c r="K63" s="221">
        <v>6.7</v>
      </c>
      <c r="L63" s="631">
        <v>6.05</v>
      </c>
      <c r="M63" s="631">
        <v>6.2</v>
      </c>
      <c r="N63" s="631">
        <v>5.66</v>
      </c>
      <c r="O63" s="631">
        <v>6.0449999999999999</v>
      </c>
      <c r="P63" s="631">
        <v>5.85</v>
      </c>
      <c r="Q63" s="631">
        <v>4.5999999999999996</v>
      </c>
      <c r="R63" s="631">
        <v>5.7</v>
      </c>
      <c r="S63" s="631">
        <v>5.7</v>
      </c>
      <c r="T63" s="631">
        <v>5.68</v>
      </c>
      <c r="U63" s="631">
        <v>5.4</v>
      </c>
      <c r="V63" s="224">
        <v>5.8</v>
      </c>
      <c r="W63" s="224">
        <v>5.4</v>
      </c>
      <c r="X63" s="224">
        <v>5.58</v>
      </c>
      <c r="Y63" s="224">
        <v>5.4870000000000001</v>
      </c>
      <c r="Z63" s="224">
        <v>5.32</v>
      </c>
      <c r="AA63" s="224">
        <v>5.74</v>
      </c>
      <c r="AB63" s="631">
        <v>5.8220000000000001</v>
      </c>
      <c r="AC63" s="631">
        <v>5.7350000000000003</v>
      </c>
      <c r="AD63" s="631">
        <v>5.55</v>
      </c>
      <c r="AE63" s="631">
        <v>5.7350000000000003</v>
      </c>
      <c r="AF63" s="631">
        <v>5.7350000000000003</v>
      </c>
      <c r="AG63" s="631">
        <v>5.55</v>
      </c>
      <c r="AH63" s="631">
        <v>5.7350000000000003</v>
      </c>
      <c r="AI63" s="631">
        <v>5.7350000000000003</v>
      </c>
      <c r="AJ63" s="631">
        <v>5.7350000000000003</v>
      </c>
      <c r="AK63" s="631">
        <v>5.7350000000000003</v>
      </c>
      <c r="AL63" s="631">
        <v>5.7350000000000003</v>
      </c>
      <c r="AM63" s="631">
        <v>5.7350000000000003</v>
      </c>
      <c r="AN63" s="631">
        <v>5.7350000000000003</v>
      </c>
      <c r="AO63" s="631">
        <v>5.7350000000000003</v>
      </c>
      <c r="AP63" s="688" t="s">
        <v>159</v>
      </c>
      <c r="AQ63" s="579" t="s">
        <v>3</v>
      </c>
      <c r="AR63" s="19"/>
      <c r="AS63" s="19"/>
      <c r="AT63" s="19"/>
      <c r="AU63" s="19"/>
      <c r="AV63" s="19"/>
    </row>
    <row r="64" spans="1:48" ht="15" thickBot="1">
      <c r="A64" s="35" t="s">
        <v>231</v>
      </c>
      <c r="B64" s="36"/>
      <c r="C64" s="864">
        <v>44321</v>
      </c>
      <c r="D64" s="866"/>
      <c r="E64" s="629">
        <v>15.6</v>
      </c>
      <c r="F64" s="629">
        <v>16.100000000000001</v>
      </c>
      <c r="G64" s="629">
        <v>16.027000000000001</v>
      </c>
      <c r="H64" s="629">
        <v>14</v>
      </c>
      <c r="I64" s="629">
        <v>15.45</v>
      </c>
      <c r="J64" s="629">
        <v>10.85</v>
      </c>
      <c r="K64" s="630">
        <v>13.15</v>
      </c>
      <c r="L64" s="630">
        <v>13.26</v>
      </c>
      <c r="M64" s="630">
        <v>17</v>
      </c>
      <c r="N64" s="630">
        <v>17.5</v>
      </c>
      <c r="O64" s="630">
        <v>15</v>
      </c>
      <c r="P64" s="631">
        <v>16.5</v>
      </c>
      <c r="Q64" s="630">
        <v>15</v>
      </c>
      <c r="R64" s="631">
        <v>14.5</v>
      </c>
      <c r="S64" s="631">
        <v>15.5</v>
      </c>
      <c r="T64" s="631">
        <v>13.04</v>
      </c>
      <c r="U64" s="631">
        <v>17.2</v>
      </c>
      <c r="V64" s="221">
        <v>15.83</v>
      </c>
      <c r="W64" s="631">
        <v>16.2</v>
      </c>
      <c r="X64" s="224">
        <v>15.4</v>
      </c>
      <c r="Y64" s="221">
        <v>11</v>
      </c>
      <c r="Z64" s="224">
        <v>6.72</v>
      </c>
      <c r="AA64" s="224">
        <v>13.5</v>
      </c>
      <c r="AB64" s="224">
        <v>15</v>
      </c>
      <c r="AC64" s="224">
        <v>15.5</v>
      </c>
      <c r="AD64" s="224">
        <v>13.95</v>
      </c>
      <c r="AE64" s="224">
        <v>8.99</v>
      </c>
      <c r="AF64" s="224">
        <v>14.66</v>
      </c>
      <c r="AG64" s="224">
        <v>15</v>
      </c>
      <c r="AH64" s="224">
        <v>15.5</v>
      </c>
      <c r="AI64" s="224">
        <v>15</v>
      </c>
      <c r="AJ64" s="224">
        <v>15.08</v>
      </c>
      <c r="AK64" s="224">
        <v>14.87</v>
      </c>
      <c r="AL64" s="224">
        <v>14</v>
      </c>
      <c r="AM64" s="224">
        <v>15.5</v>
      </c>
      <c r="AN64" s="224">
        <v>15</v>
      </c>
      <c r="AO64" s="224">
        <v>15.5</v>
      </c>
      <c r="AP64" s="688" t="s">
        <v>159</v>
      </c>
      <c r="AQ64" s="579" t="s">
        <v>3</v>
      </c>
      <c r="AR64" s="19"/>
      <c r="AS64" s="19"/>
      <c r="AT64" s="19"/>
      <c r="AU64" s="19"/>
      <c r="AV64" s="19"/>
    </row>
    <row r="65" spans="1:48" ht="15" thickBot="1">
      <c r="A65" s="852" t="s">
        <v>232</v>
      </c>
      <c r="B65" s="853"/>
      <c r="C65" s="853"/>
      <c r="D65" s="853"/>
      <c r="E65" s="42">
        <f>SUM(E59:E64)</f>
        <v>336.07599999999996</v>
      </c>
      <c r="F65" s="43">
        <f t="shared" ref="F65:Y65" si="55">SUM(F59:F64)</f>
        <v>347.04800000000006</v>
      </c>
      <c r="G65" s="43">
        <f t="shared" si="55"/>
        <v>370.32699999999994</v>
      </c>
      <c r="H65" s="43">
        <f t="shared" si="55"/>
        <v>370.678</v>
      </c>
      <c r="I65" s="43">
        <f t="shared" si="55"/>
        <v>357.93599999999998</v>
      </c>
      <c r="J65" s="43">
        <f t="shared" si="55"/>
        <v>356.6</v>
      </c>
      <c r="K65" s="43">
        <f t="shared" si="55"/>
        <v>359.15</v>
      </c>
      <c r="L65" s="43">
        <f t="shared" si="55"/>
        <v>357.03</v>
      </c>
      <c r="M65" s="43">
        <f t="shared" si="55"/>
        <v>323.73699999999997</v>
      </c>
      <c r="N65" s="43">
        <f t="shared" si="55"/>
        <v>316.26000000000005</v>
      </c>
      <c r="O65" s="43">
        <f t="shared" si="55"/>
        <v>334.70500000000004</v>
      </c>
      <c r="P65" s="43">
        <f t="shared" si="55"/>
        <v>278.15100000000001</v>
      </c>
      <c r="Q65" s="43">
        <f t="shared" si="55"/>
        <v>254.2</v>
      </c>
      <c r="R65" s="43">
        <f t="shared" si="55"/>
        <v>261.7</v>
      </c>
      <c r="S65" s="43">
        <f>SUM(S59:S64)</f>
        <v>279.90799999999996</v>
      </c>
      <c r="T65" s="43">
        <f>SUM(T59:T64)</f>
        <v>293.82000000000005</v>
      </c>
      <c r="U65" s="43">
        <f>SUM(U59:U64)</f>
        <v>303.39999999999998</v>
      </c>
      <c r="V65" s="43">
        <f t="shared" si="55"/>
        <v>308.19200000000001</v>
      </c>
      <c r="W65" s="43">
        <f t="shared" si="55"/>
        <v>296.95999999999998</v>
      </c>
      <c r="X65" s="43">
        <f t="shared" si="55"/>
        <v>308.83</v>
      </c>
      <c r="Y65" s="43">
        <f t="shared" si="55"/>
        <v>321.25885793868554</v>
      </c>
      <c r="Z65" s="43">
        <f t="shared" ref="Z65:AE65" si="56">SUM(Z59:Z64)</f>
        <v>291.46023227435035</v>
      </c>
      <c r="AA65" s="43">
        <f t="shared" si="56"/>
        <v>312.07</v>
      </c>
      <c r="AB65" s="43">
        <f t="shared" si="56"/>
        <v>294.25200000000001</v>
      </c>
      <c r="AC65" s="43">
        <f t="shared" si="56"/>
        <v>316.995</v>
      </c>
      <c r="AD65" s="43">
        <f t="shared" si="56"/>
        <v>304.87553811073457</v>
      </c>
      <c r="AE65" s="43">
        <f t="shared" si="56"/>
        <v>231.85500000000002</v>
      </c>
      <c r="AF65" s="43">
        <f t="shared" ref="AF65:AK65" si="57">SUM(AF59:AF64)</f>
        <v>320.97500000000002</v>
      </c>
      <c r="AG65" s="43">
        <f t="shared" si="57"/>
        <v>295.70999999999998</v>
      </c>
      <c r="AH65" s="43">
        <f t="shared" si="57"/>
        <v>283.89978840125394</v>
      </c>
      <c r="AI65" s="43">
        <f t="shared" si="57"/>
        <v>308.28956112852654</v>
      </c>
      <c r="AJ65" s="43">
        <f t="shared" si="57"/>
        <v>319.08068965517242</v>
      </c>
      <c r="AK65" s="43">
        <f t="shared" si="57"/>
        <v>308.37068965517244</v>
      </c>
      <c r="AL65" s="43">
        <f t="shared" ref="AL65:AM65" si="58">SUM(AL59:AL64)</f>
        <v>280.24465517241384</v>
      </c>
      <c r="AM65" s="43">
        <f t="shared" si="58"/>
        <v>309.00068965517244</v>
      </c>
      <c r="AN65" s="43">
        <f t="shared" ref="AN65" si="59">SUM(AN59:AN64)</f>
        <v>299.4153448275863</v>
      </c>
      <c r="AO65" s="43">
        <f>SUM(AO59:AO64)</f>
        <v>309.00068965517204</v>
      </c>
      <c r="AP65" s="689" t="s">
        <v>5</v>
      </c>
      <c r="AQ65" s="579" t="s">
        <v>3</v>
      </c>
      <c r="AR65" s="538" t="s">
        <v>375</v>
      </c>
      <c r="AS65" s="19"/>
      <c r="AT65" s="19"/>
      <c r="AU65" s="19"/>
      <c r="AV65" s="19"/>
    </row>
    <row r="66" spans="1:48" ht="15" thickBot="1">
      <c r="A66" s="26" t="s">
        <v>242</v>
      </c>
      <c r="B66" s="18"/>
      <c r="C66" s="19"/>
      <c r="D66" s="19"/>
      <c r="E66" s="19"/>
      <c r="F66" s="19"/>
      <c r="G66" s="19"/>
      <c r="H66" s="19"/>
      <c r="I66" s="19"/>
      <c r="J66" s="19"/>
      <c r="K66" s="19"/>
      <c r="L66" s="19"/>
      <c r="M66" s="19"/>
      <c r="N66" s="19"/>
      <c r="O66" s="19"/>
      <c r="P66" s="294"/>
      <c r="Q66" s="294"/>
      <c r="R66" s="294"/>
      <c r="S66" s="294"/>
      <c r="T66" s="294"/>
      <c r="U66" s="294"/>
      <c r="V66" s="294"/>
      <c r="W66" s="294">
        <v>25</v>
      </c>
      <c r="X66" s="294">
        <v>9</v>
      </c>
      <c r="Y66" s="294"/>
      <c r="Z66" s="294"/>
      <c r="AA66" s="294"/>
      <c r="AB66" s="294"/>
      <c r="AC66" s="294"/>
      <c r="AD66" s="294"/>
      <c r="AE66" s="294"/>
      <c r="AF66" s="294"/>
      <c r="AG66" s="294"/>
      <c r="AH66" s="294"/>
      <c r="AI66" s="294"/>
      <c r="AJ66" s="294"/>
      <c r="AK66" s="294"/>
      <c r="AL66" s="294"/>
      <c r="AM66" s="294"/>
      <c r="AN66" s="294"/>
      <c r="AO66" s="294"/>
      <c r="AP66" s="695"/>
      <c r="AQ66" s="695"/>
      <c r="AR66" s="19"/>
      <c r="AS66" s="19"/>
      <c r="AT66" s="19"/>
      <c r="AU66" s="19"/>
      <c r="AV66" s="19"/>
    </row>
    <row r="67" spans="1:48" s="55" customFormat="1" ht="15" thickBot="1">
      <c r="A67" s="848" t="s">
        <v>180</v>
      </c>
      <c r="B67" s="849"/>
      <c r="C67" s="849" t="s">
        <v>220</v>
      </c>
      <c r="D67" s="849"/>
      <c r="E67" s="59">
        <f t="shared" ref="E67:AL67" si="60">E3</f>
        <v>43587</v>
      </c>
      <c r="F67" s="60">
        <f t="shared" si="60"/>
        <v>43618</v>
      </c>
      <c r="G67" s="60">
        <f t="shared" si="60"/>
        <v>43648</v>
      </c>
      <c r="H67" s="60">
        <f t="shared" si="60"/>
        <v>43679</v>
      </c>
      <c r="I67" s="60">
        <f t="shared" si="60"/>
        <v>43710</v>
      </c>
      <c r="J67" s="60">
        <f t="shared" si="60"/>
        <v>43740</v>
      </c>
      <c r="K67" s="60">
        <f t="shared" si="60"/>
        <v>43771</v>
      </c>
      <c r="L67" s="60">
        <f t="shared" si="60"/>
        <v>43801</v>
      </c>
      <c r="M67" s="60">
        <f t="shared" si="60"/>
        <v>43832</v>
      </c>
      <c r="N67" s="60">
        <f t="shared" si="60"/>
        <v>43863</v>
      </c>
      <c r="O67" s="60">
        <f t="shared" si="60"/>
        <v>43892</v>
      </c>
      <c r="P67" s="60">
        <f t="shared" si="60"/>
        <v>43923</v>
      </c>
      <c r="Q67" s="60">
        <f t="shared" si="60"/>
        <v>43953</v>
      </c>
      <c r="R67" s="60">
        <f t="shared" si="60"/>
        <v>43984</v>
      </c>
      <c r="S67" s="60">
        <f t="shared" si="60"/>
        <v>44014</v>
      </c>
      <c r="T67" s="60">
        <f t="shared" si="60"/>
        <v>44045</v>
      </c>
      <c r="U67" s="60">
        <f t="shared" si="60"/>
        <v>44076</v>
      </c>
      <c r="V67" s="60">
        <f t="shared" si="60"/>
        <v>44106</v>
      </c>
      <c r="W67" s="60">
        <f t="shared" si="60"/>
        <v>44137</v>
      </c>
      <c r="X67" s="60">
        <f t="shared" si="60"/>
        <v>44167</v>
      </c>
      <c r="Y67" s="60">
        <f t="shared" si="60"/>
        <v>44198</v>
      </c>
      <c r="Z67" s="60">
        <f t="shared" si="60"/>
        <v>44229</v>
      </c>
      <c r="AA67" s="60">
        <f t="shared" si="60"/>
        <v>44257</v>
      </c>
      <c r="AB67" s="60">
        <f t="shared" si="60"/>
        <v>44288</v>
      </c>
      <c r="AC67" s="60">
        <f t="shared" si="60"/>
        <v>44318</v>
      </c>
      <c r="AD67" s="60">
        <f t="shared" si="60"/>
        <v>44349</v>
      </c>
      <c r="AE67" s="60">
        <f t="shared" si="60"/>
        <v>44379</v>
      </c>
      <c r="AF67" s="60">
        <f t="shared" si="60"/>
        <v>44410</v>
      </c>
      <c r="AG67" s="60">
        <f t="shared" si="60"/>
        <v>44441</v>
      </c>
      <c r="AH67" s="60">
        <f t="shared" si="60"/>
        <v>44471</v>
      </c>
      <c r="AI67" s="60">
        <f t="shared" si="60"/>
        <v>44502</v>
      </c>
      <c r="AJ67" s="60">
        <f t="shared" si="60"/>
        <v>44532</v>
      </c>
      <c r="AK67" s="60">
        <f t="shared" si="60"/>
        <v>44563</v>
      </c>
      <c r="AL67" s="60">
        <f t="shared" si="60"/>
        <v>44594</v>
      </c>
      <c r="AM67" s="60">
        <f t="shared" ref="AM67:AN67" si="61">AM3</f>
        <v>44622</v>
      </c>
      <c r="AN67" s="60">
        <f t="shared" si="61"/>
        <v>44653</v>
      </c>
      <c r="AO67" s="60">
        <f t="shared" ref="AO67" si="62">AO3</f>
        <v>44683</v>
      </c>
      <c r="AP67" s="709"/>
      <c r="AQ67" s="709"/>
      <c r="AR67" s="54"/>
      <c r="AS67" s="54"/>
      <c r="AT67" s="54"/>
      <c r="AU67" s="54"/>
      <c r="AV67" s="54"/>
    </row>
    <row r="68" spans="1:48" s="55" customFormat="1" ht="15" thickBot="1">
      <c r="A68" s="16" t="s">
        <v>222</v>
      </c>
      <c r="B68" s="27"/>
      <c r="C68" s="857"/>
      <c r="D68" s="858"/>
      <c r="E68" s="59"/>
      <c r="F68" s="60"/>
      <c r="G68" s="60"/>
      <c r="H68" s="60"/>
      <c r="I68" s="60"/>
      <c r="J68" s="60"/>
      <c r="K68" s="60"/>
      <c r="L68" s="60"/>
      <c r="M68" s="60"/>
      <c r="N68" s="60"/>
      <c r="O68" s="60"/>
      <c r="P68" s="60"/>
      <c r="Q68" s="49">
        <f t="shared" ref="Q68:AD68" si="63">Q55-Q42</f>
        <v>0</v>
      </c>
      <c r="R68" s="49">
        <f t="shared" si="63"/>
        <v>-0.53409090909087809</v>
      </c>
      <c r="S68" s="49">
        <f t="shared" si="63"/>
        <v>0.35240909090906314</v>
      </c>
      <c r="T68" s="49">
        <f t="shared" si="63"/>
        <v>0.76000000000000512</v>
      </c>
      <c r="U68" s="49">
        <f t="shared" si="63"/>
        <v>0</v>
      </c>
      <c r="V68" s="49">
        <f t="shared" si="63"/>
        <v>0.8960000000000008</v>
      </c>
      <c r="W68" s="49">
        <f t="shared" si="63"/>
        <v>1.8689999999999998</v>
      </c>
      <c r="X68" s="49">
        <f t="shared" si="63"/>
        <v>5.5799999999999983</v>
      </c>
      <c r="Y68" s="49">
        <f t="shared" si="63"/>
        <v>-0.51461927084508829</v>
      </c>
      <c r="Z68" s="49">
        <f t="shared" si="63"/>
        <v>2.4733540685734425</v>
      </c>
      <c r="AA68" s="49">
        <f t="shared" si="63"/>
        <v>1.3666768101536775</v>
      </c>
      <c r="AB68" s="49">
        <f t="shared" si="63"/>
        <v>-5.5052059025918965</v>
      </c>
      <c r="AC68" s="49">
        <f t="shared" si="63"/>
        <v>-6</v>
      </c>
      <c r="AD68" s="49">
        <f t="shared" si="63"/>
        <v>-1.8900000000000006</v>
      </c>
      <c r="AE68" s="49">
        <f t="shared" ref="AE68:AK69" si="64">AE55-AE42</f>
        <v>-1.9636363636337251E-3</v>
      </c>
      <c r="AF68" s="49">
        <f t="shared" si="64"/>
        <v>0</v>
      </c>
      <c r="AG68" s="49">
        <f t="shared" si="64"/>
        <v>1.4000000000000057</v>
      </c>
      <c r="AH68" s="49">
        <f t="shared" si="64"/>
        <v>7.7000000000000028</v>
      </c>
      <c r="AI68" s="49">
        <f t="shared" si="64"/>
        <v>0</v>
      </c>
      <c r="AJ68" s="49">
        <f t="shared" si="64"/>
        <v>0</v>
      </c>
      <c r="AK68" s="49">
        <f t="shared" si="64"/>
        <v>-1.4811111111111046</v>
      </c>
      <c r="AL68" s="49">
        <f t="shared" ref="AL68:AM68" si="65">AL55-AL42</f>
        <v>-1.3377777777777879</v>
      </c>
      <c r="AM68" s="49">
        <f t="shared" si="65"/>
        <v>-1.4811111111111046</v>
      </c>
      <c r="AN68" s="49">
        <f t="shared" ref="AN68" si="66">AN55-AN42</f>
        <v>-1.4333333333333371</v>
      </c>
      <c r="AO68" s="49">
        <f>AO55-AO42</f>
        <v>1.547680403700582</v>
      </c>
      <c r="AP68" s="689" t="s">
        <v>5</v>
      </c>
      <c r="AQ68" s="579" t="s">
        <v>3</v>
      </c>
      <c r="AR68" s="534" t="s">
        <v>376</v>
      </c>
      <c r="AS68" s="54"/>
      <c r="AT68" s="54"/>
      <c r="AU68" s="54"/>
      <c r="AV68" s="54"/>
    </row>
    <row r="69" spans="1:48" s="55" customFormat="1" ht="15" thickBot="1">
      <c r="A69" s="28" t="s">
        <v>224</v>
      </c>
      <c r="B69" s="3"/>
      <c r="C69" s="859"/>
      <c r="D69" s="860"/>
      <c r="E69" s="59"/>
      <c r="F69" s="60"/>
      <c r="G69" s="60"/>
      <c r="H69" s="60"/>
      <c r="I69" s="60"/>
      <c r="J69" s="60"/>
      <c r="K69" s="60"/>
      <c r="L69" s="60"/>
      <c r="M69" s="60"/>
      <c r="N69" s="60"/>
      <c r="O69" s="60"/>
      <c r="P69" s="60"/>
      <c r="Q69" s="48">
        <f t="shared" ref="Q69:AD69" si="67">Q56-Q43</f>
        <v>0</v>
      </c>
      <c r="R69" s="48">
        <f t="shared" si="67"/>
        <v>-1.0589090909091112</v>
      </c>
      <c r="S69" s="48">
        <f t="shared" si="67"/>
        <v>-1.0878876727270779</v>
      </c>
      <c r="T69" s="48">
        <f t="shared" si="67"/>
        <v>-1.3999999999999773</v>
      </c>
      <c r="U69" s="48">
        <f t="shared" si="67"/>
        <v>0</v>
      </c>
      <c r="V69" s="48">
        <f t="shared" si="67"/>
        <v>-9.4899999999999807</v>
      </c>
      <c r="W69" s="48">
        <f t="shared" si="67"/>
        <v>1.6589999999999918</v>
      </c>
      <c r="X69" s="48">
        <f t="shared" si="67"/>
        <v>23.974999999999966</v>
      </c>
      <c r="Y69" s="48">
        <f t="shared" si="67"/>
        <v>0.63147720953054431</v>
      </c>
      <c r="Z69" s="48">
        <f t="shared" si="67"/>
        <v>5.8668782057768567</v>
      </c>
      <c r="AA69" s="48">
        <f t="shared" si="67"/>
        <v>-1.8815558949461035</v>
      </c>
      <c r="AB69" s="48">
        <f t="shared" si="67"/>
        <v>-5.5529557300557428</v>
      </c>
      <c r="AC69" s="48">
        <f t="shared" si="67"/>
        <v>7.6469999999999914</v>
      </c>
      <c r="AD69" s="48">
        <f t="shared" si="67"/>
        <v>2.7282927394077774</v>
      </c>
      <c r="AE69" s="48">
        <f t="shared" si="64"/>
        <v>1.2384636363636048</v>
      </c>
      <c r="AF69" s="48">
        <f t="shared" si="64"/>
        <v>-0.31000000000000227</v>
      </c>
      <c r="AG69" s="48">
        <f t="shared" si="64"/>
        <v>-5.5100000000000193</v>
      </c>
      <c r="AH69" s="48">
        <f t="shared" si="64"/>
        <v>-7.6999999999999886</v>
      </c>
      <c r="AI69" s="48">
        <f t="shared" si="64"/>
        <v>0</v>
      </c>
      <c r="AJ69" s="48">
        <f t="shared" si="64"/>
        <v>0</v>
      </c>
      <c r="AK69" s="48">
        <f t="shared" si="64"/>
        <v>-3.1688888888888869</v>
      </c>
      <c r="AL69" s="48">
        <f t="shared" ref="AL69:AM69" si="68">AL56-AL43</f>
        <v>-2.8622222222221865</v>
      </c>
      <c r="AM69" s="48">
        <f t="shared" si="68"/>
        <v>-3.1688888888888869</v>
      </c>
      <c r="AN69" s="48">
        <f t="shared" ref="AN69:AO69" si="69">AN56-AN43</f>
        <v>-3.0666666666666629</v>
      </c>
      <c r="AO69" s="48">
        <f t="shared" si="69"/>
        <v>3.0376644238851611</v>
      </c>
      <c r="AP69" s="689" t="s">
        <v>5</v>
      </c>
      <c r="AQ69" s="579" t="s">
        <v>3</v>
      </c>
      <c r="AR69" s="534" t="s">
        <v>377</v>
      </c>
      <c r="AS69" s="54"/>
      <c r="AT69" s="54"/>
      <c r="AU69" s="54"/>
      <c r="AV69" s="54"/>
    </row>
    <row r="70" spans="1:48" s="55" customFormat="1" ht="15" thickBot="1">
      <c r="A70" s="550" t="s">
        <v>225</v>
      </c>
      <c r="B70" s="3"/>
      <c r="C70" s="18"/>
      <c r="D70" s="309"/>
      <c r="E70" s="59"/>
      <c r="F70" s="60"/>
      <c r="G70" s="60"/>
      <c r="H70" s="60"/>
      <c r="I70" s="60"/>
      <c r="J70" s="60"/>
      <c r="K70" s="60"/>
      <c r="L70" s="60"/>
      <c r="M70" s="60"/>
      <c r="N70" s="60"/>
      <c r="O70" s="60"/>
      <c r="P70" s="60"/>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689" t="s">
        <v>5</v>
      </c>
      <c r="AQ70" s="579" t="s">
        <v>3</v>
      </c>
      <c r="AR70" s="54"/>
      <c r="AS70" s="54"/>
      <c r="AT70" s="54"/>
      <c r="AU70" s="54"/>
      <c r="AV70" s="54"/>
    </row>
    <row r="71" spans="1:48" s="55" customFormat="1" ht="15" thickBot="1">
      <c r="A71" s="550" t="s">
        <v>226</v>
      </c>
      <c r="B71" s="3"/>
      <c r="C71" s="18"/>
      <c r="D71" s="309"/>
      <c r="E71" s="59"/>
      <c r="F71" s="60"/>
      <c r="G71" s="60"/>
      <c r="H71" s="60"/>
      <c r="I71" s="60"/>
      <c r="J71" s="60"/>
      <c r="K71" s="60"/>
      <c r="L71" s="60"/>
      <c r="M71" s="60"/>
      <c r="N71" s="60"/>
      <c r="O71" s="60"/>
      <c r="P71" s="60"/>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689" t="s">
        <v>5</v>
      </c>
      <c r="AQ71" s="579" t="s">
        <v>3</v>
      </c>
      <c r="AR71" s="54"/>
      <c r="AS71" s="54"/>
      <c r="AT71" s="54"/>
      <c r="AU71" s="54"/>
      <c r="AV71" s="54"/>
    </row>
    <row r="72" spans="1:48">
      <c r="A72" s="28" t="s">
        <v>227</v>
      </c>
      <c r="B72" s="3"/>
      <c r="C72" s="859"/>
      <c r="D72" s="860"/>
      <c r="E72" s="41">
        <f t="shared" ref="E72:P72" si="70">E59-E46</f>
        <v>0</v>
      </c>
      <c r="F72" s="49">
        <f t="shared" si="70"/>
        <v>0</v>
      </c>
      <c r="G72" s="49">
        <f t="shared" si="70"/>
        <v>-10.29000000000002</v>
      </c>
      <c r="H72" s="49">
        <f t="shared" si="70"/>
        <v>0.47800000000000864</v>
      </c>
      <c r="I72" s="49">
        <f t="shared" si="70"/>
        <v>-15.26400000000001</v>
      </c>
      <c r="J72" s="49">
        <f t="shared" si="70"/>
        <v>-3</v>
      </c>
      <c r="K72" s="49">
        <f t="shared" si="70"/>
        <v>1.3000000000000114</v>
      </c>
      <c r="L72" s="49">
        <f t="shared" si="70"/>
        <v>-1.2400000000000091</v>
      </c>
      <c r="M72" s="49">
        <f t="shared" si="70"/>
        <v>-13.833000000000027</v>
      </c>
      <c r="N72" s="49">
        <f t="shared" si="70"/>
        <v>-1.4499999999999886</v>
      </c>
      <c r="O72" s="49">
        <f t="shared" si="70"/>
        <v>-13.600000000000023</v>
      </c>
      <c r="P72" s="49">
        <f t="shared" si="70"/>
        <v>-42.199000000000012</v>
      </c>
      <c r="Q72" s="48">
        <f t="shared" ref="Q72:AD72" si="71">Q59-Q46</f>
        <v>0</v>
      </c>
      <c r="R72" s="48">
        <f t="shared" si="71"/>
        <v>-0.68258821384330304</v>
      </c>
      <c r="S72" s="48">
        <f t="shared" si="71"/>
        <v>-0.73547858181800052</v>
      </c>
      <c r="T72" s="48">
        <f t="shared" si="71"/>
        <v>-0.63999999999998636</v>
      </c>
      <c r="U72" s="48">
        <f t="shared" si="71"/>
        <v>0</v>
      </c>
      <c r="V72" s="48">
        <f t="shared" si="71"/>
        <v>-8.5939999999999941</v>
      </c>
      <c r="W72" s="48">
        <f t="shared" si="71"/>
        <v>3.5279999999999916</v>
      </c>
      <c r="X72" s="48">
        <f t="shared" si="71"/>
        <v>29.554999999999978</v>
      </c>
      <c r="Y72" s="48">
        <f t="shared" si="71"/>
        <v>0.11685793868548444</v>
      </c>
      <c r="Z72" s="48">
        <f t="shared" si="71"/>
        <v>8.3402322743503134</v>
      </c>
      <c r="AA72" s="48">
        <f t="shared" si="71"/>
        <v>-0.51487908479242606</v>
      </c>
      <c r="AB72" s="48">
        <f t="shared" si="71"/>
        <v>-7.8330849453320184</v>
      </c>
      <c r="AC72" s="48">
        <f t="shared" si="71"/>
        <v>1.6469999999999914</v>
      </c>
      <c r="AD72" s="48">
        <f t="shared" si="71"/>
        <v>0.83829273940779103</v>
      </c>
      <c r="AE72" s="48">
        <f t="shared" ref="AE72:AK72" si="72">AE59-AE46</f>
        <v>1.2364999999999782</v>
      </c>
      <c r="AF72" s="48">
        <f t="shared" si="72"/>
        <v>-0.31000000000000227</v>
      </c>
      <c r="AG72" s="48">
        <f t="shared" si="72"/>
        <v>-4.1100000000000136</v>
      </c>
      <c r="AH72" s="48">
        <f t="shared" si="72"/>
        <v>0</v>
      </c>
      <c r="AI72" s="48">
        <f t="shared" si="72"/>
        <v>0</v>
      </c>
      <c r="AJ72" s="48">
        <f t="shared" si="72"/>
        <v>0</v>
      </c>
      <c r="AK72" s="48">
        <f t="shared" si="72"/>
        <v>-4.6499999999999773</v>
      </c>
      <c r="AL72" s="48">
        <f t="shared" ref="AL72:AM72" si="73">AL59-AL46</f>
        <v>-4.1999999999999886</v>
      </c>
      <c r="AM72" s="48">
        <f t="shared" si="73"/>
        <v>-4.6499999999999773</v>
      </c>
      <c r="AN72" s="48">
        <f t="shared" ref="AN72" si="74">AN59-AN46</f>
        <v>-4.5</v>
      </c>
      <c r="AO72" s="48">
        <f>AO59-AO46</f>
        <v>4.5853448275857431</v>
      </c>
      <c r="AP72" s="689" t="s">
        <v>5</v>
      </c>
      <c r="AQ72" s="579" t="s">
        <v>3</v>
      </c>
      <c r="AR72" s="538" t="s">
        <v>378</v>
      </c>
      <c r="AS72" s="19"/>
      <c r="AT72" s="19"/>
      <c r="AU72" s="19"/>
      <c r="AV72" s="19"/>
    </row>
    <row r="73" spans="1:48">
      <c r="A73" s="28" t="s">
        <v>33</v>
      </c>
      <c r="B73" s="3"/>
      <c r="C73" s="862"/>
      <c r="D73" s="859"/>
      <c r="E73" s="44">
        <f t="shared" ref="E73:AD73" si="75">E61-E48</f>
        <v>0</v>
      </c>
      <c r="F73" s="48">
        <f t="shared" si="75"/>
        <v>-3</v>
      </c>
      <c r="G73" s="48">
        <f t="shared" si="75"/>
        <v>2</v>
      </c>
      <c r="H73" s="48">
        <f t="shared" si="75"/>
        <v>0</v>
      </c>
      <c r="I73" s="48">
        <f t="shared" si="75"/>
        <v>0</v>
      </c>
      <c r="J73" s="48">
        <f t="shared" si="75"/>
        <v>-3</v>
      </c>
      <c r="K73" s="48">
        <f t="shared" si="75"/>
        <v>2</v>
      </c>
      <c r="L73" s="48">
        <f t="shared" si="75"/>
        <v>1.5</v>
      </c>
      <c r="M73" s="48">
        <f t="shared" si="75"/>
        <v>-3</v>
      </c>
      <c r="N73" s="48">
        <f t="shared" si="75"/>
        <v>2</v>
      </c>
      <c r="O73" s="48">
        <f t="shared" si="75"/>
        <v>0</v>
      </c>
      <c r="P73" s="48">
        <f t="shared" si="75"/>
        <v>-12</v>
      </c>
      <c r="Q73" s="48">
        <f t="shared" si="75"/>
        <v>0</v>
      </c>
      <c r="R73" s="48">
        <f t="shared" si="75"/>
        <v>0</v>
      </c>
      <c r="S73" s="48">
        <f t="shared" si="75"/>
        <v>-4</v>
      </c>
      <c r="T73" s="48">
        <f t="shared" si="75"/>
        <v>1.2</v>
      </c>
      <c r="U73" s="48">
        <f t="shared" si="75"/>
        <v>-3</v>
      </c>
      <c r="V73" s="48">
        <f t="shared" si="75"/>
        <v>0</v>
      </c>
      <c r="W73" s="48">
        <f t="shared" si="75"/>
        <v>2</v>
      </c>
      <c r="X73" s="48">
        <f t="shared" si="75"/>
        <v>-2.4000000000000004</v>
      </c>
      <c r="Y73" s="48">
        <f t="shared" si="75"/>
        <v>16.5</v>
      </c>
      <c r="Z73" s="48">
        <f t="shared" si="75"/>
        <v>12</v>
      </c>
      <c r="AA73" s="48">
        <f t="shared" si="75"/>
        <v>0</v>
      </c>
      <c r="AB73" s="48">
        <f t="shared" si="75"/>
        <v>2</v>
      </c>
      <c r="AC73" s="48">
        <f t="shared" si="75"/>
        <v>0</v>
      </c>
      <c r="AD73" s="48">
        <f t="shared" si="75"/>
        <v>0</v>
      </c>
      <c r="AE73" s="48">
        <f t="shared" ref="AE73:AK76" si="76">AE61-AE48</f>
        <v>0</v>
      </c>
      <c r="AF73" s="48">
        <f t="shared" si="76"/>
        <v>0</v>
      </c>
      <c r="AG73" s="48">
        <f t="shared" si="76"/>
        <v>0</v>
      </c>
      <c r="AH73" s="48">
        <f t="shared" si="76"/>
        <v>0</v>
      </c>
      <c r="AI73" s="48">
        <f t="shared" si="76"/>
        <v>0</v>
      </c>
      <c r="AJ73" s="48">
        <f t="shared" si="76"/>
        <v>0</v>
      </c>
      <c r="AK73" s="48">
        <f t="shared" si="76"/>
        <v>0</v>
      </c>
      <c r="AL73" s="48">
        <f t="shared" ref="AL73:AM73" si="77">AL61-AL48</f>
        <v>0</v>
      </c>
      <c r="AM73" s="48">
        <f t="shared" si="77"/>
        <v>0</v>
      </c>
      <c r="AN73" s="48">
        <f t="shared" ref="AN73" si="78">AN61-AN48</f>
        <v>0</v>
      </c>
      <c r="AO73" s="48">
        <f>AO61-AO48</f>
        <v>0</v>
      </c>
      <c r="AP73" s="689" t="s">
        <v>5</v>
      </c>
      <c r="AQ73" s="579" t="s">
        <v>3</v>
      </c>
      <c r="AR73" s="538" t="s">
        <v>379</v>
      </c>
      <c r="AS73" s="19"/>
      <c r="AT73" s="19"/>
      <c r="AU73" s="19"/>
      <c r="AV73" s="19"/>
    </row>
    <row r="74" spans="1:48">
      <c r="A74" s="28" t="s">
        <v>229</v>
      </c>
      <c r="B74" s="3"/>
      <c r="C74" s="862"/>
      <c r="D74" s="859"/>
      <c r="E74" s="44">
        <f t="shared" ref="E74:AD74" si="79">E62-E49</f>
        <v>0</v>
      </c>
      <c r="F74" s="48">
        <f t="shared" si="79"/>
        <v>0</v>
      </c>
      <c r="G74" s="48">
        <f t="shared" si="79"/>
        <v>1.1000000000000005</v>
      </c>
      <c r="H74" s="48">
        <f t="shared" si="79"/>
        <v>0</v>
      </c>
      <c r="I74" s="48">
        <f t="shared" si="79"/>
        <v>0.70000000000000018</v>
      </c>
      <c r="J74" s="48">
        <f t="shared" si="79"/>
        <v>0</v>
      </c>
      <c r="K74" s="48">
        <f t="shared" si="79"/>
        <v>0</v>
      </c>
      <c r="L74" s="48">
        <f t="shared" si="79"/>
        <v>-1.4400000000000004</v>
      </c>
      <c r="M74" s="48">
        <f t="shared" si="79"/>
        <v>-0.83000000000000007</v>
      </c>
      <c r="N74" s="48">
        <f t="shared" si="79"/>
        <v>-0.40000000000000036</v>
      </c>
      <c r="O74" s="48">
        <f t="shared" si="79"/>
        <v>0</v>
      </c>
      <c r="P74" s="48">
        <f t="shared" si="79"/>
        <v>-2</v>
      </c>
      <c r="Q74" s="48">
        <f t="shared" si="79"/>
        <v>-3.5</v>
      </c>
      <c r="R74" s="48">
        <f t="shared" si="79"/>
        <v>-0.60000000000000009</v>
      </c>
      <c r="S74" s="48">
        <f t="shared" si="79"/>
        <v>-0.10000000000000009</v>
      </c>
      <c r="T74" s="48">
        <f t="shared" si="79"/>
        <v>-2</v>
      </c>
      <c r="U74" s="48">
        <f t="shared" si="79"/>
        <v>-0.64000000000000012</v>
      </c>
      <c r="V74" s="48">
        <f t="shared" si="79"/>
        <v>-0.59999999999999964</v>
      </c>
      <c r="W74" s="48">
        <f t="shared" si="79"/>
        <v>0.69999999999999929</v>
      </c>
      <c r="X74" s="48">
        <f t="shared" si="79"/>
        <v>1.2000000000000002</v>
      </c>
      <c r="Y74" s="48">
        <f t="shared" si="79"/>
        <v>2.169999999999999</v>
      </c>
      <c r="Z74" s="48">
        <f t="shared" si="79"/>
        <v>0.59999999999999964</v>
      </c>
      <c r="AA74" s="48">
        <f t="shared" si="79"/>
        <v>-0.44000000000000039</v>
      </c>
      <c r="AB74" s="48">
        <f t="shared" si="79"/>
        <v>-0.89999999999999947</v>
      </c>
      <c r="AC74" s="48">
        <f t="shared" si="79"/>
        <v>-2.0000000000000462E-2</v>
      </c>
      <c r="AD74" s="48">
        <f t="shared" si="79"/>
        <v>-0.33999999999999986</v>
      </c>
      <c r="AE74" s="48">
        <f t="shared" si="76"/>
        <v>0</v>
      </c>
      <c r="AF74" s="48">
        <f t="shared" si="76"/>
        <v>0</v>
      </c>
      <c r="AG74" s="48">
        <f t="shared" si="76"/>
        <v>0</v>
      </c>
      <c r="AH74" s="48">
        <f t="shared" si="76"/>
        <v>0</v>
      </c>
      <c r="AI74" s="48">
        <f t="shared" si="76"/>
        <v>0</v>
      </c>
      <c r="AJ74" s="48">
        <f t="shared" si="76"/>
        <v>0</v>
      </c>
      <c r="AK74" s="48">
        <f t="shared" si="76"/>
        <v>0</v>
      </c>
      <c r="AL74" s="48">
        <f t="shared" ref="AL74:AM74" si="80">AL62-AL49</f>
        <v>0</v>
      </c>
      <c r="AM74" s="48">
        <f t="shared" si="80"/>
        <v>0</v>
      </c>
      <c r="AN74" s="48">
        <f t="shared" ref="AN74:AO74" si="81">AN62-AN49</f>
        <v>0</v>
      </c>
      <c r="AO74" s="48">
        <f t="shared" si="81"/>
        <v>0</v>
      </c>
      <c r="AP74" s="689" t="s">
        <v>5</v>
      </c>
      <c r="AQ74" s="579" t="s">
        <v>3</v>
      </c>
      <c r="AR74" s="538" t="s">
        <v>380</v>
      </c>
      <c r="AS74" s="19"/>
      <c r="AT74" s="19"/>
      <c r="AU74" s="19"/>
      <c r="AV74" s="19"/>
    </row>
    <row r="75" spans="1:48">
      <c r="A75" s="28" t="s">
        <v>230</v>
      </c>
      <c r="B75" s="3"/>
      <c r="C75" s="862"/>
      <c r="D75" s="859"/>
      <c r="E75" s="44">
        <f t="shared" ref="E75:AD75" si="82">E63-E50</f>
        <v>0</v>
      </c>
      <c r="F75" s="48">
        <f t="shared" si="82"/>
        <v>0.51999999999999957</v>
      </c>
      <c r="G75" s="48">
        <f t="shared" si="82"/>
        <v>0</v>
      </c>
      <c r="H75" s="48">
        <f t="shared" si="82"/>
        <v>0.16000000000000014</v>
      </c>
      <c r="I75" s="48">
        <f t="shared" si="82"/>
        <v>0</v>
      </c>
      <c r="J75" s="48">
        <f t="shared" si="82"/>
        <v>0</v>
      </c>
      <c r="K75" s="48">
        <f t="shared" si="82"/>
        <v>0.85000000000000053</v>
      </c>
      <c r="L75" s="48">
        <f t="shared" si="82"/>
        <v>0</v>
      </c>
      <c r="M75" s="48">
        <f t="shared" si="82"/>
        <v>0.15000000000000036</v>
      </c>
      <c r="N75" s="48">
        <f t="shared" si="82"/>
        <v>0</v>
      </c>
      <c r="O75" s="48">
        <f t="shared" si="82"/>
        <v>0</v>
      </c>
      <c r="P75" s="48">
        <f t="shared" si="82"/>
        <v>0</v>
      </c>
      <c r="Q75" s="48">
        <f t="shared" si="82"/>
        <v>-1.4500000000000002</v>
      </c>
      <c r="R75" s="48">
        <f t="shared" si="82"/>
        <v>0.29999999999999982</v>
      </c>
      <c r="S75" s="48">
        <f t="shared" si="82"/>
        <v>1.1400000000000006</v>
      </c>
      <c r="T75" s="48">
        <f t="shared" si="82"/>
        <v>9.9999999999999645E-2</v>
      </c>
      <c r="U75" s="48">
        <f t="shared" si="82"/>
        <v>-0.17999999999999972</v>
      </c>
      <c r="V75" s="48">
        <f t="shared" si="82"/>
        <v>0.21999999999999975</v>
      </c>
      <c r="W75" s="48">
        <f t="shared" si="82"/>
        <v>0</v>
      </c>
      <c r="X75" s="48">
        <f t="shared" si="82"/>
        <v>0</v>
      </c>
      <c r="Y75" s="48">
        <f t="shared" si="82"/>
        <v>-0.40299999999999958</v>
      </c>
      <c r="Z75" s="48">
        <f t="shared" si="82"/>
        <v>0</v>
      </c>
      <c r="AA75" s="48">
        <f t="shared" si="82"/>
        <v>-0.14999999999999947</v>
      </c>
      <c r="AB75" s="48">
        <f t="shared" si="82"/>
        <v>0.27200000000000024</v>
      </c>
      <c r="AC75" s="48">
        <f t="shared" si="82"/>
        <v>0</v>
      </c>
      <c r="AD75" s="48">
        <f t="shared" si="82"/>
        <v>0</v>
      </c>
      <c r="AE75" s="48">
        <f t="shared" si="76"/>
        <v>0</v>
      </c>
      <c r="AF75" s="48">
        <f t="shared" si="76"/>
        <v>0</v>
      </c>
      <c r="AG75" s="48">
        <f t="shared" si="76"/>
        <v>0</v>
      </c>
      <c r="AH75" s="48">
        <f t="shared" si="76"/>
        <v>0</v>
      </c>
      <c r="AI75" s="48">
        <f t="shared" si="76"/>
        <v>0</v>
      </c>
      <c r="AJ75" s="48">
        <f t="shared" si="76"/>
        <v>0</v>
      </c>
      <c r="AK75" s="48">
        <f t="shared" si="76"/>
        <v>0</v>
      </c>
      <c r="AL75" s="48">
        <f t="shared" ref="AL75:AM75" si="83">AL63-AL50</f>
        <v>0</v>
      </c>
      <c r="AM75" s="48">
        <f t="shared" si="83"/>
        <v>0</v>
      </c>
      <c r="AN75" s="48">
        <f t="shared" ref="AN75:AO75" si="84">AN63-AN50</f>
        <v>0</v>
      </c>
      <c r="AO75" s="48">
        <f t="shared" si="84"/>
        <v>0</v>
      </c>
      <c r="AP75" s="689" t="s">
        <v>5</v>
      </c>
      <c r="AQ75" s="579" t="s">
        <v>3</v>
      </c>
      <c r="AR75" s="538" t="s">
        <v>381</v>
      </c>
      <c r="AS75" s="19"/>
      <c r="AT75" s="19"/>
      <c r="AU75" s="19"/>
      <c r="AV75" s="19"/>
    </row>
    <row r="76" spans="1:48" ht="15" thickBot="1">
      <c r="A76" s="35" t="s">
        <v>231</v>
      </c>
      <c r="B76" s="36"/>
      <c r="C76" s="864"/>
      <c r="D76" s="869"/>
      <c r="E76" s="50">
        <f t="shared" ref="E76:AD76" si="85">E64-E51</f>
        <v>0</v>
      </c>
      <c r="F76" s="51">
        <f t="shared" si="85"/>
        <v>0.68000000000000149</v>
      </c>
      <c r="G76" s="51">
        <f t="shared" si="85"/>
        <v>0</v>
      </c>
      <c r="H76" s="51">
        <f t="shared" si="85"/>
        <v>-1.9299999999999997</v>
      </c>
      <c r="I76" s="51">
        <f t="shared" si="85"/>
        <v>0</v>
      </c>
      <c r="J76" s="51">
        <f t="shared" si="85"/>
        <v>0</v>
      </c>
      <c r="K76" s="51">
        <f t="shared" si="85"/>
        <v>2.6500000000000004</v>
      </c>
      <c r="L76" s="51">
        <f t="shared" si="85"/>
        <v>0</v>
      </c>
      <c r="M76" s="51">
        <f t="shared" si="85"/>
        <v>2.7189999999999994</v>
      </c>
      <c r="N76" s="51">
        <f t="shared" si="85"/>
        <v>1.5</v>
      </c>
      <c r="O76" s="51">
        <f t="shared" si="85"/>
        <v>-2</v>
      </c>
      <c r="P76" s="51">
        <f t="shared" si="85"/>
        <v>0.90000000000000036</v>
      </c>
      <c r="Q76" s="51">
        <f t="shared" si="85"/>
        <v>-2.0500000000000007</v>
      </c>
      <c r="R76" s="51">
        <f t="shared" si="85"/>
        <v>-1.0999999999999996</v>
      </c>
      <c r="S76" s="51">
        <f t="shared" si="85"/>
        <v>-1.2399999999999984</v>
      </c>
      <c r="T76" s="51">
        <f t="shared" si="85"/>
        <v>-1.5200000000000014</v>
      </c>
      <c r="U76" s="51">
        <f t="shared" si="85"/>
        <v>0</v>
      </c>
      <c r="V76" s="51">
        <f t="shared" si="85"/>
        <v>-0.90999999999999837</v>
      </c>
      <c r="W76" s="51">
        <f t="shared" si="85"/>
        <v>0</v>
      </c>
      <c r="X76" s="51">
        <f t="shared" si="85"/>
        <v>-0.72000000000000064</v>
      </c>
      <c r="Y76" s="51">
        <f t="shared" si="85"/>
        <v>-2.1199999999999992</v>
      </c>
      <c r="Z76" s="51">
        <f t="shared" si="85"/>
        <v>-2.1100000000000003</v>
      </c>
      <c r="AA76" s="51">
        <f t="shared" si="85"/>
        <v>-2.0600000000000005</v>
      </c>
      <c r="AB76" s="51">
        <f t="shared" si="85"/>
        <v>0</v>
      </c>
      <c r="AC76" s="51">
        <f t="shared" si="85"/>
        <v>0</v>
      </c>
      <c r="AD76" s="51">
        <f t="shared" si="85"/>
        <v>0</v>
      </c>
      <c r="AE76" s="51">
        <f t="shared" si="76"/>
        <v>0</v>
      </c>
      <c r="AF76" s="51">
        <f t="shared" si="76"/>
        <v>0</v>
      </c>
      <c r="AG76" s="51">
        <f t="shared" si="76"/>
        <v>0</v>
      </c>
      <c r="AH76" s="51">
        <f t="shared" si="76"/>
        <v>0</v>
      </c>
      <c r="AI76" s="51">
        <f t="shared" si="76"/>
        <v>0</v>
      </c>
      <c r="AJ76" s="51">
        <f t="shared" si="76"/>
        <v>0</v>
      </c>
      <c r="AK76" s="51">
        <f t="shared" si="76"/>
        <v>0</v>
      </c>
      <c r="AL76" s="51">
        <f t="shared" ref="AL76:AM76" si="86">AL64-AL51</f>
        <v>0</v>
      </c>
      <c r="AM76" s="51">
        <f t="shared" si="86"/>
        <v>0</v>
      </c>
      <c r="AN76" s="51">
        <f t="shared" ref="AN76:AO76" si="87">AN64-AN51</f>
        <v>0</v>
      </c>
      <c r="AO76" s="51">
        <f t="shared" si="87"/>
        <v>0.5</v>
      </c>
      <c r="AP76" s="689" t="s">
        <v>5</v>
      </c>
      <c r="AQ76" s="579" t="s">
        <v>3</v>
      </c>
      <c r="AR76" s="538" t="s">
        <v>382</v>
      </c>
      <c r="AS76" s="19"/>
      <c r="AT76" s="19"/>
      <c r="AU76" s="19"/>
      <c r="AV76" s="19"/>
    </row>
    <row r="77" spans="1:48" ht="15" thickBot="1">
      <c r="A77" s="852" t="s">
        <v>232</v>
      </c>
      <c r="B77" s="853"/>
      <c r="C77" s="853"/>
      <c r="D77" s="853"/>
      <c r="E77" s="46">
        <f t="shared" ref="E77:Z77" si="88">SUM(E72:E76)</f>
        <v>0</v>
      </c>
      <c r="F77" s="47">
        <f t="shared" si="88"/>
        <v>-1.7999999999999989</v>
      </c>
      <c r="G77" s="47">
        <f t="shared" si="88"/>
        <v>-7.1900000000000199</v>
      </c>
      <c r="H77" s="47">
        <f t="shared" si="88"/>
        <v>-1.2919999999999909</v>
      </c>
      <c r="I77" s="47">
        <f t="shared" si="88"/>
        <v>-14.564000000000011</v>
      </c>
      <c r="J77" s="47">
        <f t="shared" si="88"/>
        <v>-6</v>
      </c>
      <c r="K77" s="47">
        <f t="shared" si="88"/>
        <v>6.8000000000000123</v>
      </c>
      <c r="L77" s="47">
        <f t="shared" si="88"/>
        <v>-1.1800000000000095</v>
      </c>
      <c r="M77" s="47">
        <f t="shared" si="88"/>
        <v>-14.794000000000027</v>
      </c>
      <c r="N77" s="47">
        <f t="shared" si="88"/>
        <v>1.650000000000011</v>
      </c>
      <c r="O77" s="47">
        <f t="shared" si="88"/>
        <v>-15.600000000000023</v>
      </c>
      <c r="P77" s="47">
        <f t="shared" si="88"/>
        <v>-55.299000000000014</v>
      </c>
      <c r="Q77" s="47">
        <f t="shared" si="88"/>
        <v>-7.0000000000000009</v>
      </c>
      <c r="R77" s="47">
        <f t="shared" si="88"/>
        <v>-2.0825882138433029</v>
      </c>
      <c r="S77" s="47">
        <f t="shared" si="88"/>
        <v>-4.935478581817998</v>
      </c>
      <c r="T77" s="47">
        <f t="shared" si="88"/>
        <v>-2.8599999999999879</v>
      </c>
      <c r="U77" s="47">
        <f t="shared" si="88"/>
        <v>-3.82</v>
      </c>
      <c r="V77" s="47">
        <f t="shared" si="88"/>
        <v>-9.8839999999999915</v>
      </c>
      <c r="W77" s="47">
        <f t="shared" si="88"/>
        <v>6.2279999999999909</v>
      </c>
      <c r="X77" s="47">
        <f t="shared" si="88"/>
        <v>27.634999999999977</v>
      </c>
      <c r="Y77" s="47">
        <f t="shared" si="88"/>
        <v>16.263857938685483</v>
      </c>
      <c r="Z77" s="47">
        <f t="shared" si="88"/>
        <v>18.830232274350315</v>
      </c>
      <c r="AA77" s="47">
        <f t="shared" ref="AA77:AJ77" si="89">SUM(AA72:AA76)</f>
        <v>-3.1648790847924264</v>
      </c>
      <c r="AB77" s="47">
        <f t="shared" si="89"/>
        <v>-6.4610849453320176</v>
      </c>
      <c r="AC77" s="47">
        <f t="shared" si="89"/>
        <v>1.6269999999999909</v>
      </c>
      <c r="AD77" s="47">
        <f t="shared" si="89"/>
        <v>0.49829273940779117</v>
      </c>
      <c r="AE77" s="47">
        <f t="shared" si="89"/>
        <v>1.2364999999999782</v>
      </c>
      <c r="AF77" s="47">
        <f t="shared" si="89"/>
        <v>-0.31000000000000227</v>
      </c>
      <c r="AG77" s="47">
        <f t="shared" si="89"/>
        <v>-4.1100000000000136</v>
      </c>
      <c r="AH77" s="47">
        <f t="shared" si="89"/>
        <v>0</v>
      </c>
      <c r="AI77" s="47">
        <f t="shared" si="89"/>
        <v>0</v>
      </c>
      <c r="AJ77" s="47">
        <f t="shared" si="89"/>
        <v>0</v>
      </c>
      <c r="AK77" s="47">
        <f>SUM(AK72:AK76)</f>
        <v>-4.6499999999999773</v>
      </c>
      <c r="AL77" s="47">
        <f t="shared" ref="AL77:AM77" si="90">SUM(AL72:AL76)</f>
        <v>-4.1999999999999886</v>
      </c>
      <c r="AM77" s="47">
        <f t="shared" si="90"/>
        <v>-4.6499999999999773</v>
      </c>
      <c r="AN77" s="47">
        <f t="shared" ref="AN77" si="91">SUM(AN72:AN76)</f>
        <v>-4.5</v>
      </c>
      <c r="AO77" s="47">
        <f>SUM(AO72:AO76)</f>
        <v>5.0853448275857431</v>
      </c>
      <c r="AP77" s="689" t="s">
        <v>5</v>
      </c>
      <c r="AQ77" s="579" t="s">
        <v>3</v>
      </c>
      <c r="AR77" s="538" t="s">
        <v>383</v>
      </c>
      <c r="AS77" s="19"/>
      <c r="AT77" s="19"/>
      <c r="AU77" s="19"/>
      <c r="AV77" s="19"/>
    </row>
    <row r="78" spans="1:48" ht="13.35" customHeight="1">
      <c r="A78" s="217" t="s">
        <v>245</v>
      </c>
      <c r="B78" s="439"/>
      <c r="C78" s="439" t="s">
        <v>246</v>
      </c>
      <c r="D78" s="439"/>
      <c r="E78" s="45"/>
      <c r="F78" s="45"/>
      <c r="G78" s="45"/>
      <c r="H78" s="45"/>
      <c r="I78" s="45"/>
      <c r="J78" s="45"/>
      <c r="K78" s="45"/>
      <c r="L78" s="45"/>
      <c r="M78" s="45"/>
      <c r="N78" s="45"/>
      <c r="O78" s="45"/>
      <c r="P78" s="45"/>
      <c r="Q78" s="45"/>
      <c r="R78" s="45"/>
      <c r="S78" s="45"/>
      <c r="T78" s="45"/>
      <c r="U78" s="45"/>
      <c r="V78" s="45"/>
      <c r="W78" s="45"/>
      <c r="X78" s="45"/>
      <c r="Y78" s="45"/>
      <c r="Z78" s="288">
        <f t="shared" ref="Z78:AL78" si="92">IF(Z109&gt;Z8,Z8,Z109)</f>
        <v>39</v>
      </c>
      <c r="AA78" s="288">
        <f t="shared" si="92"/>
        <v>37</v>
      </c>
      <c r="AB78" s="288">
        <f t="shared" si="92"/>
        <v>29.5</v>
      </c>
      <c r="AC78" s="288">
        <f t="shared" si="92"/>
        <v>36</v>
      </c>
      <c r="AD78" s="288">
        <f t="shared" si="92"/>
        <v>26</v>
      </c>
      <c r="AE78" s="288">
        <f t="shared" si="92"/>
        <v>60.106688570000003</v>
      </c>
      <c r="AF78" s="288">
        <f t="shared" si="92"/>
        <v>36</v>
      </c>
      <c r="AG78" s="288">
        <f t="shared" si="92"/>
        <v>53</v>
      </c>
      <c r="AH78" s="288">
        <f t="shared" si="92"/>
        <v>50</v>
      </c>
      <c r="AI78" s="288">
        <f t="shared" si="92"/>
        <v>45</v>
      </c>
      <c r="AJ78" s="288">
        <f t="shared" si="92"/>
        <v>27</v>
      </c>
      <c r="AK78" s="288">
        <f t="shared" si="92"/>
        <v>41</v>
      </c>
      <c r="AL78" s="288">
        <f t="shared" si="92"/>
        <v>50</v>
      </c>
      <c r="AM78" s="288">
        <f t="shared" ref="AM78:AN78" si="93">IF(AM109&gt;AM8,AM8,AM109)</f>
        <v>38</v>
      </c>
      <c r="AN78" s="288">
        <f t="shared" si="93"/>
        <v>38</v>
      </c>
      <c r="AO78" s="288">
        <f>IF(AO109&gt;AO8,AO8,AO109)</f>
        <v>33</v>
      </c>
      <c r="AP78" s="696"/>
      <c r="AQ78" s="580" t="s">
        <v>158</v>
      </c>
      <c r="AR78" s="552" t="s">
        <v>384</v>
      </c>
      <c r="AS78" s="19"/>
      <c r="AT78" s="19"/>
      <c r="AU78" s="19"/>
    </row>
    <row r="79" spans="1:48" ht="13.35" customHeight="1">
      <c r="A79" s="216"/>
      <c r="B79" s="439"/>
      <c r="C79" s="439" t="s">
        <v>248</v>
      </c>
      <c r="D79" s="439"/>
      <c r="E79" s="45"/>
      <c r="F79" s="45"/>
      <c r="G79" s="45"/>
      <c r="H79" s="45"/>
      <c r="I79" s="45"/>
      <c r="J79" s="45"/>
      <c r="K79" s="45"/>
      <c r="L79" s="45"/>
      <c r="M79" s="45"/>
      <c r="N79" s="45"/>
      <c r="O79" s="45"/>
      <c r="P79" s="45"/>
      <c r="Q79" s="45"/>
      <c r="R79" s="45"/>
      <c r="S79" s="45"/>
      <c r="T79" s="45"/>
      <c r="U79" s="45"/>
      <c r="V79" s="45"/>
      <c r="W79" s="45"/>
      <c r="X79" s="45"/>
      <c r="Y79" s="45"/>
      <c r="Z79" s="288">
        <f t="shared" ref="Z79:AL79" si="94">IF(Z8=Z78,0,Z8-Z109)</f>
        <v>0</v>
      </c>
      <c r="AA79" s="288">
        <f t="shared" si="94"/>
        <v>0</v>
      </c>
      <c r="AB79" s="288">
        <f t="shared" si="94"/>
        <v>0</v>
      </c>
      <c r="AC79" s="288">
        <f t="shared" si="94"/>
        <v>0</v>
      </c>
      <c r="AD79" s="288">
        <f t="shared" si="94"/>
        <v>0</v>
      </c>
      <c r="AE79" s="288">
        <f t="shared" si="94"/>
        <v>41.893311429999997</v>
      </c>
      <c r="AF79" s="288">
        <f t="shared" si="94"/>
        <v>0</v>
      </c>
      <c r="AG79" s="288">
        <f t="shared" si="94"/>
        <v>0</v>
      </c>
      <c r="AH79" s="288">
        <f t="shared" si="94"/>
        <v>0</v>
      </c>
      <c r="AI79" s="288">
        <f t="shared" si="94"/>
        <v>0</v>
      </c>
      <c r="AJ79" s="288">
        <f t="shared" si="94"/>
        <v>0</v>
      </c>
      <c r="AK79" s="288">
        <f t="shared" si="94"/>
        <v>0</v>
      </c>
      <c r="AL79" s="288">
        <f t="shared" si="94"/>
        <v>0</v>
      </c>
      <c r="AM79" s="288">
        <f t="shared" ref="AM79:AN79" si="95">IF(AM8=AM78,0,AM8-AM109)</f>
        <v>0</v>
      </c>
      <c r="AN79" s="288">
        <f t="shared" si="95"/>
        <v>0</v>
      </c>
      <c r="AO79" s="288">
        <f>IF(AO8=AO78,0,AO8-AO109)</f>
        <v>0</v>
      </c>
      <c r="AP79" s="696"/>
      <c r="AQ79" s="580" t="s">
        <v>158</v>
      </c>
      <c r="AR79" s="553" t="s">
        <v>385</v>
      </c>
      <c r="AS79" s="19"/>
      <c r="AT79" s="19"/>
      <c r="AU79" s="19"/>
    </row>
    <row r="80" spans="1:48" ht="13.35" customHeight="1">
      <c r="A80" s="216"/>
      <c r="B80" s="439"/>
      <c r="C80" s="439" t="s">
        <v>249</v>
      </c>
      <c r="D80" s="439"/>
      <c r="E80" s="45"/>
      <c r="F80" s="45"/>
      <c r="G80" s="45"/>
      <c r="H80" s="45"/>
      <c r="I80" s="45"/>
      <c r="J80" s="45"/>
      <c r="K80" s="45"/>
      <c r="L80" s="45"/>
      <c r="M80" s="45"/>
      <c r="N80" s="45"/>
      <c r="O80" s="45"/>
      <c r="P80" s="45"/>
      <c r="Q80" s="45"/>
      <c r="R80" s="45"/>
      <c r="S80" s="45"/>
      <c r="T80" s="45"/>
      <c r="U80" s="45"/>
      <c r="V80" s="45"/>
      <c r="W80" s="45"/>
      <c r="X80" s="45"/>
      <c r="Y80" s="45"/>
      <c r="Z80" s="288">
        <f t="shared" ref="Z80:AL80" si="96">IF(Z81+Z82&gt;Z8,0,Z8-(Z81+Z82))</f>
        <v>0</v>
      </c>
      <c r="AA80" s="288">
        <f t="shared" si="96"/>
        <v>0</v>
      </c>
      <c r="AB80" s="288">
        <f t="shared" si="96"/>
        <v>0</v>
      </c>
      <c r="AC80" s="288">
        <f t="shared" si="96"/>
        <v>0</v>
      </c>
      <c r="AD80" s="288">
        <f t="shared" si="96"/>
        <v>0</v>
      </c>
      <c r="AE80" s="288">
        <f>IF(AE81+AE82&gt;AE8,0,AE8-(AE81+AE82))</f>
        <v>28.893311429999997</v>
      </c>
      <c r="AF80" s="288">
        <f t="shared" si="96"/>
        <v>0</v>
      </c>
      <c r="AG80" s="288">
        <f t="shared" si="96"/>
        <v>0</v>
      </c>
      <c r="AH80" s="288">
        <f t="shared" si="96"/>
        <v>0</v>
      </c>
      <c r="AI80" s="288">
        <f t="shared" si="96"/>
        <v>0</v>
      </c>
      <c r="AJ80" s="288">
        <f t="shared" si="96"/>
        <v>0</v>
      </c>
      <c r="AK80" s="288">
        <f t="shared" si="96"/>
        <v>0</v>
      </c>
      <c r="AL80" s="288">
        <f t="shared" si="96"/>
        <v>0</v>
      </c>
      <c r="AM80" s="288">
        <f t="shared" ref="AM80" si="97">IF(AM81+AM82&gt;AM8,0,AM8-(AM81+AM82))</f>
        <v>0</v>
      </c>
      <c r="AN80" s="288">
        <f>IF(AN81+AN82&gt;AN8,0,AN8-(AN81+AN82))</f>
        <v>0</v>
      </c>
      <c r="AO80" s="288">
        <f>IF(AO81+AO82&gt;AO8,0,AO8-(AO81+AO82))</f>
        <v>0</v>
      </c>
      <c r="AP80" s="696"/>
      <c r="AQ80" s="580" t="s">
        <v>158</v>
      </c>
      <c r="AR80" s="552" t="s">
        <v>386</v>
      </c>
      <c r="AS80" s="19"/>
      <c r="AT80" s="19"/>
      <c r="AU80" s="19"/>
    </row>
    <row r="81" spans="1:48" ht="13.35" customHeight="1">
      <c r="A81" s="217" t="s">
        <v>245</v>
      </c>
      <c r="B81" s="632" t="s">
        <v>99</v>
      </c>
      <c r="C81" s="632" t="s">
        <v>246</v>
      </c>
      <c r="D81" s="632" t="s">
        <v>250</v>
      </c>
      <c r="E81" s="45"/>
      <c r="F81" s="45"/>
      <c r="G81" s="45"/>
      <c r="H81" s="45"/>
      <c r="I81" s="45"/>
      <c r="J81" s="45"/>
      <c r="K81" s="45"/>
      <c r="L81" s="45"/>
      <c r="M81" s="45"/>
      <c r="N81" s="45"/>
      <c r="O81" s="45"/>
      <c r="P81" s="45"/>
      <c r="Q81" s="45"/>
      <c r="R81" s="45"/>
      <c r="S81" s="45"/>
      <c r="T81" s="45"/>
      <c r="U81" s="45"/>
      <c r="V81" s="45"/>
      <c r="W81" s="45"/>
      <c r="X81" s="45"/>
      <c r="Y81" s="440">
        <v>6</v>
      </c>
      <c r="Z81" s="440">
        <f>Z78</f>
        <v>39</v>
      </c>
      <c r="AA81" s="440">
        <f t="shared" ref="AA81:AL81" si="98">AA78</f>
        <v>37</v>
      </c>
      <c r="AB81" s="440">
        <f t="shared" si="98"/>
        <v>29.5</v>
      </c>
      <c r="AC81" s="440">
        <f t="shared" si="98"/>
        <v>36</v>
      </c>
      <c r="AD81" s="440">
        <f t="shared" si="98"/>
        <v>26</v>
      </c>
      <c r="AE81" s="440">
        <f t="shared" si="98"/>
        <v>60.106688570000003</v>
      </c>
      <c r="AF81" s="440">
        <f t="shared" si="98"/>
        <v>36</v>
      </c>
      <c r="AG81" s="440">
        <f t="shared" si="98"/>
        <v>53</v>
      </c>
      <c r="AH81" s="440">
        <f t="shared" si="98"/>
        <v>50</v>
      </c>
      <c r="AI81" s="440">
        <f t="shared" si="98"/>
        <v>45</v>
      </c>
      <c r="AJ81" s="440">
        <f t="shared" si="98"/>
        <v>27</v>
      </c>
      <c r="AK81" s="440">
        <f t="shared" si="98"/>
        <v>41</v>
      </c>
      <c r="AL81" s="440">
        <f t="shared" si="98"/>
        <v>50</v>
      </c>
      <c r="AM81" s="440">
        <f t="shared" ref="AM81:AN81" si="99">AM78</f>
        <v>38</v>
      </c>
      <c r="AN81" s="440">
        <f t="shared" si="99"/>
        <v>38</v>
      </c>
      <c r="AO81" s="440">
        <f>AO78</f>
        <v>33</v>
      </c>
      <c r="AP81" s="697"/>
      <c r="AQ81" s="579" t="s">
        <v>3</v>
      </c>
      <c r="AR81" s="551" t="s">
        <v>387</v>
      </c>
      <c r="AS81" s="19"/>
      <c r="AT81" s="19"/>
      <c r="AU81" s="19"/>
      <c r="AV81" s="19"/>
    </row>
    <row r="82" spans="1:48" ht="13.35" customHeight="1">
      <c r="A82" s="216"/>
      <c r="B82" s="632" t="s">
        <v>99</v>
      </c>
      <c r="C82" s="632" t="s">
        <v>248</v>
      </c>
      <c r="D82" s="632" t="s">
        <v>250</v>
      </c>
      <c r="E82" s="45"/>
      <c r="F82" s="45"/>
      <c r="G82" s="45"/>
      <c r="H82" s="45"/>
      <c r="I82" s="45"/>
      <c r="J82" s="45"/>
      <c r="K82" s="45"/>
      <c r="L82" s="45"/>
      <c r="M82" s="45"/>
      <c r="N82" s="45"/>
      <c r="O82" s="45"/>
      <c r="P82" s="45"/>
      <c r="Q82" s="45"/>
      <c r="R82" s="45"/>
      <c r="S82" s="45"/>
      <c r="T82" s="45"/>
      <c r="U82" s="45"/>
      <c r="V82" s="45"/>
      <c r="W82" s="45"/>
      <c r="X82" s="45"/>
      <c r="Y82" s="45"/>
      <c r="Z82" s="440">
        <f t="shared" ref="Z82:AD82" si="100">IF(Z79&lt;Z113,Z79,Z113)</f>
        <v>0</v>
      </c>
      <c r="AA82" s="440">
        <f t="shared" si="100"/>
        <v>0</v>
      </c>
      <c r="AB82" s="440">
        <f t="shared" si="100"/>
        <v>0</v>
      </c>
      <c r="AC82" s="440">
        <f t="shared" si="100"/>
        <v>0</v>
      </c>
      <c r="AD82" s="440">
        <f t="shared" si="100"/>
        <v>0</v>
      </c>
      <c r="AE82" s="440">
        <f>IF(AE79&lt;AE113,AE79,AE113)</f>
        <v>13</v>
      </c>
      <c r="AF82" s="440">
        <f t="shared" ref="AF82:AL82" si="101">IF(AF79&lt;AF113,AF79,AF113)</f>
        <v>0</v>
      </c>
      <c r="AG82" s="440">
        <f t="shared" si="101"/>
        <v>0</v>
      </c>
      <c r="AH82" s="440">
        <f t="shared" si="101"/>
        <v>0</v>
      </c>
      <c r="AI82" s="440">
        <f t="shared" si="101"/>
        <v>0</v>
      </c>
      <c r="AJ82" s="440">
        <f t="shared" si="101"/>
        <v>0</v>
      </c>
      <c r="AK82" s="440">
        <f t="shared" si="101"/>
        <v>0</v>
      </c>
      <c r="AL82" s="440">
        <f t="shared" si="101"/>
        <v>0</v>
      </c>
      <c r="AM82" s="440">
        <f t="shared" ref="AM82:AN82" si="102">IF(AM79&lt;AM113,AM79,AM113)</f>
        <v>0</v>
      </c>
      <c r="AN82" s="440">
        <f t="shared" si="102"/>
        <v>0</v>
      </c>
      <c r="AO82" s="440">
        <f>IF(AO79&lt;AO113,AO79,AO113)</f>
        <v>0</v>
      </c>
      <c r="AP82" s="697"/>
      <c r="AQ82" s="579" t="s">
        <v>3</v>
      </c>
      <c r="AR82" s="551" t="s">
        <v>388</v>
      </c>
      <c r="AS82" s="19"/>
      <c r="AT82" s="19"/>
      <c r="AU82" s="19"/>
      <c r="AV82" s="19"/>
    </row>
    <row r="83" spans="1:48" ht="13.35" customHeight="1">
      <c r="A83" s="216"/>
      <c r="B83" s="632" t="s">
        <v>99</v>
      </c>
      <c r="C83" s="632" t="s">
        <v>249</v>
      </c>
      <c r="D83" s="632" t="s">
        <v>250</v>
      </c>
      <c r="E83" s="45"/>
      <c r="F83" s="45"/>
      <c r="G83" s="45"/>
      <c r="H83" s="45"/>
      <c r="I83" s="45"/>
      <c r="J83" s="45"/>
      <c r="K83" s="45"/>
      <c r="L83" s="45"/>
      <c r="M83" s="45"/>
      <c r="N83" s="45"/>
      <c r="O83" s="45"/>
      <c r="P83" s="45"/>
      <c r="Q83" s="45"/>
      <c r="R83" s="45"/>
      <c r="S83" s="45"/>
      <c r="T83" s="45"/>
      <c r="U83" s="45"/>
      <c r="V83" s="45"/>
      <c r="W83" s="45"/>
      <c r="X83" s="45"/>
      <c r="Y83" s="45"/>
      <c r="Z83" s="440">
        <f>Z80</f>
        <v>0</v>
      </c>
      <c r="AA83" s="440">
        <f t="shared" ref="AA83:AL83" si="103">AA80</f>
        <v>0</v>
      </c>
      <c r="AB83" s="440">
        <f t="shared" si="103"/>
        <v>0</v>
      </c>
      <c r="AC83" s="440">
        <f t="shared" si="103"/>
        <v>0</v>
      </c>
      <c r="AD83" s="440">
        <f t="shared" si="103"/>
        <v>0</v>
      </c>
      <c r="AE83" s="440">
        <f t="shared" si="103"/>
        <v>28.893311429999997</v>
      </c>
      <c r="AF83" s="440">
        <f t="shared" si="103"/>
        <v>0</v>
      </c>
      <c r="AG83" s="440">
        <f t="shared" si="103"/>
        <v>0</v>
      </c>
      <c r="AH83" s="440">
        <f t="shared" si="103"/>
        <v>0</v>
      </c>
      <c r="AI83" s="440">
        <f t="shared" si="103"/>
        <v>0</v>
      </c>
      <c r="AJ83" s="440">
        <f t="shared" si="103"/>
        <v>0</v>
      </c>
      <c r="AK83" s="440">
        <f t="shared" si="103"/>
        <v>0</v>
      </c>
      <c r="AL83" s="440">
        <f t="shared" si="103"/>
        <v>0</v>
      </c>
      <c r="AM83" s="440">
        <f t="shared" ref="AM83:AN83" si="104">AM80</f>
        <v>0</v>
      </c>
      <c r="AN83" s="440">
        <f t="shared" si="104"/>
        <v>0</v>
      </c>
      <c r="AO83" s="440">
        <f t="shared" ref="AO83" si="105">AO80</f>
        <v>0</v>
      </c>
      <c r="AP83" s="697"/>
      <c r="AQ83" s="579" t="s">
        <v>3</v>
      </c>
      <c r="AR83" s="551" t="s">
        <v>389</v>
      </c>
      <c r="AS83" s="19"/>
      <c r="AT83" s="19"/>
      <c r="AU83" s="19"/>
      <c r="AV83" s="19"/>
    </row>
    <row r="84" spans="1:48" ht="13.35" customHeight="1">
      <c r="A84" s="216"/>
      <c r="B84" s="18"/>
      <c r="C84" s="438" t="s">
        <v>246</v>
      </c>
      <c r="D84" s="19"/>
      <c r="E84" s="45"/>
      <c r="F84" s="45"/>
      <c r="G84" s="45"/>
      <c r="H84" s="45"/>
      <c r="I84" s="45"/>
      <c r="J84" s="45"/>
      <c r="K84" s="633">
        <f t="shared" ref="K84:Q84" si="106">K109-K8</f>
        <v>53.24</v>
      </c>
      <c r="L84" s="633">
        <f t="shared" si="106"/>
        <v>59.77</v>
      </c>
      <c r="M84" s="633">
        <f t="shared" si="106"/>
        <v>70.308482029999993</v>
      </c>
      <c r="N84" s="633">
        <f t="shared" si="106"/>
        <v>62.170128779999992</v>
      </c>
      <c r="O84" s="633">
        <f t="shared" si="106"/>
        <v>67.39</v>
      </c>
      <c r="P84" s="633">
        <f t="shared" si="106"/>
        <v>52.08</v>
      </c>
      <c r="Q84" s="633">
        <f t="shared" si="106"/>
        <v>45.18</v>
      </c>
      <c r="R84" s="633">
        <f t="shared" ref="R84:AL84" si="107">R109-R8-R10</f>
        <v>47.39</v>
      </c>
      <c r="S84" s="633">
        <f t="shared" si="107"/>
        <v>32.54</v>
      </c>
      <c r="T84" s="633">
        <f t="shared" si="107"/>
        <v>32.6</v>
      </c>
      <c r="U84" s="633">
        <f t="shared" si="107"/>
        <v>43.42</v>
      </c>
      <c r="V84" s="633">
        <f t="shared" si="107"/>
        <v>55.54</v>
      </c>
      <c r="W84" s="633">
        <f t="shared" si="107"/>
        <v>27.382407709999995</v>
      </c>
      <c r="X84" s="633">
        <f t="shared" si="107"/>
        <v>35.423000000000002</v>
      </c>
      <c r="Y84" s="633">
        <f t="shared" si="107"/>
        <v>48.21</v>
      </c>
      <c r="Z84" s="634">
        <f t="shared" si="107"/>
        <v>13.25</v>
      </c>
      <c r="AA84" s="634">
        <f t="shared" si="107"/>
        <v>19.880000000000003</v>
      </c>
      <c r="AB84" s="634">
        <f t="shared" si="107"/>
        <v>17.78</v>
      </c>
      <c r="AC84" s="634">
        <f t="shared" si="107"/>
        <v>15.799999999999997</v>
      </c>
      <c r="AD84" s="634">
        <f t="shared" si="107"/>
        <v>26.229999999999997</v>
      </c>
      <c r="AE84" s="634">
        <f t="shared" si="107"/>
        <v>-41.893311429999997</v>
      </c>
      <c r="AF84" s="634">
        <f t="shared" si="107"/>
        <v>23.348695379999995</v>
      </c>
      <c r="AG84" s="634">
        <f t="shared" si="107"/>
        <v>5.7440288600000002</v>
      </c>
      <c r="AH84" s="634">
        <f t="shared" si="107"/>
        <v>8.4879594099999878</v>
      </c>
      <c r="AI84" s="634">
        <f t="shared" si="107"/>
        <v>14.128257629999993</v>
      </c>
      <c r="AJ84" s="634">
        <f t="shared" si="107"/>
        <v>34.225829050000002</v>
      </c>
      <c r="AK84" s="634">
        <f t="shared" si="107"/>
        <v>20.70687556</v>
      </c>
      <c r="AL84" s="634">
        <f t="shared" si="107"/>
        <v>8.4326442600000036</v>
      </c>
      <c r="AM84" s="634">
        <f t="shared" ref="AM84:AN84" si="108">AM109-AM8-AM10</f>
        <v>22.270865950000001</v>
      </c>
      <c r="AN84" s="634">
        <f t="shared" si="108"/>
        <v>18.221904499999994</v>
      </c>
      <c r="AO84" s="634">
        <f>AO109-AO8-AO10</f>
        <v>24.656336629999998</v>
      </c>
      <c r="AP84" s="698"/>
      <c r="AQ84" s="580" t="s">
        <v>158</v>
      </c>
      <c r="AR84" s="552" t="s">
        <v>390</v>
      </c>
      <c r="AS84" s="19"/>
      <c r="AT84" s="19"/>
      <c r="AU84" s="19"/>
      <c r="AV84" s="19"/>
    </row>
    <row r="85" spans="1:48" ht="13.35" customHeight="1">
      <c r="A85" s="217"/>
      <c r="B85" s="18"/>
      <c r="C85" s="438" t="s">
        <v>248</v>
      </c>
      <c r="D85" s="19"/>
      <c r="E85" s="45"/>
      <c r="F85" s="45"/>
      <c r="G85" s="45"/>
      <c r="H85" s="45"/>
      <c r="I85" s="45"/>
      <c r="J85" s="45"/>
      <c r="K85" s="633"/>
      <c r="L85" s="633"/>
      <c r="M85" s="633"/>
      <c r="N85" s="633"/>
      <c r="O85" s="633"/>
      <c r="P85" s="633"/>
      <c r="Q85" s="633"/>
      <c r="R85" s="633"/>
      <c r="S85" s="633"/>
      <c r="T85" s="633"/>
      <c r="U85" s="633"/>
      <c r="V85" s="633"/>
      <c r="W85" s="633"/>
      <c r="X85" s="633"/>
      <c r="Y85" s="633"/>
      <c r="Z85" s="634">
        <f>IF(Z84&gt;0,Z113,Z113+Z84)</f>
        <v>24.4</v>
      </c>
      <c r="AA85" s="634">
        <f t="shared" ref="AA85:AC85" si="109">IF(AA84&gt;0,AA113,AA113+AA84)</f>
        <v>26</v>
      </c>
      <c r="AB85" s="634">
        <f t="shared" si="109"/>
        <v>23.5</v>
      </c>
      <c r="AC85" s="634">
        <f t="shared" si="109"/>
        <v>22</v>
      </c>
      <c r="AD85" s="634">
        <f t="shared" ref="AD85" si="110">IF(AD84&gt;0,AD113,AD113+AD84)</f>
        <v>13</v>
      </c>
      <c r="AE85" s="634">
        <f t="shared" ref="AE85:AF85" si="111">IF(AE84&gt;0,AE113,AE113+AE84)</f>
        <v>-28.893311429999997</v>
      </c>
      <c r="AF85" s="634">
        <f t="shared" si="111"/>
        <v>15</v>
      </c>
      <c r="AG85" s="634">
        <f>IF(AG84&gt;0,AG113,AG113+AG84)</f>
        <v>15</v>
      </c>
      <c r="AH85" s="634">
        <f t="shared" ref="AH85" si="112">IF(AH84&gt;0,AH113,AH113+AH84)</f>
        <v>15</v>
      </c>
      <c r="AI85" s="634">
        <f t="shared" ref="AI85" si="113">IF(AI84&gt;0,AI113,AI113+AI84)</f>
        <v>15</v>
      </c>
      <c r="AJ85" s="634">
        <f t="shared" ref="AJ85" si="114">IF(AJ84&gt;0,AJ113,AJ113+AJ84)</f>
        <v>15</v>
      </c>
      <c r="AK85" s="634">
        <f t="shared" ref="AK85" si="115">IF(AK84&gt;0,AK113,AK113+AK84)</f>
        <v>15</v>
      </c>
      <c r="AL85" s="634">
        <f t="shared" ref="AL85:AM85" si="116">IF(AL84&gt;0,AL113,AL113+AL84)</f>
        <v>15</v>
      </c>
      <c r="AM85" s="634">
        <f t="shared" si="116"/>
        <v>15</v>
      </c>
      <c r="AN85" s="634">
        <f t="shared" ref="AN85:AO85" si="117">IF(AN84&gt;0,AN113,AN113+AN84)</f>
        <v>15</v>
      </c>
      <c r="AO85" s="634">
        <f t="shared" si="117"/>
        <v>15</v>
      </c>
      <c r="AP85" s="698"/>
      <c r="AQ85" s="580" t="s">
        <v>158</v>
      </c>
      <c r="AR85" s="552" t="s">
        <v>391</v>
      </c>
      <c r="AS85" s="19"/>
      <c r="AT85" s="19"/>
      <c r="AU85" s="19"/>
      <c r="AV85" s="19"/>
    </row>
    <row r="86" spans="1:48" ht="13.35" customHeight="1">
      <c r="A86" s="217"/>
      <c r="B86" s="18"/>
      <c r="C86" s="438" t="s">
        <v>249</v>
      </c>
      <c r="D86" s="19"/>
      <c r="E86" s="45"/>
      <c r="F86" s="45"/>
      <c r="G86" s="45"/>
      <c r="H86" s="45"/>
      <c r="I86" s="45"/>
      <c r="J86" s="45"/>
      <c r="K86" s="633"/>
      <c r="L86" s="633"/>
      <c r="M86" s="633"/>
      <c r="N86" s="633"/>
      <c r="O86" s="633"/>
      <c r="P86" s="633"/>
      <c r="Q86" s="633"/>
      <c r="R86" s="633"/>
      <c r="S86" s="633"/>
      <c r="T86" s="633"/>
      <c r="U86" s="633"/>
      <c r="V86" s="633"/>
      <c r="W86" s="633"/>
      <c r="X86" s="633"/>
      <c r="Y86" s="633"/>
      <c r="Z86" s="634">
        <f t="shared" ref="Z86:AD86" si="118">IF(Z85&gt;=0,Z114,Z114+Z85)</f>
        <v>15</v>
      </c>
      <c r="AA86" s="634">
        <f t="shared" si="118"/>
        <v>17</v>
      </c>
      <c r="AB86" s="634">
        <f t="shared" si="118"/>
        <v>12.5</v>
      </c>
      <c r="AC86" s="634">
        <f t="shared" si="118"/>
        <v>14</v>
      </c>
      <c r="AD86" s="634">
        <f t="shared" si="118"/>
        <v>23</v>
      </c>
      <c r="AE86" s="634">
        <f>IF(AE85&gt;=0,AE114,AE114+AE85)</f>
        <v>-5.8933114299999971</v>
      </c>
      <c r="AF86" s="634">
        <f t="shared" ref="AF86:AL86" si="119">IF(AF85&gt;=0,AF114,AF114+AF85)</f>
        <v>27</v>
      </c>
      <c r="AG86" s="634">
        <f t="shared" si="119"/>
        <v>26</v>
      </c>
      <c r="AH86" s="634">
        <f t="shared" si="119"/>
        <v>26.5</v>
      </c>
      <c r="AI86" s="634">
        <f t="shared" si="119"/>
        <v>27</v>
      </c>
      <c r="AJ86" s="634">
        <f t="shared" si="119"/>
        <v>27</v>
      </c>
      <c r="AK86" s="634">
        <f t="shared" si="119"/>
        <v>27</v>
      </c>
      <c r="AL86" s="634">
        <f t="shared" si="119"/>
        <v>27</v>
      </c>
      <c r="AM86" s="634">
        <f t="shared" ref="AM86:AN86" si="120">IF(AM85&gt;=0,AM114,AM114+AM85)</f>
        <v>27</v>
      </c>
      <c r="AN86" s="634">
        <f t="shared" si="120"/>
        <v>27</v>
      </c>
      <c r="AO86" s="634">
        <f t="shared" ref="AO86" si="121">IF(AO85&gt;=0,AO114,AO114+AO85)</f>
        <v>27</v>
      </c>
      <c r="AP86" s="698"/>
      <c r="AQ86" s="580" t="s">
        <v>158</v>
      </c>
      <c r="AR86" s="553" t="s">
        <v>392</v>
      </c>
      <c r="AS86" s="19"/>
      <c r="AT86" s="19"/>
      <c r="AU86" s="19"/>
      <c r="AV86" s="19"/>
    </row>
    <row r="87" spans="1:48" ht="13.35" customHeight="1">
      <c r="A87" s="216"/>
      <c r="B87" s="635" t="s">
        <v>92</v>
      </c>
      <c r="C87" s="635" t="s">
        <v>246</v>
      </c>
      <c r="D87" s="635" t="s">
        <v>251</v>
      </c>
      <c r="E87" s="45"/>
      <c r="F87" s="45"/>
      <c r="G87" s="45"/>
      <c r="H87" s="45"/>
      <c r="I87" s="45"/>
      <c r="J87" s="45"/>
      <c r="K87" s="633"/>
      <c r="L87" s="633"/>
      <c r="M87" s="633"/>
      <c r="N87" s="633"/>
      <c r="O87" s="633"/>
      <c r="P87" s="633"/>
      <c r="Q87" s="633"/>
      <c r="R87" s="633"/>
      <c r="S87" s="633"/>
      <c r="T87" s="633"/>
      <c r="U87" s="633"/>
      <c r="V87" s="633"/>
      <c r="W87" s="633"/>
      <c r="X87" s="633"/>
      <c r="Y87" s="633">
        <f t="shared" ref="Y87:AL87" si="122">IF(Y84&lt;0,0,Y84)</f>
        <v>48.21</v>
      </c>
      <c r="Z87" s="633">
        <f t="shared" si="122"/>
        <v>13.25</v>
      </c>
      <c r="AA87" s="633">
        <f t="shared" si="122"/>
        <v>19.880000000000003</v>
      </c>
      <c r="AB87" s="633">
        <f t="shared" si="122"/>
        <v>17.78</v>
      </c>
      <c r="AC87" s="633">
        <f t="shared" si="122"/>
        <v>15.799999999999997</v>
      </c>
      <c r="AD87" s="633">
        <f t="shared" si="122"/>
        <v>26.229999999999997</v>
      </c>
      <c r="AE87" s="633">
        <f t="shared" si="122"/>
        <v>0</v>
      </c>
      <c r="AF87" s="633">
        <f t="shared" si="122"/>
        <v>23.348695379999995</v>
      </c>
      <c r="AG87" s="633">
        <f t="shared" si="122"/>
        <v>5.7440288600000002</v>
      </c>
      <c r="AH87" s="633">
        <f t="shared" si="122"/>
        <v>8.4879594099999878</v>
      </c>
      <c r="AI87" s="633">
        <f t="shared" si="122"/>
        <v>14.128257629999993</v>
      </c>
      <c r="AJ87" s="633">
        <f t="shared" si="122"/>
        <v>34.225829050000002</v>
      </c>
      <c r="AK87" s="633">
        <f t="shared" si="122"/>
        <v>20.70687556</v>
      </c>
      <c r="AL87" s="633">
        <f t="shared" si="122"/>
        <v>8.4326442600000036</v>
      </c>
      <c r="AM87" s="633">
        <f t="shared" ref="AM87:AN87" si="123">IF(AM84&lt;0,0,AM84)</f>
        <v>22.270865950000001</v>
      </c>
      <c r="AN87" s="633">
        <f t="shared" si="123"/>
        <v>18.221904499999994</v>
      </c>
      <c r="AO87" s="633">
        <f t="shared" ref="AO87" si="124">IF(AO84&lt;0,0,AO84)</f>
        <v>24.656336629999998</v>
      </c>
      <c r="AP87" s="698"/>
      <c r="AQ87" s="579" t="s">
        <v>3</v>
      </c>
      <c r="AR87" s="551" t="s">
        <v>393</v>
      </c>
      <c r="AS87" s="19"/>
      <c r="AT87" s="19"/>
      <c r="AU87" s="19"/>
      <c r="AV87" s="19"/>
    </row>
    <row r="88" spans="1:48" ht="13.35" customHeight="1">
      <c r="A88" s="216"/>
      <c r="B88" s="635" t="s">
        <v>92</v>
      </c>
      <c r="C88" s="635" t="s">
        <v>248</v>
      </c>
      <c r="D88" s="635" t="s">
        <v>251</v>
      </c>
      <c r="E88" s="45"/>
      <c r="F88" s="45"/>
      <c r="G88" s="45"/>
      <c r="H88" s="45"/>
      <c r="I88" s="45"/>
      <c r="J88" s="45"/>
      <c r="K88" s="633"/>
      <c r="L88" s="633"/>
      <c r="M88" s="633"/>
      <c r="N88" s="633"/>
      <c r="O88" s="633"/>
      <c r="P88" s="633"/>
      <c r="Q88" s="633"/>
      <c r="R88" s="633"/>
      <c r="S88" s="633"/>
      <c r="T88" s="633"/>
      <c r="U88" s="633"/>
      <c r="V88" s="633"/>
      <c r="W88" s="633"/>
      <c r="X88" s="633"/>
      <c r="Y88" s="633"/>
      <c r="Z88" s="633">
        <f t="shared" ref="Z88:AL88" si="125">IF(Z85&lt;0,0,Z85)</f>
        <v>24.4</v>
      </c>
      <c r="AA88" s="633">
        <f t="shared" si="125"/>
        <v>26</v>
      </c>
      <c r="AB88" s="633">
        <f t="shared" si="125"/>
        <v>23.5</v>
      </c>
      <c r="AC88" s="633">
        <f t="shared" si="125"/>
        <v>22</v>
      </c>
      <c r="AD88" s="633">
        <f t="shared" si="125"/>
        <v>13</v>
      </c>
      <c r="AE88" s="633">
        <f t="shared" si="125"/>
        <v>0</v>
      </c>
      <c r="AF88" s="633">
        <f t="shared" si="125"/>
        <v>15</v>
      </c>
      <c r="AG88" s="633">
        <f t="shared" si="125"/>
        <v>15</v>
      </c>
      <c r="AH88" s="633">
        <f t="shared" si="125"/>
        <v>15</v>
      </c>
      <c r="AI88" s="633">
        <f t="shared" si="125"/>
        <v>15</v>
      </c>
      <c r="AJ88" s="633">
        <f t="shared" si="125"/>
        <v>15</v>
      </c>
      <c r="AK88" s="633">
        <f t="shared" si="125"/>
        <v>15</v>
      </c>
      <c r="AL88" s="633">
        <f t="shared" si="125"/>
        <v>15</v>
      </c>
      <c r="AM88" s="633">
        <f t="shared" ref="AM88:AN88" si="126">IF(AM85&lt;0,0,AM85)</f>
        <v>15</v>
      </c>
      <c r="AN88" s="633">
        <f t="shared" si="126"/>
        <v>15</v>
      </c>
      <c r="AO88" s="633">
        <f t="shared" ref="AO88" si="127">IF(AO85&lt;0,0,AO85)</f>
        <v>15</v>
      </c>
      <c r="AP88" s="698"/>
      <c r="AQ88" s="579" t="s">
        <v>3</v>
      </c>
      <c r="AR88" s="551" t="s">
        <v>394</v>
      </c>
      <c r="AS88" s="19"/>
      <c r="AT88" s="19"/>
      <c r="AU88" s="19"/>
      <c r="AV88" s="19"/>
    </row>
    <row r="89" spans="1:48" ht="13.35" customHeight="1">
      <c r="A89" s="216"/>
      <c r="B89" s="635" t="s">
        <v>92</v>
      </c>
      <c r="C89" s="635" t="s">
        <v>249</v>
      </c>
      <c r="D89" s="635" t="s">
        <v>251</v>
      </c>
      <c r="E89" s="45"/>
      <c r="F89" s="45"/>
      <c r="G89" s="45"/>
      <c r="H89" s="45"/>
      <c r="I89" s="45"/>
      <c r="J89" s="45"/>
      <c r="K89" s="633"/>
      <c r="L89" s="633"/>
      <c r="M89" s="633"/>
      <c r="N89" s="633"/>
      <c r="O89" s="633"/>
      <c r="P89" s="633"/>
      <c r="Q89" s="633"/>
      <c r="R89" s="633"/>
      <c r="S89" s="633"/>
      <c r="T89" s="633"/>
      <c r="U89" s="633"/>
      <c r="V89" s="633"/>
      <c r="W89" s="633"/>
      <c r="X89" s="633"/>
      <c r="Y89" s="633"/>
      <c r="Z89" s="633">
        <f>IF(Z86&lt;0,0,Z86)</f>
        <v>15</v>
      </c>
      <c r="AA89" s="633">
        <f t="shared" ref="AA89:AD89" si="128">IF(AA86&lt;0,0,AA86)</f>
        <v>17</v>
      </c>
      <c r="AB89" s="633">
        <f t="shared" si="128"/>
        <v>12.5</v>
      </c>
      <c r="AC89" s="633">
        <f>IF(AC86&lt;0,0,AC86)</f>
        <v>14</v>
      </c>
      <c r="AD89" s="633">
        <f t="shared" si="128"/>
        <v>23</v>
      </c>
      <c r="AE89" s="633">
        <f>IF(AE86&lt;0,0,AE86)</f>
        <v>0</v>
      </c>
      <c r="AF89" s="633">
        <f t="shared" ref="AF89:AL89" si="129">IF(AF86&lt;0,0,AF86)</f>
        <v>27</v>
      </c>
      <c r="AG89" s="633">
        <f t="shared" si="129"/>
        <v>26</v>
      </c>
      <c r="AH89" s="633">
        <f t="shared" si="129"/>
        <v>26.5</v>
      </c>
      <c r="AI89" s="633">
        <f t="shared" si="129"/>
        <v>27</v>
      </c>
      <c r="AJ89" s="633">
        <f t="shared" si="129"/>
        <v>27</v>
      </c>
      <c r="AK89" s="633">
        <f t="shared" si="129"/>
        <v>27</v>
      </c>
      <c r="AL89" s="633">
        <f t="shared" si="129"/>
        <v>27</v>
      </c>
      <c r="AM89" s="633">
        <f t="shared" ref="AM89:AN89" si="130">IF(AM86&lt;0,0,AM86)</f>
        <v>27</v>
      </c>
      <c r="AN89" s="633">
        <f t="shared" si="130"/>
        <v>27</v>
      </c>
      <c r="AO89" s="633">
        <f t="shared" ref="AO89" si="131">IF(AO86&lt;0,0,AO86)</f>
        <v>27</v>
      </c>
      <c r="AP89" s="698"/>
      <c r="AQ89" s="579" t="s">
        <v>3</v>
      </c>
      <c r="AR89" s="551" t="s">
        <v>395</v>
      </c>
      <c r="AS89" s="19"/>
      <c r="AT89" s="19"/>
      <c r="AU89" s="19"/>
      <c r="AV89" s="19"/>
    </row>
    <row r="90" spans="1:48">
      <c r="A90" s="214"/>
      <c r="B90" s="215" t="s">
        <v>396</v>
      </c>
      <c r="C90" s="214"/>
      <c r="D90" s="215" t="s">
        <v>253</v>
      </c>
      <c r="E90" s="45"/>
      <c r="F90" s="45"/>
      <c r="G90" s="45"/>
      <c r="H90" s="45"/>
      <c r="I90" s="45"/>
      <c r="J90" s="45"/>
      <c r="K90" s="213">
        <f>SUM(K109:K152)-K8-K61</f>
        <v>186.98999999999998</v>
      </c>
      <c r="L90" s="213">
        <f>SUM(L109:L152)-L8-L61</f>
        <v>176.72567744999995</v>
      </c>
      <c r="M90" s="213">
        <f>SUM(M109:M153)-M8-M61</f>
        <v>184.30329082000003</v>
      </c>
      <c r="N90" s="213">
        <f>SUM(N109:N153)-N8-N61</f>
        <v>172.28545953</v>
      </c>
      <c r="O90" s="213">
        <f>SUM(O109:O153)-O8-O61</f>
        <v>172.38000000000002</v>
      </c>
      <c r="P90" s="213">
        <f>SUM(P109:P153)-P8-P61</f>
        <v>142.44</v>
      </c>
      <c r="Q90" s="213">
        <f>SUM(Q109:Q153)-Q8-Q61</f>
        <v>138.16</v>
      </c>
      <c r="R90" s="213">
        <f t="shared" ref="R90:AL90" si="132">SUM(R109:R153)-R8-R61-R10</f>
        <v>154.13999999999999</v>
      </c>
      <c r="S90" s="213">
        <f t="shared" si="132"/>
        <v>152.03</v>
      </c>
      <c r="T90" s="213">
        <f t="shared" si="132"/>
        <v>164.28000000000006</v>
      </c>
      <c r="U90" s="213">
        <f t="shared" si="132"/>
        <v>174.54000000000002</v>
      </c>
      <c r="V90" s="213">
        <f t="shared" si="132"/>
        <v>191.40999999999997</v>
      </c>
      <c r="W90" s="213">
        <f t="shared" si="132"/>
        <v>148.50240770999997</v>
      </c>
      <c r="X90" s="213">
        <f t="shared" si="132"/>
        <v>163.09299999999999</v>
      </c>
      <c r="Y90" s="213">
        <f t="shared" si="132"/>
        <v>157.68</v>
      </c>
      <c r="Z90" s="213">
        <f t="shared" si="132"/>
        <v>129.34743945000002</v>
      </c>
      <c r="AA90" s="213">
        <f t="shared" si="132"/>
        <v>161.13999999999996</v>
      </c>
      <c r="AB90" s="213">
        <f t="shared" si="132"/>
        <v>135.09999999999997</v>
      </c>
      <c r="AC90" s="213">
        <f t="shared" si="132"/>
        <v>134.05000000000001</v>
      </c>
      <c r="AD90" s="213">
        <f t="shared" si="132"/>
        <v>146.10999999999996</v>
      </c>
      <c r="AE90" s="213">
        <f t="shared" si="132"/>
        <v>77.053561369999983</v>
      </c>
      <c r="AF90" s="213">
        <f t="shared" si="132"/>
        <v>156.71865578999996</v>
      </c>
      <c r="AG90" s="213">
        <f t="shared" si="132"/>
        <v>137.83812602999998</v>
      </c>
      <c r="AH90" s="213">
        <f t="shared" si="132"/>
        <v>142.58115352999994</v>
      </c>
      <c r="AI90" s="213">
        <f t="shared" si="132"/>
        <v>147.44138480999996</v>
      </c>
      <c r="AJ90" s="213">
        <f t="shared" si="132"/>
        <v>170.14226784999997</v>
      </c>
      <c r="AK90" s="213">
        <f t="shared" si="132"/>
        <v>154.51183659999998</v>
      </c>
      <c r="AL90" s="213">
        <f t="shared" si="132"/>
        <v>138.57218816999998</v>
      </c>
      <c r="AM90" s="213">
        <f t="shared" ref="AM90:AN90" si="133">SUM(AM109:AM153)-AM8-AM61-AM10</f>
        <v>154.45627196999999</v>
      </c>
      <c r="AN90" s="213">
        <f t="shared" si="133"/>
        <v>148.96585520999997</v>
      </c>
      <c r="AO90" s="213">
        <f>SUM(AO109:AO153)-AO8-AO61-AO10</f>
        <v>154.68572226999999</v>
      </c>
      <c r="AP90" s="699" t="s">
        <v>397</v>
      </c>
      <c r="AQ90" s="580" t="s">
        <v>158</v>
      </c>
      <c r="AR90" s="538" t="s">
        <v>398</v>
      </c>
      <c r="AS90" s="19"/>
      <c r="AT90" s="19"/>
      <c r="AU90" s="19"/>
      <c r="AV90" s="19"/>
    </row>
    <row r="91" spans="1:48">
      <c r="A91" s="214"/>
      <c r="B91" s="713" t="s">
        <v>287</v>
      </c>
      <c r="C91" s="214"/>
      <c r="D91" s="215"/>
      <c r="E91" s="45"/>
      <c r="F91" s="45"/>
      <c r="G91" s="45"/>
      <c r="H91" s="45"/>
      <c r="I91" s="45"/>
      <c r="J91" s="45"/>
      <c r="K91" s="213"/>
      <c r="L91" s="213"/>
      <c r="M91" s="213"/>
      <c r="N91" s="213"/>
      <c r="O91" s="213"/>
      <c r="P91" s="213"/>
      <c r="Q91" s="213"/>
      <c r="R91" s="213"/>
      <c r="S91" s="213"/>
      <c r="T91" s="213"/>
      <c r="U91" s="213"/>
      <c r="V91" s="213"/>
      <c r="W91" s="213"/>
      <c r="X91" s="213"/>
      <c r="Y91" s="213"/>
      <c r="Z91" s="213"/>
      <c r="AA91" s="213"/>
      <c r="AB91" s="213"/>
      <c r="AC91" s="213"/>
      <c r="AD91" s="213"/>
      <c r="AE91" s="213"/>
      <c r="AF91" s="213"/>
      <c r="AG91" s="213"/>
      <c r="AH91" s="213"/>
      <c r="AI91" s="213"/>
      <c r="AJ91" s="213"/>
      <c r="AK91" s="213"/>
      <c r="AL91" s="213"/>
      <c r="AM91" s="213"/>
      <c r="AN91" s="213"/>
      <c r="AO91" s="213"/>
      <c r="AP91" s="699" t="s">
        <v>399</v>
      </c>
      <c r="AQ91" s="580"/>
      <c r="AR91" s="538"/>
      <c r="AS91" s="19"/>
      <c r="AT91" s="19"/>
      <c r="AU91" s="19"/>
      <c r="AV91" s="19"/>
    </row>
    <row r="92" spans="1:48">
      <c r="A92" s="214"/>
      <c r="B92" s="215" t="s">
        <v>256</v>
      </c>
      <c r="C92" s="214"/>
      <c r="D92" s="215" t="s">
        <v>257</v>
      </c>
      <c r="E92" s="45"/>
      <c r="F92" s="45"/>
      <c r="G92" s="45"/>
      <c r="H92" s="45"/>
      <c r="I92" s="45"/>
      <c r="J92" s="45"/>
      <c r="K92" s="213">
        <f t="shared" ref="K92:AL92" si="134">K109+K110+K113+K114+K115+K117+K119+K122+K125+K127+K129+K130+K137+K140+K142+K145+K147+K149+K151-K8-K10</f>
        <v>171.64</v>
      </c>
      <c r="L92" s="213">
        <f t="shared" si="134"/>
        <v>177.10567744999997</v>
      </c>
      <c r="M92" s="213">
        <f t="shared" si="134"/>
        <v>181.64329082</v>
      </c>
      <c r="N92" s="213">
        <f t="shared" si="134"/>
        <v>172.19545952999999</v>
      </c>
      <c r="O92" s="213">
        <f t="shared" si="134"/>
        <v>161.47</v>
      </c>
      <c r="P92" s="213">
        <f t="shared" si="134"/>
        <v>132.49</v>
      </c>
      <c r="Q92" s="213">
        <f t="shared" si="134"/>
        <v>131.46</v>
      </c>
      <c r="R92" s="213">
        <f t="shared" si="134"/>
        <v>136.26</v>
      </c>
      <c r="S92" s="213">
        <f t="shared" si="134"/>
        <v>132.22999999999999</v>
      </c>
      <c r="T92" s="213">
        <f t="shared" si="134"/>
        <v>133.78</v>
      </c>
      <c r="U92" s="213">
        <f t="shared" si="134"/>
        <v>144.84</v>
      </c>
      <c r="V92" s="213">
        <f t="shared" si="134"/>
        <v>159.91</v>
      </c>
      <c r="W92" s="213">
        <f t="shared" si="134"/>
        <v>128.70240770999999</v>
      </c>
      <c r="X92" s="213">
        <f t="shared" si="134"/>
        <v>142.04300000000001</v>
      </c>
      <c r="Y92" s="213">
        <f t="shared" si="134"/>
        <v>150.13</v>
      </c>
      <c r="Z92" s="213">
        <f t="shared" si="134"/>
        <v>109.42743945000001</v>
      </c>
      <c r="AA92" s="213">
        <f t="shared" si="134"/>
        <v>125.11000000000001</v>
      </c>
      <c r="AB92" s="213">
        <f t="shared" si="134"/>
        <v>106.82999999999998</v>
      </c>
      <c r="AC92" s="213">
        <f t="shared" si="134"/>
        <v>104.82999999999998</v>
      </c>
      <c r="AD92" s="213">
        <f t="shared" si="134"/>
        <v>117.88999999999999</v>
      </c>
      <c r="AE92" s="213">
        <f t="shared" si="134"/>
        <v>48.473561369999999</v>
      </c>
      <c r="AF92" s="213">
        <f t="shared" si="134"/>
        <v>124.83865578999999</v>
      </c>
      <c r="AG92" s="213">
        <f t="shared" si="134"/>
        <v>105.95812603000002</v>
      </c>
      <c r="AH92" s="213">
        <f t="shared" si="134"/>
        <v>110.70115352999997</v>
      </c>
      <c r="AI92" s="213">
        <f t="shared" si="134"/>
        <v>115.56138480999999</v>
      </c>
      <c r="AJ92" s="213">
        <f t="shared" si="134"/>
        <v>138.26226785</v>
      </c>
      <c r="AK92" s="213">
        <f t="shared" si="134"/>
        <v>123.8318366</v>
      </c>
      <c r="AL92" s="213">
        <f t="shared" si="134"/>
        <v>107.89218817</v>
      </c>
      <c r="AM92" s="213">
        <f t="shared" ref="AM92:AN92" si="135">AM109+AM110+AM113+AM114+AM115+AM117+AM119+AM122+AM125+AM127+AM129+AM130+AM137+AM140+AM142+AM145+AM147+AM149+AM151-AM8-AM10</f>
        <v>123.77627197000001</v>
      </c>
      <c r="AN92" s="213">
        <f t="shared" si="135"/>
        <v>118.28585520999999</v>
      </c>
      <c r="AO92" s="213">
        <f>AO109+AO110+AO113+AO114+AO115+AO117+AO119+AO122+AO125+AO127+AO129+AO130+AO137+AO140+AO142+AO145+AO147+AO149+AO151-AO8-AO10</f>
        <v>124.00572227000001</v>
      </c>
      <c r="AP92" s="699" t="s">
        <v>400</v>
      </c>
      <c r="AQ92" s="580" t="s">
        <v>158</v>
      </c>
      <c r="AR92" s="538" t="s">
        <v>401</v>
      </c>
      <c r="AS92" s="19"/>
      <c r="AT92" s="19"/>
      <c r="AU92" s="19"/>
      <c r="AV92" s="19"/>
    </row>
    <row r="93" spans="1:48">
      <c r="A93" s="227"/>
      <c r="B93" s="228" t="s">
        <v>259</v>
      </c>
      <c r="C93" s="227"/>
      <c r="D93" s="229" t="s">
        <v>260</v>
      </c>
      <c r="E93" s="45"/>
      <c r="F93" s="45"/>
      <c r="G93" s="45"/>
      <c r="H93" s="45"/>
      <c r="I93" s="45"/>
      <c r="J93" s="45"/>
      <c r="K93" s="45"/>
      <c r="L93" s="45"/>
      <c r="M93" s="226">
        <f t="shared" ref="M93:AJ93" si="136">M109+M110+M111+M160+M138+M137</f>
        <v>160.64329082</v>
      </c>
      <c r="N93" s="226">
        <f t="shared" si="136"/>
        <v>152.08545953000001</v>
      </c>
      <c r="O93" s="226">
        <f t="shared" si="136"/>
        <v>147.27000000000001</v>
      </c>
      <c r="P93" s="226">
        <f t="shared" si="136"/>
        <v>120.19</v>
      </c>
      <c r="Q93" s="226">
        <f t="shared" si="136"/>
        <v>121.35999999999999</v>
      </c>
      <c r="R93" s="226">
        <f t="shared" si="136"/>
        <v>125.03999999999999</v>
      </c>
      <c r="S93" s="226">
        <f t="shared" si="136"/>
        <v>142.72999999999999</v>
      </c>
      <c r="T93" s="226">
        <f t="shared" si="136"/>
        <v>149.02000000000001</v>
      </c>
      <c r="U93" s="226">
        <f t="shared" si="136"/>
        <v>147.04</v>
      </c>
      <c r="V93" s="226">
        <f t="shared" si="136"/>
        <v>149.34</v>
      </c>
      <c r="W93" s="226">
        <f t="shared" si="136"/>
        <v>148.90240770999998</v>
      </c>
      <c r="X93" s="226">
        <f t="shared" si="136"/>
        <v>148.19</v>
      </c>
      <c r="Y93" s="226">
        <f t="shared" si="136"/>
        <v>142.56</v>
      </c>
      <c r="Z93" s="226">
        <f t="shared" si="136"/>
        <v>137.14743945000001</v>
      </c>
      <c r="AA93" s="226">
        <f t="shared" si="136"/>
        <v>152.07</v>
      </c>
      <c r="AB93" s="226">
        <f t="shared" si="136"/>
        <v>134.78</v>
      </c>
      <c r="AC93" s="226">
        <f t="shared" si="136"/>
        <v>137.32999999999998</v>
      </c>
      <c r="AD93" s="226">
        <f t="shared" si="136"/>
        <v>137.83999999999997</v>
      </c>
      <c r="AE93" s="226">
        <f t="shared" si="136"/>
        <v>138.46356137000001</v>
      </c>
      <c r="AF93" s="226">
        <f t="shared" si="136"/>
        <v>148.49865578999999</v>
      </c>
      <c r="AG93" s="226">
        <f t="shared" si="136"/>
        <v>147.95812603000002</v>
      </c>
      <c r="AH93" s="226">
        <f t="shared" si="136"/>
        <v>149.70115352999997</v>
      </c>
      <c r="AI93" s="226">
        <f t="shared" si="136"/>
        <v>148.56138480999999</v>
      </c>
      <c r="AJ93" s="226">
        <f t="shared" si="136"/>
        <v>153.34226785000001</v>
      </c>
      <c r="AK93" s="226">
        <f>AK109+AK110+AK111+AK160+AK138+AK137</f>
        <v>152.70183660000001</v>
      </c>
      <c r="AL93" s="226">
        <f>AL109+AL110+AL111+AL160+AL138+AL137</f>
        <v>144.89218817</v>
      </c>
      <c r="AM93" s="226">
        <f>AM109+AM110+AM111+AM160+AM138+AM137</f>
        <v>150.27627197000001</v>
      </c>
      <c r="AN93" s="226">
        <f>AN109+AN110+AN111+AN160+AN138+AN137</f>
        <v>144.28585520999999</v>
      </c>
      <c r="AO93" s="226">
        <f>AO109+AO110+AO111+AO160+AO138+AO137</f>
        <v>145.50572227000001</v>
      </c>
      <c r="AP93" s="699"/>
      <c r="AQ93" s="580" t="s">
        <v>158</v>
      </c>
      <c r="AR93" s="538" t="s">
        <v>402</v>
      </c>
      <c r="AS93" s="19"/>
      <c r="AT93" s="19"/>
      <c r="AU93" s="19"/>
      <c r="AV93" s="19"/>
    </row>
    <row r="94" spans="1:48">
      <c r="A94" s="227"/>
      <c r="B94" s="228"/>
      <c r="C94" s="227"/>
      <c r="D94" s="229"/>
      <c r="E94" s="45"/>
      <c r="F94" s="45"/>
      <c r="G94" s="45"/>
      <c r="H94" s="45"/>
      <c r="I94" s="45"/>
      <c r="J94" s="45"/>
      <c r="K94" s="45"/>
      <c r="L94" s="45"/>
      <c r="M94" s="226"/>
      <c r="N94" s="226"/>
      <c r="O94" s="226"/>
      <c r="P94" s="226"/>
      <c r="Q94" s="226"/>
      <c r="R94" s="226"/>
      <c r="S94" s="226"/>
      <c r="T94" s="226"/>
      <c r="U94" s="226"/>
      <c r="V94" s="226"/>
      <c r="W94" s="226"/>
      <c r="X94" s="226"/>
      <c r="Y94" s="226"/>
      <c r="Z94" s="226"/>
      <c r="AA94" s="226"/>
      <c r="AB94" s="226"/>
      <c r="AC94" s="226"/>
      <c r="AD94" s="226"/>
      <c r="AE94" s="226"/>
      <c r="AF94" s="226"/>
      <c r="AG94" s="226"/>
      <c r="AH94" s="226"/>
      <c r="AI94" s="226"/>
      <c r="AJ94" s="226"/>
      <c r="AK94" s="226"/>
      <c r="AL94" s="226"/>
      <c r="AM94" s="226"/>
      <c r="AN94" s="226"/>
      <c r="AO94" s="226"/>
      <c r="AP94" s="699"/>
      <c r="AQ94" s="580"/>
      <c r="AR94" s="538"/>
      <c r="AS94" s="19"/>
      <c r="AT94" s="19"/>
      <c r="AU94" s="19"/>
      <c r="AV94" s="19"/>
    </row>
    <row r="95" spans="1:48">
      <c r="A95" s="24"/>
      <c r="B95" s="418" t="s">
        <v>261</v>
      </c>
      <c r="C95" s="418" t="s">
        <v>36</v>
      </c>
      <c r="D95" s="282" t="s">
        <v>36</v>
      </c>
      <c r="E95" s="417"/>
      <c r="F95" s="417"/>
      <c r="G95" s="417"/>
      <c r="H95" s="417"/>
      <c r="I95" s="417"/>
      <c r="J95" s="417"/>
      <c r="K95" s="417"/>
      <c r="L95" s="417"/>
      <c r="M95" s="417"/>
      <c r="N95" s="417"/>
      <c r="O95" s="417"/>
      <c r="P95" s="417"/>
      <c r="Q95" s="417"/>
      <c r="R95" s="417"/>
      <c r="S95" s="417"/>
      <c r="T95" s="417"/>
      <c r="U95" s="417"/>
      <c r="V95" s="417"/>
      <c r="W95" s="417"/>
      <c r="X95" s="45"/>
      <c r="Y95" s="45"/>
      <c r="Z95" s="45"/>
      <c r="AA95" s="45"/>
      <c r="AB95" s="490">
        <v>12.1</v>
      </c>
      <c r="AC95" s="301">
        <f>16+1</f>
        <v>17</v>
      </c>
      <c r="AD95" s="501">
        <v>18</v>
      </c>
      <c r="AF95" s="45"/>
      <c r="AG95" s="45"/>
      <c r="AH95" s="45"/>
      <c r="AI95" s="45"/>
      <c r="AJ95" s="489">
        <v>6.8310000000000004</v>
      </c>
      <c r="AK95" s="45"/>
      <c r="AL95" s="45"/>
      <c r="AM95" s="45"/>
      <c r="AN95" s="45"/>
      <c r="AO95" s="45"/>
      <c r="AP95" s="699"/>
      <c r="AQ95" s="580" t="s">
        <v>158</v>
      </c>
      <c r="AR95" s="448" t="s">
        <v>403</v>
      </c>
      <c r="AS95" s="358"/>
    </row>
    <row r="96" spans="1:48">
      <c r="A96" s="24"/>
      <c r="B96" s="617" t="s">
        <v>92</v>
      </c>
      <c r="C96" s="617" t="s">
        <v>263</v>
      </c>
      <c r="D96" s="636" t="s">
        <v>92</v>
      </c>
      <c r="E96" s="45"/>
      <c r="F96" s="45"/>
      <c r="G96" s="45"/>
      <c r="H96" s="45"/>
      <c r="I96" s="45"/>
      <c r="J96" s="45"/>
      <c r="K96" s="45"/>
      <c r="L96" s="45"/>
      <c r="M96" s="45"/>
      <c r="N96" s="45"/>
      <c r="O96" s="45"/>
      <c r="P96" s="45"/>
      <c r="Q96" s="45"/>
      <c r="R96" s="45"/>
      <c r="S96" s="45"/>
      <c r="T96" s="45"/>
      <c r="U96" s="45"/>
      <c r="V96" s="45"/>
      <c r="W96" s="45"/>
      <c r="X96" s="45"/>
      <c r="Y96" s="623">
        <f>Y101+Y102+Y95</f>
        <v>0</v>
      </c>
      <c r="Z96" s="623">
        <f>Z101+Z102+Z95</f>
        <v>9</v>
      </c>
      <c r="AA96" s="623">
        <f>AA101+AA102+AA95</f>
        <v>10.8</v>
      </c>
      <c r="AB96" s="623">
        <f>AB101+AB102+AB95</f>
        <v>22.7</v>
      </c>
      <c r="AC96" s="623">
        <f t="shared" ref="AC96:AI96" si="137">AC101+AC102+AC95</f>
        <v>27.5</v>
      </c>
      <c r="AD96" s="623">
        <v>27</v>
      </c>
      <c r="AE96" s="623">
        <f>AE101+AE102+AD95</f>
        <v>18</v>
      </c>
      <c r="AF96" s="623">
        <f t="shared" si="137"/>
        <v>12</v>
      </c>
      <c r="AG96" s="623">
        <f t="shared" si="137"/>
        <v>12.86</v>
      </c>
      <c r="AH96" s="623">
        <f t="shared" si="137"/>
        <v>17.059999999999999</v>
      </c>
      <c r="AI96" s="623">
        <f t="shared" si="137"/>
        <v>12.06</v>
      </c>
      <c r="AJ96" s="623">
        <f t="shared" ref="AJ96:AO96" si="138">AJ101+AJ102+AJ95</f>
        <v>12.84</v>
      </c>
      <c r="AK96" s="623">
        <f t="shared" si="138"/>
        <v>9</v>
      </c>
      <c r="AL96" s="623">
        <f t="shared" si="138"/>
        <v>9</v>
      </c>
      <c r="AM96" s="623">
        <f t="shared" si="138"/>
        <v>9</v>
      </c>
      <c r="AN96" s="623">
        <f t="shared" si="138"/>
        <v>9</v>
      </c>
      <c r="AO96" s="623">
        <f t="shared" si="138"/>
        <v>9</v>
      </c>
      <c r="AP96" s="694"/>
      <c r="AQ96" s="580" t="s">
        <v>158</v>
      </c>
      <c r="AR96" s="538" t="s">
        <v>404</v>
      </c>
      <c r="AS96" s="19"/>
      <c r="AT96" s="19"/>
      <c r="AU96" s="19"/>
      <c r="AV96" s="19"/>
    </row>
    <row r="97" spans="1:50" s="19" customFormat="1" ht="23.25" thickBot="1">
      <c r="A97" s="25" t="s">
        <v>101</v>
      </c>
      <c r="B97" s="617" t="s">
        <v>92</v>
      </c>
      <c r="C97" s="636" t="s">
        <v>267</v>
      </c>
      <c r="D97" s="636" t="s">
        <v>92</v>
      </c>
      <c r="E97" s="39">
        <v>97.96</v>
      </c>
      <c r="F97" s="39">
        <f>79+2</f>
        <v>81</v>
      </c>
      <c r="G97" s="39">
        <v>71</v>
      </c>
      <c r="H97" s="39">
        <f>67.5-0.5</f>
        <v>67</v>
      </c>
      <c r="I97" s="191">
        <f>61.5+0.5</f>
        <v>62</v>
      </c>
      <c r="J97" s="39">
        <v>63</v>
      </c>
      <c r="K97" s="39">
        <f>57+4+2+2</f>
        <v>65</v>
      </c>
      <c r="L97" s="78">
        <f>(59.5+5.5+1.5+2)-3</f>
        <v>65.5</v>
      </c>
      <c r="M97" s="39">
        <v>47</v>
      </c>
      <c r="N97" s="39">
        <v>22</v>
      </c>
      <c r="O97" s="78">
        <v>39</v>
      </c>
      <c r="P97" s="78">
        <f t="shared" ref="P97:X97" si="139">P99+P100</f>
        <v>44.5</v>
      </c>
      <c r="Q97" s="78">
        <f t="shared" si="139"/>
        <v>43.5</v>
      </c>
      <c r="R97" s="191">
        <f t="shared" si="139"/>
        <v>55.5</v>
      </c>
      <c r="S97" s="191">
        <f t="shared" si="139"/>
        <v>47.93</v>
      </c>
      <c r="T97" s="191">
        <f t="shared" si="139"/>
        <v>56.379999999999995</v>
      </c>
      <c r="U97" s="191">
        <f t="shared" si="139"/>
        <v>42.91</v>
      </c>
      <c r="V97" s="191">
        <f t="shared" si="139"/>
        <v>43</v>
      </c>
      <c r="W97" s="191">
        <f t="shared" si="139"/>
        <v>48.4</v>
      </c>
      <c r="X97" s="191">
        <f t="shared" si="139"/>
        <v>58.5</v>
      </c>
      <c r="Y97" s="191">
        <f t="shared" ref="Y97:AD97" si="140">Y99+Y100</f>
        <v>56.42</v>
      </c>
      <c r="Z97" s="191">
        <f t="shared" si="140"/>
        <v>40.159999999999997</v>
      </c>
      <c r="AA97" s="191">
        <f t="shared" si="140"/>
        <v>51.32</v>
      </c>
      <c r="AB97" s="191">
        <f t="shared" si="140"/>
        <v>33.5</v>
      </c>
      <c r="AC97" s="191">
        <f t="shared" si="140"/>
        <v>66.900000000000006</v>
      </c>
      <c r="AD97" s="191">
        <f t="shared" si="140"/>
        <v>58.031999999999996</v>
      </c>
      <c r="AE97" s="191">
        <f t="shared" ref="AE97:AK97" si="141">AE99+AE100</f>
        <v>99.436000000000007</v>
      </c>
      <c r="AF97" s="191">
        <f t="shared" si="141"/>
        <v>66.082999999999998</v>
      </c>
      <c r="AG97" s="191">
        <f t="shared" si="141"/>
        <v>65.673000000000002</v>
      </c>
      <c r="AH97" s="191">
        <f t="shared" si="141"/>
        <v>69.096000000000004</v>
      </c>
      <c r="AI97" s="191">
        <f t="shared" si="141"/>
        <v>60.376000000000005</v>
      </c>
      <c r="AJ97" s="191">
        <f t="shared" si="141"/>
        <v>50.460999999999999</v>
      </c>
      <c r="AK97" s="191">
        <f t="shared" si="141"/>
        <v>56.42</v>
      </c>
      <c r="AL97" s="191">
        <f t="shared" ref="AL97:AM97" si="142">AL99+AL100</f>
        <v>50.96</v>
      </c>
      <c r="AM97" s="191">
        <f t="shared" si="142"/>
        <v>56.42</v>
      </c>
      <c r="AN97" s="191">
        <f t="shared" ref="AN97" si="143">AN99+AN100</f>
        <v>54.6</v>
      </c>
      <c r="AO97" s="191">
        <f>AO99+AO100</f>
        <v>56.42</v>
      </c>
      <c r="AP97" s="700"/>
      <c r="AQ97" s="580" t="s">
        <v>158</v>
      </c>
      <c r="AR97" s="538" t="s">
        <v>405</v>
      </c>
    </row>
    <row r="98" spans="1:50" s="55" customFormat="1" ht="15" thickBot="1">
      <c r="A98" s="61" t="s">
        <v>268</v>
      </c>
      <c r="B98" s="411" t="s">
        <v>269</v>
      </c>
      <c r="C98" s="302" t="s">
        <v>101</v>
      </c>
      <c r="D98" s="303" t="s">
        <v>270</v>
      </c>
      <c r="E98" s="319">
        <f t="shared" ref="E98:AL98" si="144">E3</f>
        <v>43587</v>
      </c>
      <c r="F98" s="319">
        <f t="shared" si="144"/>
        <v>43618</v>
      </c>
      <c r="G98" s="319">
        <f t="shared" si="144"/>
        <v>43648</v>
      </c>
      <c r="H98" s="319">
        <f t="shared" si="144"/>
        <v>43679</v>
      </c>
      <c r="I98" s="319">
        <f t="shared" si="144"/>
        <v>43710</v>
      </c>
      <c r="J98" s="319">
        <f t="shared" si="144"/>
        <v>43740</v>
      </c>
      <c r="K98" s="319">
        <f t="shared" si="144"/>
        <v>43771</v>
      </c>
      <c r="L98" s="319">
        <f t="shared" si="144"/>
        <v>43801</v>
      </c>
      <c r="M98" s="319">
        <f t="shared" si="144"/>
        <v>43832</v>
      </c>
      <c r="N98" s="319">
        <f t="shared" si="144"/>
        <v>43863</v>
      </c>
      <c r="O98" s="319">
        <f t="shared" si="144"/>
        <v>43892</v>
      </c>
      <c r="P98" s="319">
        <f t="shared" si="144"/>
        <v>43923</v>
      </c>
      <c r="Q98" s="319">
        <f t="shared" si="144"/>
        <v>43953</v>
      </c>
      <c r="R98" s="57">
        <f t="shared" si="144"/>
        <v>43984</v>
      </c>
      <c r="S98" s="58">
        <f t="shared" si="144"/>
        <v>44014</v>
      </c>
      <c r="T98" s="58">
        <f t="shared" si="144"/>
        <v>44045</v>
      </c>
      <c r="U98" s="58">
        <f t="shared" si="144"/>
        <v>44076</v>
      </c>
      <c r="V98" s="58">
        <f t="shared" si="144"/>
        <v>44106</v>
      </c>
      <c r="W98" s="58">
        <f t="shared" si="144"/>
        <v>44137</v>
      </c>
      <c r="X98" s="58">
        <f t="shared" si="144"/>
        <v>44167</v>
      </c>
      <c r="Y98" s="59">
        <f t="shared" si="144"/>
        <v>44198</v>
      </c>
      <c r="Z98" s="60">
        <f t="shared" si="144"/>
        <v>44229</v>
      </c>
      <c r="AA98" s="60">
        <f t="shared" si="144"/>
        <v>44257</v>
      </c>
      <c r="AB98" s="60">
        <f t="shared" si="144"/>
        <v>44288</v>
      </c>
      <c r="AC98" s="60">
        <f t="shared" si="144"/>
        <v>44318</v>
      </c>
      <c r="AD98" s="60">
        <f t="shared" si="144"/>
        <v>44349</v>
      </c>
      <c r="AE98" s="60">
        <f t="shared" si="144"/>
        <v>44379</v>
      </c>
      <c r="AF98" s="60">
        <f t="shared" si="144"/>
        <v>44410</v>
      </c>
      <c r="AG98" s="60">
        <f t="shared" si="144"/>
        <v>44441</v>
      </c>
      <c r="AH98" s="60">
        <f t="shared" si="144"/>
        <v>44471</v>
      </c>
      <c r="AI98" s="60">
        <f t="shared" si="144"/>
        <v>44502</v>
      </c>
      <c r="AJ98" s="60">
        <f t="shared" si="144"/>
        <v>44532</v>
      </c>
      <c r="AK98" s="57">
        <f t="shared" si="144"/>
        <v>44563</v>
      </c>
      <c r="AL98" s="58">
        <f t="shared" si="144"/>
        <v>44594</v>
      </c>
      <c r="AM98" s="58">
        <f t="shared" ref="AM98:AN98" si="145">AM3</f>
        <v>44622</v>
      </c>
      <c r="AN98" s="58">
        <f t="shared" si="145"/>
        <v>44653</v>
      </c>
      <c r="AO98" s="58">
        <f t="shared" ref="AO98" si="146">AO3</f>
        <v>44683</v>
      </c>
      <c r="AP98" s="709"/>
      <c r="AQ98" s="709"/>
      <c r="AR98" s="54"/>
      <c r="AS98" s="357"/>
      <c r="AT98" s="54"/>
      <c r="AU98" s="54"/>
      <c r="AV98" s="54"/>
    </row>
    <row r="99" spans="1:50" ht="14.85" customHeight="1">
      <c r="A99" s="259" t="s">
        <v>243</v>
      </c>
      <c r="B99" s="637" t="s">
        <v>92</v>
      </c>
      <c r="C99" s="638" t="s">
        <v>271</v>
      </c>
      <c r="D99" s="639" t="s">
        <v>92</v>
      </c>
      <c r="E99" s="45"/>
      <c r="F99" s="45"/>
      <c r="G99" s="45"/>
      <c r="H99" s="45"/>
      <c r="I99" s="45"/>
      <c r="J99" s="45"/>
      <c r="K99" s="45"/>
      <c r="L99" s="45"/>
      <c r="M99" s="45"/>
      <c r="N99" s="45"/>
      <c r="O99" s="45"/>
      <c r="P99" s="640">
        <v>29</v>
      </c>
      <c r="Q99" s="640">
        <v>26</v>
      </c>
      <c r="R99" s="640">
        <v>26</v>
      </c>
      <c r="S99" s="345">
        <v>20.72</v>
      </c>
      <c r="T99" s="345">
        <v>20.38</v>
      </c>
      <c r="U99" s="345">
        <v>22.41</v>
      </c>
      <c r="V99" s="345">
        <v>27</v>
      </c>
      <c r="W99" s="387">
        <f>23+1.4</f>
        <v>24.4</v>
      </c>
      <c r="X99" s="387">
        <v>29</v>
      </c>
      <c r="Y99" s="428">
        <f>720*Y1/1000</f>
        <v>22.32</v>
      </c>
      <c r="Z99" s="427">
        <f>720*Z1/1000</f>
        <v>20.16</v>
      </c>
      <c r="AA99" s="452">
        <f>(720*AA1/1000)-2.5-1</f>
        <v>18.82</v>
      </c>
      <c r="AB99" s="500">
        <v>12</v>
      </c>
      <c r="AC99" s="507">
        <v>24.5</v>
      </c>
      <c r="AD99" s="427">
        <v>20</v>
      </c>
      <c r="AE99" s="427">
        <v>22.32</v>
      </c>
      <c r="AF99" s="427">
        <v>22.32</v>
      </c>
      <c r="AG99" s="427">
        <v>20.725999999999999</v>
      </c>
      <c r="AH99" s="427">
        <v>22.32</v>
      </c>
      <c r="AI99" s="427">
        <v>21.6</v>
      </c>
      <c r="AJ99" s="641">
        <v>22.622</v>
      </c>
      <c r="AK99" s="445">
        <f t="shared" ref="AK99:AL99" si="147">720*AK1/1000</f>
        <v>22.32</v>
      </c>
      <c r="AL99" s="386">
        <f t="shared" si="147"/>
        <v>20.16</v>
      </c>
      <c r="AM99" s="386">
        <f t="shared" ref="AM99" si="148">720*AM1/1000</f>
        <v>22.32</v>
      </c>
      <c r="AN99" s="386">
        <f>720*AN1/1000</f>
        <v>21.6</v>
      </c>
      <c r="AO99" s="386">
        <f>720*AO1/1000</f>
        <v>22.32</v>
      </c>
      <c r="AP99" s="701"/>
      <c r="AQ99" s="701"/>
      <c r="AR99" s="538" t="s">
        <v>406</v>
      </c>
      <c r="AS99" s="358"/>
      <c r="AT99" s="19"/>
      <c r="AU99" s="19"/>
      <c r="AV99" s="19"/>
      <c r="AX99" s="530" t="s">
        <v>407</v>
      </c>
    </row>
    <row r="100" spans="1:50" s="19" customFormat="1">
      <c r="A100" s="24"/>
      <c r="B100" s="637" t="s">
        <v>92</v>
      </c>
      <c r="C100" s="617" t="s">
        <v>273</v>
      </c>
      <c r="D100" s="639" t="s">
        <v>92</v>
      </c>
      <c r="E100" s="71"/>
      <c r="F100" s="71"/>
      <c r="G100" s="71"/>
      <c r="H100" s="71"/>
      <c r="I100" s="71"/>
      <c r="J100" s="71"/>
      <c r="K100" s="71"/>
      <c r="L100" s="71"/>
      <c r="M100" s="71"/>
      <c r="N100" s="71"/>
      <c r="O100" s="71"/>
      <c r="P100" s="288">
        <v>15.5</v>
      </c>
      <c r="Q100" s="298">
        <v>17.5</v>
      </c>
      <c r="R100" s="301">
        <v>29.5</v>
      </c>
      <c r="S100" s="301">
        <f>31.21-4</f>
        <v>27.21</v>
      </c>
      <c r="T100" s="288">
        <f>31.25+7.5-2.75</f>
        <v>36</v>
      </c>
      <c r="U100" s="301">
        <v>20.5</v>
      </c>
      <c r="V100" s="288">
        <v>16</v>
      </c>
      <c r="W100" s="301">
        <v>24</v>
      </c>
      <c r="X100" s="391">
        <v>29.5</v>
      </c>
      <c r="Y100" s="361">
        <f>34.1</f>
        <v>34.1</v>
      </c>
      <c r="Z100" s="191">
        <f>25-5</f>
        <v>20</v>
      </c>
      <c r="AA100" s="78">
        <f>31.5+1</f>
        <v>32.5</v>
      </c>
      <c r="AB100" s="506">
        <v>21.5</v>
      </c>
      <c r="AC100" s="508">
        <v>42.4</v>
      </c>
      <c r="AD100" s="300">
        <f>35.032+3</f>
        <v>38.031999999999996</v>
      </c>
      <c r="AE100" s="504">
        <f>74.116+3</f>
        <v>77.116</v>
      </c>
      <c r="AF100" s="300">
        <v>43.762999999999998</v>
      </c>
      <c r="AG100" s="300">
        <v>44.947000000000003</v>
      </c>
      <c r="AH100" s="300">
        <v>46.776000000000003</v>
      </c>
      <c r="AI100" s="300">
        <v>38.776000000000003</v>
      </c>
      <c r="AJ100" s="623">
        <v>27.838999999999999</v>
      </c>
      <c r="AK100" s="443">
        <f>1100*AK1/1000</f>
        <v>34.1</v>
      </c>
      <c r="AL100" s="436">
        <f>1100*AL1/1000</f>
        <v>30.8</v>
      </c>
      <c r="AM100" s="436">
        <f>1100*AM1/1000</f>
        <v>34.1</v>
      </c>
      <c r="AN100" s="436">
        <f>1100*AN1/1000</f>
        <v>33</v>
      </c>
      <c r="AO100" s="436">
        <f>1100*AO1/1000</f>
        <v>34.1</v>
      </c>
      <c r="AP100" s="702"/>
      <c r="AQ100" s="702"/>
      <c r="AR100" s="538" t="s">
        <v>408</v>
      </c>
      <c r="AS100" s="358"/>
    </row>
    <row r="101" spans="1:50">
      <c r="A101" s="28"/>
      <c r="B101" s="637" t="s">
        <v>92</v>
      </c>
      <c r="C101" s="636" t="s">
        <v>274</v>
      </c>
      <c r="D101" s="639" t="s">
        <v>92</v>
      </c>
      <c r="E101" s="39"/>
      <c r="F101" s="39"/>
      <c r="G101" s="39"/>
      <c r="H101" s="39"/>
      <c r="I101" s="191"/>
      <c r="J101" s="39"/>
      <c r="K101" s="39"/>
      <c r="L101" s="230"/>
      <c r="M101" s="39"/>
      <c r="N101" s="39"/>
      <c r="O101" s="78"/>
      <c r="P101" s="78"/>
      <c r="Q101" s="78"/>
      <c r="R101" s="78"/>
      <c r="S101" s="78"/>
      <c r="T101" s="78"/>
      <c r="U101" s="78"/>
      <c r="V101" s="78"/>
      <c r="W101" s="78"/>
      <c r="X101" s="78"/>
      <c r="Y101" s="354">
        <v>0</v>
      </c>
      <c r="Z101" s="278">
        <f>10.8-1.8</f>
        <v>9</v>
      </c>
      <c r="AA101" s="385">
        <v>10.8</v>
      </c>
      <c r="AB101" s="489">
        <v>10.6</v>
      </c>
      <c r="AC101" s="491">
        <v>10.5</v>
      </c>
      <c r="AD101" s="522">
        <f>11-1</f>
        <v>10</v>
      </c>
      <c r="AE101" s="441"/>
      <c r="AF101" s="385">
        <v>5.1689999999999996</v>
      </c>
      <c r="AG101" s="385">
        <v>6.0289999999999999</v>
      </c>
      <c r="AH101" s="385">
        <v>10.228999999999999</v>
      </c>
      <c r="AI101" s="385">
        <v>5.2290000000000001</v>
      </c>
      <c r="AJ101" s="385">
        <v>6.0090000000000003</v>
      </c>
      <c r="AK101" s="354">
        <v>9</v>
      </c>
      <c r="AL101" s="351">
        <v>9</v>
      </c>
      <c r="AM101" s="351">
        <v>9</v>
      </c>
      <c r="AN101" s="351">
        <v>9</v>
      </c>
      <c r="AO101" s="351">
        <v>9</v>
      </c>
      <c r="AP101" s="703"/>
      <c r="AQ101" s="703"/>
      <c r="AR101" s="19"/>
      <c r="AS101" s="358"/>
      <c r="AT101" s="19"/>
      <c r="AU101" s="19"/>
      <c r="AV101" s="19"/>
    </row>
    <row r="102" spans="1:50">
      <c r="A102" s="28"/>
      <c r="B102" s="637" t="s">
        <v>92</v>
      </c>
      <c r="C102" s="636" t="s">
        <v>275</v>
      </c>
      <c r="D102" s="639" t="s">
        <v>92</v>
      </c>
      <c r="E102" s="39"/>
      <c r="F102" s="39"/>
      <c r="G102" s="39"/>
      <c r="H102" s="39"/>
      <c r="I102" s="191"/>
      <c r="J102" s="39"/>
      <c r="K102" s="39"/>
      <c r="L102" s="230"/>
      <c r="M102" s="39"/>
      <c r="N102" s="39"/>
      <c r="O102" s="78"/>
      <c r="P102" s="78"/>
      <c r="Q102" s="78"/>
      <c r="R102" s="78"/>
      <c r="S102" s="78"/>
      <c r="T102" s="78"/>
      <c r="U102" s="78"/>
      <c r="V102" s="78"/>
      <c r="W102" s="78"/>
      <c r="X102" s="78"/>
      <c r="Y102" s="354"/>
      <c r="Z102" s="385"/>
      <c r="AA102" s="385"/>
      <c r="AB102" s="351">
        <v>0</v>
      </c>
      <c r="AC102" s="278"/>
      <c r="AD102" s="278"/>
      <c r="AE102" s="441"/>
      <c r="AF102" s="385">
        <v>6.8310000000000004</v>
      </c>
      <c r="AG102" s="385">
        <v>6.8310000000000004</v>
      </c>
      <c r="AH102" s="385">
        <v>6.8310000000000004</v>
      </c>
      <c r="AI102" s="385">
        <v>6.8310000000000004</v>
      </c>
      <c r="AJ102" s="489"/>
      <c r="AK102" s="354"/>
      <c r="AL102" s="351"/>
      <c r="AM102" s="351"/>
      <c r="AN102" s="351"/>
      <c r="AO102" s="351"/>
      <c r="AP102" s="703"/>
      <c r="AQ102" s="703"/>
      <c r="AR102" s="19"/>
      <c r="AS102" s="358"/>
      <c r="AT102" s="19"/>
      <c r="AU102" s="19"/>
      <c r="AV102" s="19"/>
    </row>
    <row r="103" spans="1:50">
      <c r="A103" s="28"/>
      <c r="B103" s="637" t="s">
        <v>92</v>
      </c>
      <c r="C103" s="636" t="s">
        <v>276</v>
      </c>
      <c r="D103" s="639" t="s">
        <v>92</v>
      </c>
      <c r="E103" s="39">
        <v>22.7</v>
      </c>
      <c r="F103" s="39">
        <v>32</v>
      </c>
      <c r="G103" s="99">
        <f>15+1</f>
        <v>16</v>
      </c>
      <c r="H103" s="99">
        <f>13+1</f>
        <v>14</v>
      </c>
      <c r="I103" s="191">
        <f>6+2</f>
        <v>8</v>
      </c>
      <c r="J103" s="191">
        <v>6</v>
      </c>
      <c r="K103" s="191">
        <v>6</v>
      </c>
      <c r="L103" s="191">
        <v>13</v>
      </c>
      <c r="M103" s="191">
        <v>12</v>
      </c>
      <c r="N103" s="191">
        <v>12</v>
      </c>
      <c r="O103" s="191">
        <f>12+25</f>
        <v>37</v>
      </c>
      <c r="P103" s="191">
        <f>12+9+5+6</f>
        <v>32</v>
      </c>
      <c r="Q103" s="289">
        <v>0</v>
      </c>
      <c r="R103" s="78"/>
      <c r="S103" s="191"/>
      <c r="T103" s="191"/>
      <c r="U103" s="191"/>
      <c r="V103" s="372"/>
      <c r="W103" s="191"/>
      <c r="X103" s="190"/>
      <c r="Y103" s="355"/>
      <c r="Z103" s="191">
        <f>15+2.5</f>
        <v>17.5</v>
      </c>
      <c r="AA103" s="191">
        <v>3.24</v>
      </c>
      <c r="AB103" s="78">
        <f>23+4.5+0.6</f>
        <v>28.1</v>
      </c>
      <c r="AC103" s="295">
        <v>30.8</v>
      </c>
      <c r="AD103" s="191">
        <f>17+2</f>
        <v>19</v>
      </c>
      <c r="AE103" s="504">
        <v>0</v>
      </c>
      <c r="AF103" s="521">
        <v>3</v>
      </c>
      <c r="AG103" s="521">
        <v>3</v>
      </c>
      <c r="AH103" s="521">
        <v>3</v>
      </c>
      <c r="AI103" s="521">
        <v>3</v>
      </c>
      <c r="AJ103" s="521">
        <v>3</v>
      </c>
      <c r="AK103" s="355">
        <v>3</v>
      </c>
      <c r="AL103" s="352">
        <v>3</v>
      </c>
      <c r="AM103" s="352">
        <v>3</v>
      </c>
      <c r="AN103" s="352">
        <v>3</v>
      </c>
      <c r="AO103" s="352">
        <v>3</v>
      </c>
      <c r="AP103" s="703"/>
      <c r="AQ103" s="703"/>
      <c r="AR103" s="19"/>
      <c r="AS103" s="358"/>
      <c r="AT103" s="54"/>
      <c r="AU103" s="54"/>
      <c r="AV103" s="19"/>
    </row>
    <row r="104" spans="1:50">
      <c r="A104" s="28"/>
      <c r="B104" s="637" t="s">
        <v>92</v>
      </c>
      <c r="C104" s="636" t="s">
        <v>277</v>
      </c>
      <c r="D104" s="639" t="s">
        <v>92</v>
      </c>
      <c r="E104" s="39">
        <v>25.201000000000001</v>
      </c>
      <c r="F104" s="39">
        <v>1.85</v>
      </c>
      <c r="G104" s="39">
        <v>24.5</v>
      </c>
      <c r="H104" s="191">
        <v>25</v>
      </c>
      <c r="I104" s="190">
        <v>26.736999999999998</v>
      </c>
      <c r="J104" s="190">
        <v>33.479999999999997</v>
      </c>
      <c r="K104" s="190">
        <v>31.632000000000001</v>
      </c>
      <c r="L104" s="230">
        <v>25</v>
      </c>
      <c r="M104" s="39">
        <v>32.86</v>
      </c>
      <c r="N104" s="278">
        <v>25.4</v>
      </c>
      <c r="O104" s="278">
        <v>16.645</v>
      </c>
      <c r="P104" s="78">
        <v>24</v>
      </c>
      <c r="Q104" s="296">
        <v>21.957999999999998</v>
      </c>
      <c r="R104" s="78">
        <v>23.643999999999998</v>
      </c>
      <c r="S104" s="295">
        <v>25.8</v>
      </c>
      <c r="T104" s="191">
        <v>31.132362637362636</v>
      </c>
      <c r="U104" s="295">
        <v>30.3</v>
      </c>
      <c r="V104" s="191">
        <f>1060*31/1000</f>
        <v>32.86</v>
      </c>
      <c r="W104" s="191">
        <f>1040*30/1000</f>
        <v>31.2</v>
      </c>
      <c r="X104" s="78">
        <v>25.673999999999999</v>
      </c>
      <c r="Y104" s="382">
        <f>1040*Y1/1000</f>
        <v>32.24</v>
      </c>
      <c r="Z104" s="278">
        <v>28.1</v>
      </c>
      <c r="AA104" s="385">
        <f>1040*AA1/1000</f>
        <v>32.24</v>
      </c>
      <c r="AB104" s="278">
        <v>24.491</v>
      </c>
      <c r="AC104" s="278">
        <v>26.954999999999998</v>
      </c>
      <c r="AD104" s="385">
        <f>1040*AD1/1000</f>
        <v>31.2</v>
      </c>
      <c r="AE104" s="385">
        <f>24.5</f>
        <v>24.5</v>
      </c>
      <c r="AF104" s="385">
        <f>1040*AF1/1000</f>
        <v>32.24</v>
      </c>
      <c r="AG104" s="351">
        <v>22.7</v>
      </c>
      <c r="AH104" s="278">
        <v>0</v>
      </c>
      <c r="AI104" s="351">
        <f t="shared" ref="AI104:AN104" si="149">1040*AI1/1000</f>
        <v>31.2</v>
      </c>
      <c r="AJ104" s="351">
        <f t="shared" si="149"/>
        <v>32.24</v>
      </c>
      <c r="AK104" s="354">
        <f t="shared" si="149"/>
        <v>32.24</v>
      </c>
      <c r="AL104" s="351">
        <f t="shared" si="149"/>
        <v>29.12</v>
      </c>
      <c r="AM104" s="351">
        <f t="shared" si="149"/>
        <v>32.24</v>
      </c>
      <c r="AN104" s="351">
        <f t="shared" si="149"/>
        <v>31.2</v>
      </c>
      <c r="AO104" s="351">
        <f t="shared" ref="AO104" si="150">1040*AO1/1000</f>
        <v>32.24</v>
      </c>
      <c r="AP104" s="703"/>
      <c r="AQ104" s="703"/>
      <c r="AR104" s="538" t="s">
        <v>409</v>
      </c>
      <c r="AS104" s="358"/>
      <c r="AT104" s="54"/>
      <c r="AU104" s="54"/>
      <c r="AV104" s="19"/>
    </row>
    <row r="105" spans="1:50" ht="15" thickBot="1">
      <c r="A105" s="28"/>
      <c r="B105" s="637" t="s">
        <v>92</v>
      </c>
      <c r="C105" s="636" t="s">
        <v>278</v>
      </c>
      <c r="D105" s="639" t="s">
        <v>92</v>
      </c>
      <c r="E105" s="39">
        <v>8.1080000000000005</v>
      </c>
      <c r="F105" s="78">
        <v>11.057</v>
      </c>
      <c r="G105" s="39">
        <f>30.837+1</f>
        <v>31.837</v>
      </c>
      <c r="H105" s="39">
        <v>31.837</v>
      </c>
      <c r="I105" s="39">
        <v>30.81</v>
      </c>
      <c r="J105" s="39">
        <v>31.837</v>
      </c>
      <c r="K105" s="39">
        <v>30.81</v>
      </c>
      <c r="L105" s="230">
        <v>23.632999999999999</v>
      </c>
      <c r="M105" s="230">
        <v>17.95</v>
      </c>
      <c r="N105" s="39">
        <f>26.179-0.873</f>
        <v>25.305999999999997</v>
      </c>
      <c r="O105" s="78">
        <f>28.022-0.417-0.922</f>
        <v>26.682999999999996</v>
      </c>
      <c r="P105" s="230">
        <v>20.55</v>
      </c>
      <c r="Q105" s="291">
        <v>8</v>
      </c>
      <c r="R105" s="39">
        <v>20</v>
      </c>
      <c r="S105" s="295">
        <v>22</v>
      </c>
      <c r="T105" s="353">
        <v>21.2</v>
      </c>
      <c r="U105" s="209">
        <v>21.2</v>
      </c>
      <c r="V105" s="209">
        <v>21.2</v>
      </c>
      <c r="W105" s="383">
        <v>21.2</v>
      </c>
      <c r="X105" s="410">
        <f>21.2+7.5</f>
        <v>28.7</v>
      </c>
      <c r="Y105" s="421">
        <f>21.672+1.635+2.9</f>
        <v>26.207000000000001</v>
      </c>
      <c r="Z105" s="191">
        <f>21.276</f>
        <v>21.276</v>
      </c>
      <c r="AA105" s="191">
        <v>23.556000000000001</v>
      </c>
      <c r="AB105" s="78">
        <f>18.7-22.796+22.796+1</f>
        <v>19.7</v>
      </c>
      <c r="AC105" s="504">
        <v>20.771999999999998</v>
      </c>
      <c r="AD105" s="191">
        <v>22.036000000000001</v>
      </c>
      <c r="AE105" s="191">
        <v>0.88100000000000001</v>
      </c>
      <c r="AF105" s="191">
        <v>21.276</v>
      </c>
      <c r="AG105" s="191">
        <v>21.884</v>
      </c>
      <c r="AH105" s="191">
        <v>20.257999999999999</v>
      </c>
      <c r="AI105" s="191">
        <v>22.658999999999999</v>
      </c>
      <c r="AJ105" s="191">
        <v>23.556000000000001</v>
      </c>
      <c r="AK105" s="355">
        <v>21.232876712328764</v>
      </c>
      <c r="AL105" s="352">
        <v>19.17808219178082</v>
      </c>
      <c r="AM105" s="352">
        <v>21.232876712328764</v>
      </c>
      <c r="AN105" s="352">
        <v>20.547945205479454</v>
      </c>
      <c r="AO105" s="352">
        <v>21.232876712328764</v>
      </c>
      <c r="AP105" s="703"/>
      <c r="AQ105" s="703"/>
      <c r="AR105" s="19"/>
      <c r="AS105" s="358"/>
      <c r="AT105" s="54"/>
      <c r="AU105" s="54"/>
      <c r="AV105" s="19"/>
    </row>
    <row r="106" spans="1:50" ht="15" thickBot="1">
      <c r="A106" s="3"/>
      <c r="B106" s="637" t="s">
        <v>92</v>
      </c>
      <c r="C106" s="636" t="s">
        <v>279</v>
      </c>
      <c r="D106" s="639" t="s">
        <v>92</v>
      </c>
      <c r="E106" s="39"/>
      <c r="F106" s="78"/>
      <c r="G106" s="39"/>
      <c r="H106" s="39"/>
      <c r="I106" s="39"/>
      <c r="J106" s="39"/>
      <c r="K106" s="39"/>
      <c r="L106" s="230"/>
      <c r="M106" s="230"/>
      <c r="N106" s="39"/>
      <c r="O106" s="78"/>
      <c r="P106" s="230"/>
      <c r="Q106" s="291"/>
      <c r="R106" s="39"/>
      <c r="S106" s="295"/>
      <c r="T106" s="353"/>
      <c r="U106" s="209"/>
      <c r="V106" s="209"/>
      <c r="W106" s="383"/>
      <c r="X106" s="410"/>
      <c r="Y106" s="442"/>
      <c r="Z106" s="78">
        <v>4.5</v>
      </c>
      <c r="AA106" s="78">
        <f>4+2.5+1</f>
        <v>7.5</v>
      </c>
      <c r="AB106" s="78">
        <f>7.2-7.2</f>
        <v>0</v>
      </c>
      <c r="AC106" s="505">
        <v>2</v>
      </c>
      <c r="AD106" s="191">
        <v>7.3249999999999993</v>
      </c>
      <c r="AE106" s="352"/>
      <c r="AF106" s="352">
        <f>25.438-AF105</f>
        <v>4.161999999999999</v>
      </c>
      <c r="AG106" s="352">
        <v>4</v>
      </c>
      <c r="AH106" s="352">
        <v>4</v>
      </c>
      <c r="AI106" s="352">
        <v>4</v>
      </c>
      <c r="AJ106" s="352">
        <v>4</v>
      </c>
      <c r="AK106" s="356">
        <v>4</v>
      </c>
      <c r="AL106" s="205">
        <v>4</v>
      </c>
      <c r="AM106" s="205">
        <v>4</v>
      </c>
      <c r="AN106" s="205">
        <v>4</v>
      </c>
      <c r="AO106" s="205">
        <v>4</v>
      </c>
      <c r="AP106" s="703"/>
      <c r="AQ106" s="703"/>
      <c r="AR106" s="19"/>
      <c r="AS106" s="358"/>
      <c r="AT106" s="54"/>
      <c r="AU106" s="54"/>
      <c r="AV106" s="19"/>
    </row>
    <row r="107" spans="1:50">
      <c r="A107" s="283" t="s">
        <v>280</v>
      </c>
      <c r="B107" s="642" t="s">
        <v>92</v>
      </c>
      <c r="C107" s="89" t="s">
        <v>281</v>
      </c>
      <c r="D107" s="643" t="s">
        <v>92</v>
      </c>
      <c r="E107" s="80"/>
      <c r="F107" s="80">
        <v>0.3</v>
      </c>
      <c r="G107" s="80">
        <v>0.6</v>
      </c>
      <c r="H107" s="80">
        <v>0.65355300000000005</v>
      </c>
      <c r="I107" s="80">
        <v>0.8</v>
      </c>
      <c r="J107" s="80">
        <v>0.64030200000000004</v>
      </c>
      <c r="K107" s="80">
        <v>0.60816493999999999</v>
      </c>
      <c r="L107" s="80">
        <v>0.60244565000000005</v>
      </c>
      <c r="M107" s="80">
        <v>0.8</v>
      </c>
      <c r="N107" s="80">
        <v>0.94</v>
      </c>
      <c r="O107" s="80">
        <v>0.65</v>
      </c>
      <c r="P107" s="212">
        <v>0.7</v>
      </c>
      <c r="Q107" s="80">
        <v>0.60859381000000001</v>
      </c>
      <c r="R107" s="80">
        <v>0.37617381999999999</v>
      </c>
      <c r="S107" s="212">
        <v>0.5</v>
      </c>
      <c r="T107" s="80">
        <v>0.27</v>
      </c>
      <c r="U107" s="212">
        <v>0.7</v>
      </c>
      <c r="V107" s="212">
        <v>0.65</v>
      </c>
      <c r="W107" s="80">
        <v>0.6</v>
      </c>
      <c r="X107" s="80">
        <v>0.6</v>
      </c>
      <c r="Y107" s="415">
        <v>0.6</v>
      </c>
      <c r="Z107" s="416">
        <v>0.6</v>
      </c>
      <c r="AA107" s="416">
        <v>0.6</v>
      </c>
      <c r="AB107" s="416">
        <v>0.6</v>
      </c>
      <c r="AC107" s="416">
        <v>0.6</v>
      </c>
      <c r="AD107" s="416">
        <v>0.5</v>
      </c>
      <c r="AE107" s="416">
        <v>0.5</v>
      </c>
      <c r="AF107" s="416">
        <v>0.5</v>
      </c>
      <c r="AG107" s="416">
        <v>0.5</v>
      </c>
      <c r="AH107" s="416">
        <v>0.5</v>
      </c>
      <c r="AI107" s="416">
        <v>0.5</v>
      </c>
      <c r="AJ107" s="416">
        <v>0.5</v>
      </c>
      <c r="AK107" s="444">
        <v>0.6</v>
      </c>
      <c r="AL107" s="37">
        <v>0.6</v>
      </c>
      <c r="AM107" s="37">
        <v>0.6</v>
      </c>
      <c r="AN107" s="37">
        <v>0.6</v>
      </c>
      <c r="AO107" s="37">
        <v>0.6</v>
      </c>
      <c r="AP107" s="704"/>
      <c r="AQ107" s="704"/>
      <c r="AR107" s="19"/>
      <c r="AS107" s="358"/>
      <c r="AT107" s="54"/>
      <c r="AU107" s="54"/>
      <c r="AV107" s="19"/>
    </row>
    <row r="108" spans="1:50">
      <c r="A108" s="3"/>
      <c r="B108" s="642" t="s">
        <v>92</v>
      </c>
      <c r="C108" s="225" t="s">
        <v>282</v>
      </c>
      <c r="D108" s="643" t="s">
        <v>92</v>
      </c>
      <c r="E108" s="80"/>
      <c r="F108" s="80"/>
      <c r="G108" s="80"/>
      <c r="H108" s="80"/>
      <c r="I108" s="80"/>
      <c r="J108" s="80"/>
      <c r="K108" s="80"/>
      <c r="L108" s="80">
        <v>0.5</v>
      </c>
      <c r="M108" s="80">
        <v>0.5</v>
      </c>
      <c r="N108" s="80">
        <v>0.62</v>
      </c>
      <c r="O108" s="80">
        <v>0.65</v>
      </c>
      <c r="P108" s="287">
        <v>0.75</v>
      </c>
      <c r="Q108" s="80">
        <v>0.75</v>
      </c>
      <c r="R108" s="80">
        <v>0.75</v>
      </c>
      <c r="S108" s="212">
        <v>0.9</v>
      </c>
      <c r="T108" s="80">
        <v>0.75</v>
      </c>
      <c r="U108" s="212">
        <v>0.75</v>
      </c>
      <c r="V108" s="80">
        <v>0.8</v>
      </c>
      <c r="W108" s="80">
        <v>0.8</v>
      </c>
      <c r="X108" s="80">
        <v>0.6</v>
      </c>
      <c r="Y108" s="360">
        <v>0.8</v>
      </c>
      <c r="Z108" s="80">
        <v>0.7</v>
      </c>
      <c r="AA108" s="80">
        <v>0.75</v>
      </c>
      <c r="AB108" s="80">
        <v>0.6</v>
      </c>
      <c r="AC108" s="212">
        <v>0.85</v>
      </c>
      <c r="AD108" s="80">
        <v>0.6</v>
      </c>
      <c r="AE108" s="80">
        <v>0.7</v>
      </c>
      <c r="AF108" s="80">
        <v>0.9</v>
      </c>
      <c r="AG108" s="80">
        <v>0.9</v>
      </c>
      <c r="AH108" s="80">
        <v>0.85</v>
      </c>
      <c r="AI108" s="80">
        <v>0.7</v>
      </c>
      <c r="AJ108" s="80">
        <v>0.65</v>
      </c>
      <c r="AK108" s="360">
        <v>0.4</v>
      </c>
      <c r="AL108" s="80">
        <v>0.45</v>
      </c>
      <c r="AM108" s="80">
        <v>0.45</v>
      </c>
      <c r="AN108" s="80">
        <v>0.4</v>
      </c>
      <c r="AO108" s="80">
        <v>0.6</v>
      </c>
      <c r="AP108" s="704"/>
      <c r="AQ108" s="704"/>
      <c r="AR108" s="19"/>
      <c r="AS108" s="19"/>
      <c r="AT108" s="54"/>
      <c r="AU108" s="54"/>
      <c r="AV108" s="19"/>
    </row>
    <row r="109" spans="1:50">
      <c r="A109" s="28"/>
      <c r="B109" s="637" t="s">
        <v>92</v>
      </c>
      <c r="C109" s="4" t="s">
        <v>246</v>
      </c>
      <c r="D109" s="644" t="s">
        <v>283</v>
      </c>
      <c r="E109" s="90">
        <v>64.069999999999993</v>
      </c>
      <c r="F109" s="96">
        <f>66.43791165-3</f>
        <v>63.437911650000004</v>
      </c>
      <c r="G109" s="185">
        <f>67.84931687-2</f>
        <v>65.849316869999996</v>
      </c>
      <c r="H109" s="90">
        <v>62.71</v>
      </c>
      <c r="I109" s="90">
        <v>69.459999999999994</v>
      </c>
      <c r="J109" s="90">
        <v>74.149546740000005</v>
      </c>
      <c r="K109" s="220">
        <v>64.84</v>
      </c>
      <c r="L109" s="220">
        <v>73.87</v>
      </c>
      <c r="M109" s="220">
        <v>70.308482029999993</v>
      </c>
      <c r="N109" s="220">
        <f>66.30012878+1.27-2</f>
        <v>65.57012877999999</v>
      </c>
      <c r="O109" s="96">
        <v>67.39</v>
      </c>
      <c r="P109" s="297">
        <v>52.08</v>
      </c>
      <c r="Q109" s="96">
        <v>47.18</v>
      </c>
      <c r="R109" s="96">
        <v>52.57</v>
      </c>
      <c r="S109" s="96">
        <v>56.54</v>
      </c>
      <c r="T109" s="96">
        <v>59.6</v>
      </c>
      <c r="U109" s="96">
        <v>57.42</v>
      </c>
      <c r="V109" s="96">
        <f>62.54</f>
        <v>62.54</v>
      </c>
      <c r="W109" s="220">
        <v>59.382407709999995</v>
      </c>
      <c r="X109" s="96">
        <v>56.1</v>
      </c>
      <c r="Y109" s="388">
        <f>51.21+3</f>
        <v>54.21</v>
      </c>
      <c r="Z109" s="78">
        <f>52.25</f>
        <v>52.25</v>
      </c>
      <c r="AA109" s="78">
        <v>56.88</v>
      </c>
      <c r="AB109" s="78">
        <v>48.78</v>
      </c>
      <c r="AC109" s="78">
        <v>51.8</v>
      </c>
      <c r="AD109" s="191">
        <v>52.23</v>
      </c>
      <c r="AE109" s="191">
        <v>60.106688570000003</v>
      </c>
      <c r="AF109" s="191">
        <v>59.348695379999995</v>
      </c>
      <c r="AG109" s="191">
        <v>58.74402886</v>
      </c>
      <c r="AH109" s="191">
        <v>58.487959409999988</v>
      </c>
      <c r="AI109" s="191">
        <v>59.128257629999993</v>
      </c>
      <c r="AJ109" s="191">
        <v>61.225829050000002</v>
      </c>
      <c r="AK109" s="446">
        <v>61.70687556</v>
      </c>
      <c r="AL109" s="207">
        <v>58.432644260000004</v>
      </c>
      <c r="AM109" s="207">
        <v>60.270865950000001</v>
      </c>
      <c r="AN109" s="207">
        <v>56.221904499999994</v>
      </c>
      <c r="AO109" s="207">
        <v>57.656336629999998</v>
      </c>
      <c r="AP109" s="700"/>
      <c r="AQ109" s="700"/>
      <c r="AR109" s="19"/>
      <c r="AS109" s="523"/>
      <c r="AT109" s="54"/>
      <c r="AU109" s="54"/>
      <c r="AV109" s="19"/>
    </row>
    <row r="110" spans="1:50">
      <c r="A110" s="28"/>
      <c r="B110" s="637" t="s">
        <v>92</v>
      </c>
      <c r="C110" s="4" t="s">
        <v>246</v>
      </c>
      <c r="D110" s="645" t="s">
        <v>286</v>
      </c>
      <c r="E110" s="34">
        <v>70.61</v>
      </c>
      <c r="F110" s="34">
        <v>67.131</v>
      </c>
      <c r="G110" s="34">
        <v>68.07940004999999</v>
      </c>
      <c r="H110" s="34">
        <f>67.46768497-1.17</f>
        <v>66.297684969999992</v>
      </c>
      <c r="I110" s="34">
        <v>68.81</v>
      </c>
      <c r="J110" s="34">
        <v>68.09418556</v>
      </c>
      <c r="K110" s="34">
        <v>70.55</v>
      </c>
      <c r="L110" s="34">
        <v>67.655677449999999</v>
      </c>
      <c r="M110" s="34">
        <v>67.334808789999997</v>
      </c>
      <c r="N110" s="34">
        <v>64.025330750000009</v>
      </c>
      <c r="O110" s="96">
        <v>61.08</v>
      </c>
      <c r="P110" s="96">
        <v>50.41</v>
      </c>
      <c r="Q110" s="96">
        <v>54.68</v>
      </c>
      <c r="R110" s="96">
        <v>53.87</v>
      </c>
      <c r="S110" s="96">
        <v>60.69</v>
      </c>
      <c r="T110" s="96">
        <v>61.18</v>
      </c>
      <c r="U110" s="96">
        <v>60.42</v>
      </c>
      <c r="V110" s="34">
        <v>61.37</v>
      </c>
      <c r="W110" s="96">
        <v>60.32</v>
      </c>
      <c r="X110" s="96">
        <v>64.62</v>
      </c>
      <c r="Y110" s="388">
        <v>61.92</v>
      </c>
      <c r="Z110" s="39">
        <v>56.777439450000003</v>
      </c>
      <c r="AA110" s="78">
        <v>62.23</v>
      </c>
      <c r="AB110" s="78">
        <v>53.05</v>
      </c>
      <c r="AC110" s="78">
        <v>53.03</v>
      </c>
      <c r="AD110" s="39">
        <v>55.66</v>
      </c>
      <c r="AE110" s="39">
        <v>54.366872799999996</v>
      </c>
      <c r="AF110" s="39">
        <v>59.489960410000002</v>
      </c>
      <c r="AG110" s="39">
        <v>59.214097170000009</v>
      </c>
      <c r="AH110" s="39">
        <v>60.71319411999999</v>
      </c>
      <c r="AI110" s="39">
        <v>59.433127179999993</v>
      </c>
      <c r="AJ110" s="39">
        <v>62.036438799999992</v>
      </c>
      <c r="AK110" s="38">
        <v>61.124961039999995</v>
      </c>
      <c r="AL110" s="39">
        <v>57.459543909999994</v>
      </c>
      <c r="AM110" s="39">
        <v>59.505406020000002</v>
      </c>
      <c r="AN110" s="39">
        <v>58.063950709999993</v>
      </c>
      <c r="AO110" s="39">
        <v>57.349385640000001</v>
      </c>
      <c r="AP110" s="704"/>
      <c r="AQ110" s="704"/>
      <c r="AR110" s="19"/>
      <c r="AS110" s="54"/>
      <c r="AT110" s="54"/>
      <c r="AU110" s="54"/>
      <c r="AV110" s="19"/>
    </row>
    <row r="111" spans="1:50">
      <c r="A111" s="28"/>
      <c r="B111" s="646" t="s">
        <v>92</v>
      </c>
      <c r="C111" s="5" t="s">
        <v>246</v>
      </c>
      <c r="D111" s="647" t="s">
        <v>287</v>
      </c>
      <c r="E111" s="34"/>
      <c r="F111" s="96"/>
      <c r="G111" s="34"/>
      <c r="H111" s="34">
        <v>2</v>
      </c>
      <c r="I111" s="34"/>
      <c r="J111" s="34"/>
      <c r="K111" s="208">
        <v>13.6</v>
      </c>
      <c r="L111" s="34"/>
      <c r="M111" s="34">
        <v>0.41</v>
      </c>
      <c r="N111" s="34">
        <v>1.27</v>
      </c>
      <c r="O111" s="34">
        <v>3.8000000000000003</v>
      </c>
      <c r="P111" s="34">
        <v>1.2</v>
      </c>
      <c r="Q111" s="34">
        <v>1.55</v>
      </c>
      <c r="R111" s="96">
        <v>4.0999999999999996</v>
      </c>
      <c r="S111" s="96">
        <v>7.4</v>
      </c>
      <c r="T111" s="96">
        <v>14.3</v>
      </c>
      <c r="U111" s="96">
        <v>12</v>
      </c>
      <c r="V111" s="96">
        <f>10.3-0.7</f>
        <v>9.6000000000000014</v>
      </c>
      <c r="W111" s="96">
        <v>13</v>
      </c>
      <c r="X111" s="96">
        <v>11.47</v>
      </c>
      <c r="Y111" s="388">
        <v>4.5</v>
      </c>
      <c r="Z111" s="78">
        <v>6.4</v>
      </c>
      <c r="AA111" s="78">
        <v>19.46</v>
      </c>
      <c r="AB111" s="78">
        <v>15.950000000000001</v>
      </c>
      <c r="AC111" s="39">
        <v>17</v>
      </c>
      <c r="AD111" s="39">
        <v>16</v>
      </c>
      <c r="AE111" s="39">
        <v>15</v>
      </c>
      <c r="AF111" s="39">
        <v>15</v>
      </c>
      <c r="AG111" s="39">
        <v>15</v>
      </c>
      <c r="AH111" s="39">
        <v>15</v>
      </c>
      <c r="AI111" s="39">
        <v>15</v>
      </c>
      <c r="AJ111" s="39">
        <v>15</v>
      </c>
      <c r="AK111" s="38">
        <v>15</v>
      </c>
      <c r="AL111" s="39">
        <v>15</v>
      </c>
      <c r="AM111" s="39">
        <v>15</v>
      </c>
      <c r="AN111" s="39">
        <v>15</v>
      </c>
      <c r="AO111" s="39">
        <v>15</v>
      </c>
      <c r="AP111" s="704"/>
      <c r="AQ111" s="704"/>
      <c r="AR111" s="19"/>
      <c r="AS111" s="54"/>
      <c r="AT111" s="54"/>
      <c r="AU111" s="54"/>
      <c r="AV111" s="19"/>
    </row>
    <row r="112" spans="1:50">
      <c r="A112" s="28"/>
      <c r="B112" s="646" t="s">
        <v>92</v>
      </c>
      <c r="C112" s="5" t="s">
        <v>246</v>
      </c>
      <c r="D112" s="647" t="s">
        <v>288</v>
      </c>
      <c r="E112" s="34"/>
      <c r="F112" s="96"/>
      <c r="G112" s="34"/>
      <c r="H112" s="34"/>
      <c r="I112" s="34"/>
      <c r="J112" s="34"/>
      <c r="K112" s="208"/>
      <c r="L112" s="34"/>
      <c r="M112" s="34"/>
      <c r="N112" s="34"/>
      <c r="O112" s="34"/>
      <c r="P112" s="34"/>
      <c r="Q112" s="34"/>
      <c r="R112" s="96"/>
      <c r="S112" s="96"/>
      <c r="T112" s="96"/>
      <c r="U112" s="34">
        <v>0.3</v>
      </c>
      <c r="V112" s="96">
        <v>0.6</v>
      </c>
      <c r="W112" s="34">
        <v>0.6</v>
      </c>
      <c r="X112" s="34">
        <v>0.6</v>
      </c>
      <c r="Y112" s="388">
        <v>0.25</v>
      </c>
      <c r="Z112" s="78">
        <v>0.4</v>
      </c>
      <c r="AA112" s="78">
        <v>0.5</v>
      </c>
      <c r="AB112" s="78">
        <v>0.5</v>
      </c>
      <c r="AC112" s="78">
        <v>0.4</v>
      </c>
      <c r="AD112" s="39">
        <v>0.4</v>
      </c>
      <c r="AE112" s="39">
        <v>0.5</v>
      </c>
      <c r="AF112" s="39">
        <v>0.6</v>
      </c>
      <c r="AG112" s="39">
        <v>0.6</v>
      </c>
      <c r="AH112" s="39">
        <v>0.6</v>
      </c>
      <c r="AI112" s="39">
        <v>0.6</v>
      </c>
      <c r="AJ112" s="39">
        <v>0.6</v>
      </c>
      <c r="AK112" s="359">
        <v>0.6</v>
      </c>
      <c r="AL112" s="53">
        <v>0.6</v>
      </c>
      <c r="AM112" s="53">
        <v>0.6</v>
      </c>
      <c r="AN112" s="53">
        <v>0.6</v>
      </c>
      <c r="AO112" s="53">
        <v>0.6</v>
      </c>
      <c r="AP112" s="704"/>
      <c r="AQ112" s="704"/>
      <c r="AR112" s="19"/>
      <c r="AS112" s="19"/>
      <c r="AT112" s="54"/>
      <c r="AU112" s="54"/>
      <c r="AV112" s="19"/>
    </row>
    <row r="113" spans="1:48">
      <c r="A113" s="28"/>
      <c r="B113" s="648" t="s">
        <v>92</v>
      </c>
      <c r="C113" s="649" t="s">
        <v>248</v>
      </c>
      <c r="D113" s="650" t="s">
        <v>250</v>
      </c>
      <c r="E113" s="52">
        <v>22</v>
      </c>
      <c r="F113" s="52">
        <v>22</v>
      </c>
      <c r="G113" s="52">
        <v>32</v>
      </c>
      <c r="H113" s="52">
        <v>32</v>
      </c>
      <c r="I113" s="200">
        <v>33.28</v>
      </c>
      <c r="J113" s="207">
        <v>33.6</v>
      </c>
      <c r="K113" s="207">
        <v>33.6</v>
      </c>
      <c r="L113" s="207">
        <v>33.6</v>
      </c>
      <c r="M113" s="207">
        <v>32</v>
      </c>
      <c r="N113" s="207">
        <v>32</v>
      </c>
      <c r="O113" s="277">
        <v>22</v>
      </c>
      <c r="P113" s="277">
        <v>20</v>
      </c>
      <c r="Q113" s="207">
        <v>20</v>
      </c>
      <c r="R113" s="277">
        <v>23</v>
      </c>
      <c r="S113" s="277">
        <v>27</v>
      </c>
      <c r="T113" s="277">
        <v>26</v>
      </c>
      <c r="U113" s="207">
        <v>26</v>
      </c>
      <c r="V113" s="207">
        <v>26</v>
      </c>
      <c r="W113" s="277">
        <v>25</v>
      </c>
      <c r="X113" s="277">
        <v>26</v>
      </c>
      <c r="Y113" s="364">
        <v>25</v>
      </c>
      <c r="Z113" s="277">
        <f>25-0.6</f>
        <v>24.4</v>
      </c>
      <c r="AA113" s="207">
        <v>26</v>
      </c>
      <c r="AB113" s="277">
        <v>23.5</v>
      </c>
      <c r="AC113" s="277">
        <v>22</v>
      </c>
      <c r="AD113" s="277">
        <v>13</v>
      </c>
      <c r="AE113" s="277">
        <v>13</v>
      </c>
      <c r="AF113" s="207">
        <v>15</v>
      </c>
      <c r="AG113" s="207">
        <v>15</v>
      </c>
      <c r="AH113" s="207">
        <v>15</v>
      </c>
      <c r="AI113" s="207">
        <v>15</v>
      </c>
      <c r="AJ113" s="207">
        <v>15</v>
      </c>
      <c r="AK113" s="361">
        <v>15</v>
      </c>
      <c r="AL113" s="191">
        <v>15</v>
      </c>
      <c r="AM113" s="191">
        <v>15</v>
      </c>
      <c r="AN113" s="191">
        <v>15</v>
      </c>
      <c r="AO113" s="191">
        <v>15</v>
      </c>
      <c r="AP113" s="700"/>
      <c r="AQ113" s="700"/>
      <c r="AR113" s="19"/>
      <c r="AS113" s="358"/>
      <c r="AT113" s="426"/>
      <c r="AU113" s="54"/>
      <c r="AV113" s="19"/>
    </row>
    <row r="114" spans="1:48">
      <c r="A114" s="28"/>
      <c r="B114" s="646" t="s">
        <v>92</v>
      </c>
      <c r="C114" s="651" t="s">
        <v>249</v>
      </c>
      <c r="D114" s="652" t="s">
        <v>250</v>
      </c>
      <c r="E114" s="53">
        <v>0</v>
      </c>
      <c r="F114" s="53">
        <v>14</v>
      </c>
      <c r="G114" s="53">
        <v>20</v>
      </c>
      <c r="H114" s="53">
        <v>14</v>
      </c>
      <c r="I114" s="201">
        <v>12.48</v>
      </c>
      <c r="J114" s="98">
        <v>12.6</v>
      </c>
      <c r="K114" s="98">
        <v>12.6</v>
      </c>
      <c r="L114" s="98">
        <v>12.6</v>
      </c>
      <c r="M114" s="98">
        <v>12</v>
      </c>
      <c r="N114" s="98">
        <v>12</v>
      </c>
      <c r="O114" s="94">
        <v>11</v>
      </c>
      <c r="P114" s="94">
        <v>10</v>
      </c>
      <c r="Q114" s="98">
        <v>11</v>
      </c>
      <c r="R114" s="94">
        <v>12</v>
      </c>
      <c r="S114" s="94">
        <v>12</v>
      </c>
      <c r="T114" s="94">
        <v>14</v>
      </c>
      <c r="U114" s="94">
        <v>15</v>
      </c>
      <c r="V114" s="98">
        <v>17</v>
      </c>
      <c r="W114" s="94">
        <v>16</v>
      </c>
      <c r="X114" s="94">
        <v>16</v>
      </c>
      <c r="Y114" s="94">
        <v>15</v>
      </c>
      <c r="Z114" s="94">
        <v>15</v>
      </c>
      <c r="AA114" s="98">
        <v>17</v>
      </c>
      <c r="AB114" s="94">
        <v>12.5</v>
      </c>
      <c r="AC114" s="94">
        <v>14</v>
      </c>
      <c r="AD114" s="94">
        <v>23</v>
      </c>
      <c r="AE114" s="94">
        <v>23</v>
      </c>
      <c r="AF114" s="98">
        <v>27</v>
      </c>
      <c r="AG114" s="98">
        <v>26</v>
      </c>
      <c r="AH114" s="98">
        <v>26.5</v>
      </c>
      <c r="AI114" s="98">
        <v>27</v>
      </c>
      <c r="AJ114" s="98">
        <v>27</v>
      </c>
      <c r="AK114" s="361">
        <v>27</v>
      </c>
      <c r="AL114" s="191">
        <v>27</v>
      </c>
      <c r="AM114" s="191">
        <v>27</v>
      </c>
      <c r="AN114" s="191">
        <v>27</v>
      </c>
      <c r="AO114" s="191">
        <v>27</v>
      </c>
      <c r="AP114" s="700"/>
      <c r="AQ114" s="700"/>
      <c r="AR114" s="19"/>
      <c r="AS114" s="358"/>
      <c r="AT114" s="426"/>
      <c r="AU114" s="54"/>
      <c r="AV114" s="19"/>
    </row>
    <row r="115" spans="1:48">
      <c r="A115" s="28"/>
      <c r="B115" s="648" t="s">
        <v>92</v>
      </c>
      <c r="C115" s="6" t="s">
        <v>289</v>
      </c>
      <c r="D115" s="650" t="s">
        <v>250</v>
      </c>
      <c r="E115" s="52"/>
      <c r="F115" s="52"/>
      <c r="G115" s="52"/>
      <c r="H115" s="52"/>
      <c r="I115" s="52"/>
      <c r="J115" s="52"/>
      <c r="K115" s="52"/>
      <c r="L115" s="52"/>
      <c r="M115" s="52"/>
      <c r="N115" s="52"/>
      <c r="O115" s="52"/>
      <c r="P115" s="52"/>
      <c r="Q115" s="52"/>
      <c r="R115" s="52"/>
      <c r="S115" s="207"/>
      <c r="T115" s="52"/>
      <c r="U115" s="52"/>
      <c r="V115" s="52"/>
      <c r="W115" s="52"/>
      <c r="X115" s="392"/>
      <c r="Y115" s="363"/>
      <c r="Z115" s="52"/>
      <c r="AA115" s="52"/>
      <c r="AB115" s="52"/>
      <c r="AC115" s="52"/>
      <c r="AD115" s="52"/>
      <c r="AE115" s="52"/>
      <c r="AF115" s="52"/>
      <c r="AG115" s="52"/>
      <c r="AH115" s="52"/>
      <c r="AI115" s="52"/>
      <c r="AJ115" s="52"/>
      <c r="AK115" s="363"/>
      <c r="AL115" s="52"/>
      <c r="AM115" s="52"/>
      <c r="AN115" s="52"/>
      <c r="AO115" s="52"/>
      <c r="AP115" s="704"/>
      <c r="AQ115" s="704"/>
      <c r="AR115" s="19"/>
      <c r="AS115" s="19"/>
      <c r="AT115" s="19"/>
      <c r="AU115" s="19"/>
      <c r="AV115" s="19"/>
    </row>
    <row r="116" spans="1:48">
      <c r="A116" s="28"/>
      <c r="B116" s="646" t="s">
        <v>92</v>
      </c>
      <c r="C116" s="7" t="s">
        <v>289</v>
      </c>
      <c r="D116" s="647" t="s">
        <v>287</v>
      </c>
      <c r="E116" s="53"/>
      <c r="F116" s="53"/>
      <c r="G116" s="94"/>
      <c r="H116" s="53"/>
      <c r="I116" s="53"/>
      <c r="J116" s="53"/>
      <c r="K116" s="53"/>
      <c r="L116" s="53"/>
      <c r="M116" s="53"/>
      <c r="N116" s="53"/>
      <c r="O116" s="53"/>
      <c r="P116" s="53"/>
      <c r="Q116" s="53"/>
      <c r="R116" s="53"/>
      <c r="S116" s="53"/>
      <c r="T116" s="53"/>
      <c r="U116" s="53"/>
      <c r="V116" s="53"/>
      <c r="W116" s="53"/>
      <c r="X116" s="53">
        <v>0</v>
      </c>
      <c r="Y116" s="359">
        <v>0</v>
      </c>
      <c r="Z116" s="53"/>
      <c r="AA116" s="53"/>
      <c r="AB116" s="53">
        <v>0</v>
      </c>
      <c r="AC116" s="53">
        <v>0</v>
      </c>
      <c r="AD116" s="53">
        <v>0</v>
      </c>
      <c r="AE116" s="53">
        <v>0</v>
      </c>
      <c r="AF116" s="53">
        <v>0</v>
      </c>
      <c r="AG116" s="53">
        <v>0</v>
      </c>
      <c r="AH116" s="53">
        <v>0</v>
      </c>
      <c r="AI116" s="53">
        <v>0</v>
      </c>
      <c r="AJ116" s="53">
        <v>0</v>
      </c>
      <c r="AK116" s="359">
        <v>0</v>
      </c>
      <c r="AL116" s="53">
        <v>0</v>
      </c>
      <c r="AM116" s="53">
        <v>0</v>
      </c>
      <c r="AN116" s="53">
        <v>0</v>
      </c>
      <c r="AO116" s="53">
        <v>0</v>
      </c>
      <c r="AP116" s="704"/>
      <c r="AQ116" s="704"/>
      <c r="AR116" s="19"/>
      <c r="AS116" s="19"/>
      <c r="AT116" s="19"/>
      <c r="AU116" s="19"/>
      <c r="AV116" s="19"/>
    </row>
    <row r="117" spans="1:48">
      <c r="A117" s="28"/>
      <c r="B117" s="648" t="s">
        <v>92</v>
      </c>
      <c r="C117" s="8" t="s">
        <v>291</v>
      </c>
      <c r="D117" s="650" t="s">
        <v>250</v>
      </c>
      <c r="E117" s="34"/>
      <c r="F117" s="34"/>
      <c r="G117" s="34"/>
      <c r="H117" s="34"/>
      <c r="I117" s="34"/>
      <c r="J117" s="34"/>
      <c r="K117" s="34"/>
      <c r="L117" s="34"/>
      <c r="M117" s="34"/>
      <c r="N117" s="34"/>
      <c r="O117" s="34"/>
      <c r="P117" s="34"/>
      <c r="Q117" s="34"/>
      <c r="R117" s="34"/>
      <c r="S117" s="34"/>
      <c r="T117" s="34"/>
      <c r="U117" s="34"/>
      <c r="V117" s="34"/>
      <c r="W117" s="34"/>
      <c r="X117" s="34"/>
      <c r="Y117" s="38"/>
      <c r="Z117" s="39"/>
      <c r="AA117" s="39"/>
      <c r="AB117" s="39"/>
      <c r="AC117" s="39"/>
      <c r="AD117" s="39"/>
      <c r="AE117" s="39"/>
      <c r="AF117" s="39"/>
      <c r="AG117" s="39"/>
      <c r="AH117" s="39"/>
      <c r="AI117" s="39"/>
      <c r="AJ117" s="39"/>
      <c r="AK117" s="363"/>
      <c r="AL117" s="52"/>
      <c r="AM117" s="52"/>
      <c r="AN117" s="52"/>
      <c r="AO117" s="52"/>
      <c r="AP117" s="704"/>
      <c r="AQ117" s="704"/>
      <c r="AR117" s="19"/>
      <c r="AS117" s="19"/>
      <c r="AT117" s="19"/>
      <c r="AU117" s="19"/>
      <c r="AV117" s="19"/>
    </row>
    <row r="118" spans="1:48">
      <c r="A118" s="28"/>
      <c r="B118" s="637" t="s">
        <v>92</v>
      </c>
      <c r="C118" s="367" t="s">
        <v>291</v>
      </c>
      <c r="D118" s="653" t="s">
        <v>287</v>
      </c>
      <c r="E118" s="34"/>
      <c r="F118" s="34"/>
      <c r="G118" s="34"/>
      <c r="H118" s="34"/>
      <c r="I118" s="34"/>
      <c r="J118" s="34"/>
      <c r="K118" s="34"/>
      <c r="L118" s="34"/>
      <c r="M118" s="34"/>
      <c r="N118" s="34"/>
      <c r="O118" s="34"/>
      <c r="P118" s="34"/>
      <c r="Q118" s="34"/>
      <c r="R118" s="34"/>
      <c r="S118" s="34"/>
      <c r="T118" s="34"/>
      <c r="U118" s="34"/>
      <c r="V118" s="34"/>
      <c r="W118" s="34"/>
      <c r="X118" s="34"/>
      <c r="Y118" s="38"/>
      <c r="Z118" s="39"/>
      <c r="AA118" s="39"/>
      <c r="AB118" s="39"/>
      <c r="AC118" s="39"/>
      <c r="AD118" s="39"/>
      <c r="AE118" s="39"/>
      <c r="AF118" s="39"/>
      <c r="AG118" s="39"/>
      <c r="AH118" s="39"/>
      <c r="AI118" s="39"/>
      <c r="AJ118" s="39"/>
      <c r="AK118" s="359"/>
      <c r="AL118" s="53"/>
      <c r="AM118" s="53"/>
      <c r="AN118" s="53"/>
      <c r="AO118" s="53"/>
      <c r="AP118" s="704"/>
      <c r="AQ118" s="704"/>
      <c r="AR118" s="19"/>
      <c r="AS118" s="19"/>
      <c r="AT118" s="19"/>
      <c r="AU118" s="19"/>
      <c r="AV118" s="19"/>
    </row>
    <row r="119" spans="1:48">
      <c r="A119" s="28"/>
      <c r="B119" s="648" t="s">
        <v>92</v>
      </c>
      <c r="C119" s="9" t="s">
        <v>292</v>
      </c>
      <c r="D119" s="650" t="s">
        <v>250</v>
      </c>
      <c r="E119" s="52"/>
      <c r="F119" s="52"/>
      <c r="G119" s="52"/>
      <c r="H119" s="52"/>
      <c r="I119" s="52"/>
      <c r="J119" s="52"/>
      <c r="K119" s="52"/>
      <c r="L119" s="52"/>
      <c r="M119" s="52"/>
      <c r="N119" s="52"/>
      <c r="O119" s="52"/>
      <c r="P119" s="52"/>
      <c r="Q119" s="52"/>
      <c r="R119" s="52"/>
      <c r="S119" s="52"/>
      <c r="T119" s="52"/>
      <c r="U119" s="52"/>
      <c r="V119" s="52"/>
      <c r="W119" s="52"/>
      <c r="X119" s="52"/>
      <c r="Y119" s="363"/>
      <c r="Z119" s="52"/>
      <c r="AA119" s="52"/>
      <c r="AB119" s="52"/>
      <c r="AC119" s="52"/>
      <c r="AD119" s="52"/>
      <c r="AE119" s="52"/>
      <c r="AF119" s="52"/>
      <c r="AG119" s="52"/>
      <c r="AH119" s="52"/>
      <c r="AI119" s="52"/>
      <c r="AJ119" s="52"/>
      <c r="AK119" s="38"/>
      <c r="AL119" s="39"/>
      <c r="AM119" s="39"/>
      <c r="AN119" s="39"/>
      <c r="AO119" s="39"/>
      <c r="AP119" s="704"/>
      <c r="AQ119" s="704"/>
      <c r="AR119" s="19"/>
      <c r="AS119" s="19"/>
      <c r="AT119" s="19"/>
      <c r="AU119" s="19"/>
      <c r="AV119" s="19"/>
    </row>
    <row r="120" spans="1:48">
      <c r="A120" s="28"/>
      <c r="B120" s="637" t="s">
        <v>92</v>
      </c>
      <c r="C120" s="282" t="s">
        <v>292</v>
      </c>
      <c r="D120" s="653" t="s">
        <v>287</v>
      </c>
      <c r="E120" s="53"/>
      <c r="F120" s="53"/>
      <c r="G120" s="53"/>
      <c r="H120" s="53"/>
      <c r="I120" s="53"/>
      <c r="J120" s="53"/>
      <c r="K120" s="53"/>
      <c r="L120" s="53"/>
      <c r="M120" s="53"/>
      <c r="N120" s="53"/>
      <c r="O120" s="53"/>
      <c r="P120" s="53"/>
      <c r="Q120" s="53"/>
      <c r="R120" s="53">
        <v>1.8</v>
      </c>
      <c r="S120" s="53">
        <v>0.40000000000000013</v>
      </c>
      <c r="T120" s="53">
        <v>1.8</v>
      </c>
      <c r="U120" s="94">
        <v>2.4</v>
      </c>
      <c r="V120" s="53">
        <v>2.6</v>
      </c>
      <c r="W120" s="53">
        <v>3.6</v>
      </c>
      <c r="X120" s="53">
        <v>3.6</v>
      </c>
      <c r="Y120" s="359"/>
      <c r="Z120" s="53">
        <v>4.2</v>
      </c>
      <c r="AA120" s="94">
        <v>3</v>
      </c>
      <c r="AB120" s="53">
        <v>3</v>
      </c>
      <c r="AC120" s="94">
        <v>2.4</v>
      </c>
      <c r="AD120" s="53">
        <v>3</v>
      </c>
      <c r="AE120" s="53">
        <v>3</v>
      </c>
      <c r="AF120" s="53">
        <v>3</v>
      </c>
      <c r="AG120" s="53">
        <v>3</v>
      </c>
      <c r="AH120" s="53">
        <v>3</v>
      </c>
      <c r="AI120" s="53">
        <v>3</v>
      </c>
      <c r="AJ120" s="53">
        <v>3</v>
      </c>
      <c r="AK120" s="38">
        <v>3</v>
      </c>
      <c r="AL120" s="39">
        <v>3</v>
      </c>
      <c r="AM120" s="39">
        <v>3</v>
      </c>
      <c r="AN120" s="39">
        <v>3</v>
      </c>
      <c r="AO120" s="39">
        <v>3</v>
      </c>
      <c r="AP120" s="704"/>
      <c r="AQ120" s="704"/>
      <c r="AR120" s="19"/>
      <c r="AS120" s="19"/>
      <c r="AT120" s="19"/>
      <c r="AU120" s="19"/>
      <c r="AV120" s="19"/>
    </row>
    <row r="121" spans="1:48">
      <c r="A121" s="28"/>
      <c r="B121" s="646" t="s">
        <v>92</v>
      </c>
      <c r="C121" s="10" t="s">
        <v>292</v>
      </c>
      <c r="D121" s="647" t="s">
        <v>288</v>
      </c>
      <c r="E121" s="39"/>
      <c r="F121" s="39"/>
      <c r="G121" s="39"/>
      <c r="H121" s="39"/>
      <c r="I121" s="39"/>
      <c r="J121" s="39"/>
      <c r="K121" s="39"/>
      <c r="L121" s="39"/>
      <c r="M121" s="39"/>
      <c r="N121" s="39"/>
      <c r="O121" s="39"/>
      <c r="P121" s="39"/>
      <c r="Q121" s="39"/>
      <c r="R121" s="39"/>
      <c r="S121" s="39"/>
      <c r="T121" s="39"/>
      <c r="U121" s="78"/>
      <c r="V121" s="39"/>
      <c r="W121" s="39">
        <v>0.6</v>
      </c>
      <c r="X121" s="39">
        <v>0.6</v>
      </c>
      <c r="Y121" s="38"/>
      <c r="Z121" s="39">
        <v>0.8</v>
      </c>
      <c r="AA121" s="78">
        <v>1.2</v>
      </c>
      <c r="AB121" s="39">
        <v>1.2</v>
      </c>
      <c r="AC121" s="78">
        <v>1.2</v>
      </c>
      <c r="AD121" s="39">
        <v>1.2</v>
      </c>
      <c r="AE121" s="39">
        <v>1.2</v>
      </c>
      <c r="AF121" s="39">
        <v>1.2</v>
      </c>
      <c r="AG121" s="39">
        <v>1.2</v>
      </c>
      <c r="AH121" s="39">
        <v>1.2</v>
      </c>
      <c r="AI121" s="39">
        <v>1.2</v>
      </c>
      <c r="AJ121" s="39">
        <v>1.2</v>
      </c>
      <c r="AK121" s="363">
        <v>1.2</v>
      </c>
      <c r="AL121" s="52">
        <v>1.2</v>
      </c>
      <c r="AM121" s="52">
        <v>1.2</v>
      </c>
      <c r="AN121" s="52">
        <v>1.2</v>
      </c>
      <c r="AO121" s="52">
        <v>1.2</v>
      </c>
      <c r="AP121" s="704"/>
      <c r="AQ121" s="704"/>
      <c r="AR121" s="19"/>
      <c r="AS121" s="19"/>
      <c r="AT121" s="19"/>
      <c r="AU121" s="19"/>
      <c r="AV121" s="19"/>
    </row>
    <row r="122" spans="1:48">
      <c r="A122" s="28"/>
      <c r="B122" s="637" t="s">
        <v>92</v>
      </c>
      <c r="C122" s="11" t="s">
        <v>295</v>
      </c>
      <c r="D122" s="644" t="s">
        <v>250</v>
      </c>
      <c r="E122" s="34"/>
      <c r="F122" s="34"/>
      <c r="G122" s="34"/>
      <c r="H122" s="34"/>
      <c r="I122" s="34"/>
      <c r="J122" s="34"/>
      <c r="K122" s="34"/>
      <c r="L122" s="34"/>
      <c r="M122" s="34"/>
      <c r="N122" s="34"/>
      <c r="O122" s="34"/>
      <c r="P122" s="34"/>
      <c r="Q122" s="34"/>
      <c r="R122" s="34"/>
      <c r="S122" s="34"/>
      <c r="T122" s="34"/>
      <c r="U122" s="34"/>
      <c r="V122" s="34"/>
      <c r="W122" s="34"/>
      <c r="X122" s="34"/>
      <c r="Y122" s="38"/>
      <c r="Z122" s="39"/>
      <c r="AA122" s="39"/>
      <c r="AB122" s="39"/>
      <c r="AC122" s="39"/>
      <c r="AD122" s="39"/>
      <c r="AE122" s="39"/>
      <c r="AF122" s="39"/>
      <c r="AG122" s="39"/>
      <c r="AH122" s="39"/>
      <c r="AI122" s="39"/>
      <c r="AJ122" s="39"/>
      <c r="AK122" s="38"/>
      <c r="AL122" s="39"/>
      <c r="AM122" s="39"/>
      <c r="AN122" s="39"/>
      <c r="AO122" s="39"/>
      <c r="AP122" s="704"/>
      <c r="AQ122" s="704"/>
      <c r="AR122" s="19"/>
      <c r="AS122" s="19"/>
      <c r="AT122" s="19"/>
      <c r="AU122" s="19"/>
      <c r="AV122" s="19"/>
    </row>
    <row r="123" spans="1:48">
      <c r="A123" s="28"/>
      <c r="B123" s="637" t="s">
        <v>92</v>
      </c>
      <c r="C123" s="11" t="s">
        <v>295</v>
      </c>
      <c r="D123" s="653" t="s">
        <v>287</v>
      </c>
      <c r="E123" s="34"/>
      <c r="F123" s="34"/>
      <c r="G123" s="34"/>
      <c r="H123" s="34"/>
      <c r="I123" s="34"/>
      <c r="J123" s="34"/>
      <c r="K123" s="34"/>
      <c r="L123" s="34"/>
      <c r="M123" s="34">
        <f>0.22+0.83</f>
        <v>1.05</v>
      </c>
      <c r="N123" s="34">
        <v>0.82000000000000206</v>
      </c>
      <c r="O123" s="96">
        <v>6.43</v>
      </c>
      <c r="P123" s="96">
        <v>7.3999999999999995</v>
      </c>
      <c r="Q123" s="34">
        <v>5.15</v>
      </c>
      <c r="R123" s="96">
        <v>11.98</v>
      </c>
      <c r="S123" s="96">
        <v>11.4</v>
      </c>
      <c r="T123" s="96">
        <v>13.8</v>
      </c>
      <c r="U123" s="34">
        <v>13.8</v>
      </c>
      <c r="V123" s="96">
        <v>17.5</v>
      </c>
      <c r="W123" s="96">
        <f>3.4-2</f>
        <v>1.4</v>
      </c>
      <c r="X123" s="96">
        <f>0.4+3-1.2+0.6+0.7-0.6</f>
        <v>2.9</v>
      </c>
      <c r="Y123" s="388">
        <v>2.8</v>
      </c>
      <c r="Z123" s="78">
        <f>4.52+0.6+0.6</f>
        <v>5.7199999999999989</v>
      </c>
      <c r="AA123" s="78">
        <f>9.17+1.5</f>
        <v>10.67</v>
      </c>
      <c r="AB123" s="78">
        <v>6.42</v>
      </c>
      <c r="AC123" s="78">
        <v>7.02</v>
      </c>
      <c r="AD123" s="39">
        <v>6.42</v>
      </c>
      <c r="AE123" s="39">
        <v>8.8800000000000008</v>
      </c>
      <c r="AF123" s="39">
        <v>10.88</v>
      </c>
      <c r="AG123" s="39">
        <v>10.88</v>
      </c>
      <c r="AH123" s="39">
        <v>10.88</v>
      </c>
      <c r="AI123" s="39">
        <v>10.88</v>
      </c>
      <c r="AJ123" s="39">
        <v>10.88</v>
      </c>
      <c r="AK123" s="38">
        <v>10.88</v>
      </c>
      <c r="AL123" s="39">
        <v>10.88</v>
      </c>
      <c r="AM123" s="39">
        <v>10.88</v>
      </c>
      <c r="AN123" s="39">
        <v>10.88</v>
      </c>
      <c r="AO123" s="39">
        <v>10.88</v>
      </c>
      <c r="AP123" s="704"/>
      <c r="AQ123" s="704"/>
      <c r="AR123" s="19"/>
      <c r="AS123" s="19"/>
      <c r="AT123" s="19"/>
      <c r="AU123" s="19"/>
      <c r="AV123" s="19"/>
    </row>
    <row r="124" spans="1:48">
      <c r="A124" s="28"/>
      <c r="B124" s="642" t="s">
        <v>92</v>
      </c>
      <c r="C124" s="371" t="s">
        <v>296</v>
      </c>
      <c r="D124" s="654" t="s">
        <v>287</v>
      </c>
      <c r="E124" s="34"/>
      <c r="F124" s="34"/>
      <c r="G124" s="34"/>
      <c r="H124" s="34"/>
      <c r="I124" s="34"/>
      <c r="J124" s="34"/>
      <c r="K124" s="34"/>
      <c r="L124" s="34"/>
      <c r="M124" s="34"/>
      <c r="N124" s="34"/>
      <c r="O124" s="96"/>
      <c r="P124" s="96"/>
      <c r="Q124" s="34"/>
      <c r="R124" s="96"/>
      <c r="S124" s="96"/>
      <c r="T124" s="96"/>
      <c r="U124" s="34"/>
      <c r="V124" s="34"/>
      <c r="W124" s="34"/>
      <c r="X124" s="34"/>
      <c r="Y124" s="38"/>
      <c r="Z124" s="39"/>
      <c r="AA124" s="39"/>
      <c r="AB124" s="39"/>
      <c r="AC124" s="39"/>
      <c r="AD124" s="39"/>
      <c r="AE124" s="39"/>
      <c r="AF124" s="39"/>
      <c r="AG124" s="39"/>
      <c r="AH124" s="39"/>
      <c r="AI124" s="39"/>
      <c r="AJ124" s="39"/>
      <c r="AK124" s="359"/>
      <c r="AL124" s="53"/>
      <c r="AM124" s="53"/>
      <c r="AN124" s="53"/>
      <c r="AO124" s="53"/>
      <c r="AP124" s="704"/>
      <c r="AQ124" s="704"/>
      <c r="AR124" s="19"/>
      <c r="AS124" s="19"/>
      <c r="AT124" s="19"/>
      <c r="AU124" s="19"/>
      <c r="AV124" s="19"/>
    </row>
    <row r="125" spans="1:48">
      <c r="A125" s="28"/>
      <c r="B125" s="648" t="s">
        <v>92</v>
      </c>
      <c r="C125" s="12" t="s">
        <v>228</v>
      </c>
      <c r="D125" s="650" t="s">
        <v>250</v>
      </c>
      <c r="E125" s="52"/>
      <c r="F125" s="52"/>
      <c r="G125" s="52"/>
      <c r="H125" s="52"/>
      <c r="I125" s="52"/>
      <c r="J125" s="52"/>
      <c r="K125" s="52"/>
      <c r="L125" s="52"/>
      <c r="M125" s="52"/>
      <c r="N125" s="52"/>
      <c r="O125" s="52"/>
      <c r="P125" s="52"/>
      <c r="Q125" s="52"/>
      <c r="R125" s="52"/>
      <c r="S125" s="52"/>
      <c r="T125" s="52"/>
      <c r="U125" s="52"/>
      <c r="V125" s="52"/>
      <c r="W125" s="52"/>
      <c r="X125" s="52"/>
      <c r="Y125" s="363"/>
      <c r="Z125" s="52"/>
      <c r="AA125" s="52"/>
      <c r="AB125" s="52"/>
      <c r="AC125" s="52"/>
      <c r="AD125" s="52"/>
      <c r="AE125" s="52"/>
      <c r="AF125" s="52"/>
      <c r="AG125" s="52"/>
      <c r="AH125" s="52"/>
      <c r="AI125" s="52"/>
      <c r="AJ125" s="52"/>
      <c r="AK125" s="38"/>
      <c r="AL125" s="39"/>
      <c r="AM125" s="39"/>
      <c r="AN125" s="39"/>
      <c r="AO125" s="39"/>
      <c r="AP125" s="704"/>
      <c r="AQ125" s="704"/>
      <c r="AR125" s="19"/>
      <c r="AS125" s="19"/>
      <c r="AT125" s="19"/>
      <c r="AU125" s="19"/>
      <c r="AV125" s="19"/>
    </row>
    <row r="126" spans="1:48">
      <c r="A126" s="28"/>
      <c r="B126" s="646" t="s">
        <v>92</v>
      </c>
      <c r="C126" s="13" t="s">
        <v>228</v>
      </c>
      <c r="D126" s="647" t="s">
        <v>287</v>
      </c>
      <c r="E126" s="53"/>
      <c r="F126" s="53"/>
      <c r="G126" s="53"/>
      <c r="H126" s="53"/>
      <c r="I126" s="53"/>
      <c r="J126" s="199">
        <v>1.2</v>
      </c>
      <c r="K126" s="98">
        <v>3.4</v>
      </c>
      <c r="L126" s="98">
        <v>3.1</v>
      </c>
      <c r="M126" s="98">
        <v>1.2</v>
      </c>
      <c r="N126" s="53"/>
      <c r="O126" s="53"/>
      <c r="P126" s="53"/>
      <c r="Q126" s="53"/>
      <c r="R126" s="53"/>
      <c r="S126" s="53"/>
      <c r="T126" s="53"/>
      <c r="U126" s="53"/>
      <c r="V126" s="94">
        <v>1.2</v>
      </c>
      <c r="W126" s="53"/>
      <c r="X126" s="53"/>
      <c r="Y126" s="359"/>
      <c r="Z126" s="53"/>
      <c r="AA126" s="53"/>
      <c r="AB126" s="53"/>
      <c r="AC126" s="53"/>
      <c r="AD126" s="53"/>
      <c r="AE126" s="53"/>
      <c r="AF126" s="53"/>
      <c r="AG126" s="53"/>
      <c r="AH126" s="53"/>
      <c r="AI126" s="53"/>
      <c r="AJ126" s="53"/>
      <c r="AK126" s="38"/>
      <c r="AL126" s="39"/>
      <c r="AM126" s="39"/>
      <c r="AN126" s="39"/>
      <c r="AO126" s="39"/>
      <c r="AP126" s="704"/>
      <c r="AQ126" s="704"/>
      <c r="AR126" s="19"/>
      <c r="AS126" s="19"/>
      <c r="AT126" s="19"/>
      <c r="AU126" s="19"/>
      <c r="AV126" s="19"/>
    </row>
    <row r="127" spans="1:48">
      <c r="A127" s="28"/>
      <c r="B127" s="648" t="s">
        <v>92</v>
      </c>
      <c r="C127" s="12" t="s">
        <v>297</v>
      </c>
      <c r="D127" s="650" t="s">
        <v>250</v>
      </c>
      <c r="E127" s="34"/>
      <c r="F127" s="34"/>
      <c r="G127" s="34"/>
      <c r="H127" s="34"/>
      <c r="I127" s="34"/>
      <c r="J127" s="34"/>
      <c r="K127" s="34"/>
      <c r="L127" s="34"/>
      <c r="M127" s="34"/>
      <c r="N127" s="34"/>
      <c r="O127" s="34"/>
      <c r="P127" s="34"/>
      <c r="Q127" s="34"/>
      <c r="R127" s="34"/>
      <c r="S127" s="34"/>
      <c r="T127" s="34"/>
      <c r="U127" s="34"/>
      <c r="V127" s="34"/>
      <c r="W127" s="34"/>
      <c r="X127" s="34"/>
      <c r="Y127" s="38"/>
      <c r="Z127" s="39"/>
      <c r="AA127" s="39"/>
      <c r="AB127" s="39"/>
      <c r="AC127" s="39"/>
      <c r="AD127" s="39"/>
      <c r="AE127" s="39"/>
      <c r="AF127" s="39"/>
      <c r="AG127" s="39"/>
      <c r="AH127" s="39"/>
      <c r="AI127" s="39"/>
      <c r="AJ127" s="39"/>
      <c r="AK127" s="363"/>
      <c r="AL127" s="52"/>
      <c r="AM127" s="52"/>
      <c r="AN127" s="52"/>
      <c r="AO127" s="52"/>
      <c r="AP127" s="704"/>
      <c r="AQ127" s="704"/>
      <c r="AR127" s="19"/>
      <c r="AS127" s="19"/>
      <c r="AT127" s="19"/>
      <c r="AU127" s="19"/>
      <c r="AV127" s="19"/>
    </row>
    <row r="128" spans="1:48">
      <c r="A128" s="28"/>
      <c r="B128" s="646" t="s">
        <v>92</v>
      </c>
      <c r="C128" s="13" t="s">
        <v>297</v>
      </c>
      <c r="D128" s="647" t="s">
        <v>287</v>
      </c>
      <c r="E128" s="34"/>
      <c r="F128" s="34"/>
      <c r="G128" s="34"/>
      <c r="H128" s="34"/>
      <c r="I128" s="34"/>
      <c r="J128" s="34"/>
      <c r="K128" s="34"/>
      <c r="L128" s="34"/>
      <c r="M128" s="34"/>
      <c r="N128" s="34"/>
      <c r="O128" s="34"/>
      <c r="P128" s="34">
        <v>0.65</v>
      </c>
      <c r="Q128" s="34"/>
      <c r="R128" s="34"/>
      <c r="S128" s="34"/>
      <c r="T128" s="34"/>
      <c r="U128" s="34"/>
      <c r="V128" s="34"/>
      <c r="W128" s="34"/>
      <c r="X128" s="34"/>
      <c r="Y128" s="38">
        <v>0</v>
      </c>
      <c r="Z128" s="39">
        <v>0</v>
      </c>
      <c r="AA128" s="39"/>
      <c r="AB128" s="39"/>
      <c r="AC128" s="39"/>
      <c r="AD128" s="39"/>
      <c r="AE128" s="39"/>
      <c r="AF128" s="39"/>
      <c r="AG128" s="39"/>
      <c r="AH128" s="39"/>
      <c r="AI128" s="39"/>
      <c r="AJ128" s="39"/>
      <c r="AK128" s="359"/>
      <c r="AL128" s="53"/>
      <c r="AM128" s="53"/>
      <c r="AN128" s="53"/>
      <c r="AO128" s="53"/>
      <c r="AP128" s="704"/>
      <c r="AQ128" s="704"/>
      <c r="AR128" s="19"/>
      <c r="AS128" s="19"/>
      <c r="AT128" s="19"/>
      <c r="AU128" s="19"/>
      <c r="AV128" s="19"/>
    </row>
    <row r="129" spans="1:48">
      <c r="A129" s="28"/>
      <c r="B129" s="637" t="s">
        <v>92</v>
      </c>
      <c r="C129" s="14" t="s">
        <v>298</v>
      </c>
      <c r="D129" s="644" t="s">
        <v>250</v>
      </c>
      <c r="E129" s="52"/>
      <c r="F129" s="52"/>
      <c r="G129" s="52"/>
      <c r="H129" s="52"/>
      <c r="I129" s="52"/>
      <c r="J129" s="52"/>
      <c r="K129" s="52"/>
      <c r="L129" s="52"/>
      <c r="M129" s="52"/>
      <c r="N129" s="52"/>
      <c r="O129" s="52"/>
      <c r="P129" s="52"/>
      <c r="Q129" s="52"/>
      <c r="R129" s="52"/>
      <c r="S129" s="52"/>
      <c r="T129" s="52"/>
      <c r="U129" s="52"/>
      <c r="V129" s="52"/>
      <c r="W129" s="52"/>
      <c r="X129" s="52"/>
      <c r="Y129" s="363"/>
      <c r="Z129" s="52"/>
      <c r="AA129" s="52"/>
      <c r="AB129" s="52"/>
      <c r="AC129" s="52"/>
      <c r="AD129" s="52"/>
      <c r="AE129" s="52"/>
      <c r="AF129" s="52"/>
      <c r="AG129" s="52"/>
      <c r="AH129" s="52"/>
      <c r="AI129" s="52"/>
      <c r="AJ129" s="52"/>
      <c r="AK129" s="38"/>
      <c r="AL129" s="39"/>
      <c r="AM129" s="39"/>
      <c r="AN129" s="39"/>
      <c r="AO129" s="39"/>
      <c r="AP129" s="704"/>
      <c r="AQ129" s="704"/>
      <c r="AR129" s="19"/>
      <c r="AS129" s="19"/>
      <c r="AT129" s="19"/>
      <c r="AU129" s="19"/>
      <c r="AV129" s="19"/>
    </row>
    <row r="130" spans="1:48">
      <c r="A130" s="28"/>
      <c r="B130" s="637" t="s">
        <v>92</v>
      </c>
      <c r="C130" s="14" t="s">
        <v>298</v>
      </c>
      <c r="D130" s="645" t="s">
        <v>286</v>
      </c>
      <c r="E130" s="39"/>
      <c r="F130" s="39"/>
      <c r="G130" s="39"/>
      <c r="H130" s="78"/>
      <c r="I130" s="78"/>
      <c r="J130" s="78"/>
      <c r="K130" s="78"/>
      <c r="L130" s="39"/>
      <c r="M130" s="39"/>
      <c r="N130" s="39"/>
      <c r="O130" s="39"/>
      <c r="P130" s="39"/>
      <c r="Q130" s="39"/>
      <c r="R130" s="39"/>
      <c r="S130" s="39"/>
      <c r="T130" s="39"/>
      <c r="U130" s="39"/>
      <c r="V130" s="39"/>
      <c r="W130" s="39"/>
      <c r="X130" s="39"/>
      <c r="Y130" s="38"/>
      <c r="Z130" s="39"/>
      <c r="AA130" s="39"/>
      <c r="AB130" s="39"/>
      <c r="AC130" s="39"/>
      <c r="AD130" s="39"/>
      <c r="AE130" s="39"/>
      <c r="AF130" s="39"/>
      <c r="AG130" s="39"/>
      <c r="AH130" s="39"/>
      <c r="AI130" s="39"/>
      <c r="AJ130" s="39"/>
      <c r="AK130" s="38"/>
      <c r="AL130" s="39"/>
      <c r="AM130" s="39"/>
      <c r="AN130" s="39"/>
      <c r="AO130" s="39"/>
      <c r="AP130" s="704"/>
      <c r="AQ130" s="704"/>
      <c r="AR130" s="19"/>
      <c r="AS130" s="19"/>
      <c r="AT130" s="19"/>
      <c r="AU130" s="19"/>
      <c r="AV130" s="19"/>
    </row>
    <row r="131" spans="1:48">
      <c r="A131" s="28"/>
      <c r="B131" s="646" t="s">
        <v>92</v>
      </c>
      <c r="C131" s="14" t="s">
        <v>298</v>
      </c>
      <c r="D131" s="653" t="s">
        <v>287</v>
      </c>
      <c r="E131" s="53"/>
      <c r="F131" s="53"/>
      <c r="G131" s="53"/>
      <c r="H131" s="53"/>
      <c r="I131" s="94">
        <v>3.9</v>
      </c>
      <c r="J131" s="201">
        <v>4.2</v>
      </c>
      <c r="K131" s="53"/>
      <c r="L131" s="53"/>
      <c r="M131" s="53"/>
      <c r="N131" s="53"/>
      <c r="O131" s="53"/>
      <c r="P131" s="53"/>
      <c r="Q131" s="53"/>
      <c r="R131" s="53"/>
      <c r="S131" s="53"/>
      <c r="T131" s="53"/>
      <c r="U131" s="53"/>
      <c r="V131" s="53"/>
      <c r="W131" s="53"/>
      <c r="X131" s="53"/>
      <c r="Y131" s="359"/>
      <c r="Z131" s="53"/>
      <c r="AA131" s="53"/>
      <c r="AB131" s="53"/>
      <c r="AC131" s="53"/>
      <c r="AD131" s="53"/>
      <c r="AE131" s="53"/>
      <c r="AF131" s="53"/>
      <c r="AG131" s="53"/>
      <c r="AH131" s="53"/>
      <c r="AI131" s="53"/>
      <c r="AJ131" s="53"/>
      <c r="AK131" s="38"/>
      <c r="AL131" s="39"/>
      <c r="AM131" s="39"/>
      <c r="AN131" s="39"/>
      <c r="AO131" s="39"/>
      <c r="AP131" s="704"/>
      <c r="AQ131" s="704"/>
      <c r="AR131" s="19"/>
      <c r="AS131" s="19"/>
      <c r="AT131" s="19"/>
      <c r="AU131" s="19"/>
      <c r="AV131" s="19"/>
    </row>
    <row r="132" spans="1:48">
      <c r="A132" s="28"/>
      <c r="B132" s="646" t="s">
        <v>92</v>
      </c>
      <c r="C132" s="97" t="s">
        <v>299</v>
      </c>
      <c r="D132" s="654" t="s">
        <v>287</v>
      </c>
      <c r="E132" s="39"/>
      <c r="F132" s="39"/>
      <c r="G132" s="39"/>
      <c r="H132" s="39"/>
      <c r="I132" s="39"/>
      <c r="J132" s="39"/>
      <c r="K132" s="39"/>
      <c r="L132" s="39"/>
      <c r="M132" s="39"/>
      <c r="N132" s="39"/>
      <c r="O132" s="39"/>
      <c r="P132" s="39"/>
      <c r="Q132" s="39"/>
      <c r="R132" s="39"/>
      <c r="S132" s="39"/>
      <c r="T132" s="39"/>
      <c r="U132" s="39"/>
      <c r="V132" s="39"/>
      <c r="W132" s="39"/>
      <c r="X132" s="39"/>
      <c r="Y132" s="38"/>
      <c r="Z132" s="39"/>
      <c r="AA132" s="39"/>
      <c r="AB132" s="39"/>
      <c r="AC132" s="39"/>
      <c r="AD132" s="39"/>
      <c r="AE132" s="39"/>
      <c r="AF132" s="39"/>
      <c r="AG132" s="39"/>
      <c r="AH132" s="39"/>
      <c r="AI132" s="39"/>
      <c r="AJ132" s="39"/>
      <c r="AK132" s="360"/>
      <c r="AL132" s="80"/>
      <c r="AM132" s="80"/>
      <c r="AN132" s="80"/>
      <c r="AO132" s="80"/>
      <c r="AP132" s="704"/>
      <c r="AQ132" s="704"/>
      <c r="AR132" s="19"/>
      <c r="AS132" s="19"/>
      <c r="AT132" s="19"/>
      <c r="AU132" s="19"/>
      <c r="AV132" s="19"/>
    </row>
    <row r="133" spans="1:48" ht="15" thickBot="1">
      <c r="A133" s="28"/>
      <c r="B133" s="637" t="s">
        <v>92</v>
      </c>
      <c r="C133" s="12" t="s">
        <v>300</v>
      </c>
      <c r="D133" s="655" t="s">
        <v>287</v>
      </c>
      <c r="E133" s="39"/>
      <c r="F133" s="39"/>
      <c r="G133" s="39"/>
      <c r="H133" s="39"/>
      <c r="I133" s="39"/>
      <c r="J133" s="39"/>
      <c r="K133" s="80"/>
      <c r="L133" s="80"/>
      <c r="M133" s="212"/>
      <c r="N133" s="212"/>
      <c r="O133" s="212"/>
      <c r="P133" s="212"/>
      <c r="Q133" s="277"/>
      <c r="R133" s="277"/>
      <c r="S133" s="277"/>
      <c r="T133" s="277"/>
      <c r="U133" s="277"/>
      <c r="V133" s="277"/>
      <c r="W133" s="277"/>
      <c r="X133" s="277"/>
      <c r="Y133" s="364"/>
      <c r="Z133" s="277"/>
      <c r="AA133" s="277"/>
      <c r="AB133" s="277"/>
      <c r="AC133" s="277"/>
      <c r="AD133" s="277"/>
      <c r="AE133" s="277"/>
      <c r="AF133" s="277"/>
      <c r="AG133" s="277"/>
      <c r="AH133" s="277"/>
      <c r="AI133" s="277"/>
      <c r="AJ133" s="277"/>
      <c r="AK133" s="364"/>
      <c r="AL133" s="277"/>
      <c r="AM133" s="277"/>
      <c r="AN133" s="277"/>
      <c r="AO133" s="277"/>
      <c r="AP133" s="705"/>
      <c r="AQ133" s="705"/>
      <c r="AR133" s="19"/>
      <c r="AS133" s="19"/>
      <c r="AT133" s="19"/>
      <c r="AU133" s="19"/>
      <c r="AV133" s="19"/>
    </row>
    <row r="134" spans="1:48">
      <c r="A134" s="28"/>
      <c r="B134" s="33" t="s">
        <v>228</v>
      </c>
      <c r="C134" s="429" t="s">
        <v>246</v>
      </c>
      <c r="D134" s="312" t="s">
        <v>228</v>
      </c>
      <c r="E134" s="39"/>
      <c r="F134" s="39"/>
      <c r="G134" s="39"/>
      <c r="H134" s="39"/>
      <c r="I134" s="39"/>
      <c r="J134" s="39"/>
      <c r="K134" s="52"/>
      <c r="L134" s="52"/>
      <c r="M134" s="277"/>
      <c r="N134" s="277"/>
      <c r="O134" s="203">
        <f>O60</f>
        <v>0.68</v>
      </c>
      <c r="P134" s="207">
        <v>0.7</v>
      </c>
      <c r="Q134" s="207">
        <v>0</v>
      </c>
      <c r="R134" s="207"/>
      <c r="S134" s="207">
        <v>0</v>
      </c>
      <c r="T134" s="207"/>
      <c r="U134" s="207"/>
      <c r="V134" s="277">
        <v>0</v>
      </c>
      <c r="W134" s="207"/>
      <c r="X134" s="277">
        <v>0.68</v>
      </c>
      <c r="Y134" s="432"/>
      <c r="Z134" s="433"/>
      <c r="AA134" s="433"/>
      <c r="AB134" s="433"/>
      <c r="AC134" s="433"/>
      <c r="AD134" s="433"/>
      <c r="AE134" s="433">
        <v>0</v>
      </c>
      <c r="AF134" s="433">
        <v>1.2</v>
      </c>
      <c r="AG134" s="433">
        <v>1.2</v>
      </c>
      <c r="AH134" s="433">
        <v>1.2</v>
      </c>
      <c r="AI134" s="433">
        <v>1.2</v>
      </c>
      <c r="AJ134" s="37">
        <v>1.2</v>
      </c>
      <c r="AK134" s="444">
        <v>0</v>
      </c>
      <c r="AL134" s="37">
        <v>0</v>
      </c>
      <c r="AM134" s="37">
        <v>0</v>
      </c>
      <c r="AN134" s="37">
        <v>0</v>
      </c>
      <c r="AO134" s="37">
        <v>0</v>
      </c>
      <c r="AP134" s="704"/>
      <c r="AQ134" s="704"/>
      <c r="AR134" s="19"/>
      <c r="AS134" s="19"/>
      <c r="AT134" s="19"/>
      <c r="AU134" s="19"/>
      <c r="AV134" s="19"/>
    </row>
    <row r="135" spans="1:48">
      <c r="A135" s="28"/>
      <c r="B135" s="23" t="s">
        <v>228</v>
      </c>
      <c r="C135" s="11" t="s">
        <v>295</v>
      </c>
      <c r="D135" s="309" t="s">
        <v>228</v>
      </c>
      <c r="E135" s="39"/>
      <c r="F135" s="39"/>
      <c r="G135" s="39"/>
      <c r="H135" s="39"/>
      <c r="I135" s="39"/>
      <c r="J135" s="39"/>
      <c r="K135" s="52"/>
      <c r="L135" s="52"/>
      <c r="M135" s="277"/>
      <c r="N135" s="277"/>
      <c r="O135" s="203"/>
      <c r="P135" s="98"/>
      <c r="Q135" s="98">
        <v>0.6</v>
      </c>
      <c r="R135" s="98">
        <v>0</v>
      </c>
      <c r="S135" s="98">
        <v>0.6</v>
      </c>
      <c r="T135" s="98">
        <v>0.6</v>
      </c>
      <c r="U135" s="94">
        <v>1.2</v>
      </c>
      <c r="V135" s="98"/>
      <c r="W135" s="98">
        <v>0.6</v>
      </c>
      <c r="X135" s="94">
        <f>0.6+0.6</f>
        <v>1.2</v>
      </c>
      <c r="Y135" s="361">
        <v>0</v>
      </c>
      <c r="Z135" s="78">
        <f>1.2+1.2</f>
        <v>2.4</v>
      </c>
      <c r="AA135" s="191">
        <v>1.2</v>
      </c>
      <c r="AB135" s="191">
        <v>1.2</v>
      </c>
      <c r="AC135" s="191">
        <v>1.2</v>
      </c>
      <c r="AD135" s="191">
        <v>1.2</v>
      </c>
      <c r="AE135" s="191"/>
      <c r="AF135" s="191"/>
      <c r="AG135" s="191"/>
      <c r="AH135" s="191"/>
      <c r="AI135" s="191"/>
      <c r="AJ135" s="191"/>
      <c r="AK135" s="361"/>
      <c r="AL135" s="191"/>
      <c r="AM135" s="191"/>
      <c r="AN135" s="191"/>
      <c r="AO135" s="191"/>
      <c r="AP135" s="700"/>
      <c r="AQ135" s="700"/>
      <c r="AR135" s="19"/>
      <c r="AS135" s="19"/>
      <c r="AT135" s="19"/>
      <c r="AU135" s="19"/>
      <c r="AV135" s="19"/>
    </row>
    <row r="136" spans="1:48" ht="15" thickBot="1">
      <c r="B136" s="430" t="s">
        <v>228</v>
      </c>
      <c r="C136" s="431" t="s">
        <v>297</v>
      </c>
      <c r="D136" s="425" t="s">
        <v>228</v>
      </c>
      <c r="Y136" s="434">
        <f>Y60-Y134-Y135</f>
        <v>0</v>
      </c>
      <c r="Z136" s="435">
        <f t="shared" ref="Z136:AA136" si="151">Z60-Z134-Z135</f>
        <v>0</v>
      </c>
      <c r="AA136" s="435">
        <f t="shared" si="151"/>
        <v>0</v>
      </c>
      <c r="AB136" s="435"/>
      <c r="AC136" s="435"/>
      <c r="AD136" s="435"/>
      <c r="AE136" s="435"/>
      <c r="AF136" s="435"/>
      <c r="AG136" s="435"/>
      <c r="AH136" s="435"/>
      <c r="AI136" s="435"/>
      <c r="AJ136" s="435"/>
      <c r="AK136" s="434"/>
      <c r="AL136" s="435"/>
      <c r="AM136" s="435"/>
      <c r="AN136" s="435"/>
      <c r="AO136" s="435"/>
      <c r="AP136" s="700"/>
      <c r="AQ136" s="700"/>
      <c r="AR136" s="19"/>
      <c r="AS136" s="19"/>
      <c r="AT136" s="19"/>
    </row>
    <row r="137" spans="1:48">
      <c r="A137" s="28"/>
      <c r="B137" s="23" t="s">
        <v>33</v>
      </c>
      <c r="C137" s="4" t="s">
        <v>246</v>
      </c>
      <c r="D137" s="644" t="s">
        <v>250</v>
      </c>
      <c r="E137" s="52">
        <v>2.7899999999999983</v>
      </c>
      <c r="F137" s="52">
        <v>0.69</v>
      </c>
      <c r="G137" s="186">
        <f>G61-G138-G139-G140-G141-G142-G143-G145-G146-G147-G148-G149-G150-G151-G152</f>
        <v>1.9996938300000009</v>
      </c>
      <c r="H137" s="95">
        <f>H61-H138-H139-H140-H141-H142-H143-H145-H146-H147-H148-H149-H150-H151-H152</f>
        <v>4.1000000000000005</v>
      </c>
      <c r="I137" s="95">
        <f t="shared" ref="I137:X137" si="152">I61-I138-I139-I140-I141-I142-I143-I145-I146-I147-I148-I149-I150-I151-I152</f>
        <v>5.8</v>
      </c>
      <c r="J137" s="95">
        <f t="shared" si="152"/>
        <v>1.7999999999999989</v>
      </c>
      <c r="K137" s="95">
        <f t="shared" si="152"/>
        <v>1.6500000000000021</v>
      </c>
      <c r="L137" s="95">
        <f t="shared" si="152"/>
        <v>2.7800000000000002</v>
      </c>
      <c r="M137" s="95">
        <f t="shared" si="152"/>
        <v>0</v>
      </c>
      <c r="N137" s="95">
        <f t="shared" si="152"/>
        <v>2.0000000000000036</v>
      </c>
      <c r="O137" s="95">
        <f t="shared" si="152"/>
        <v>0</v>
      </c>
      <c r="P137" s="95">
        <f t="shared" si="152"/>
        <v>-2.2204460492503131E-16</v>
      </c>
      <c r="Q137" s="95">
        <f t="shared" si="152"/>
        <v>0.59999999999999898</v>
      </c>
      <c r="R137" s="95">
        <f t="shared" si="152"/>
        <v>0</v>
      </c>
      <c r="S137" s="95">
        <f t="shared" si="152"/>
        <v>4.4408920985006262E-16</v>
      </c>
      <c r="T137" s="95">
        <f t="shared" si="152"/>
        <v>-5.5511151231257827E-17</v>
      </c>
      <c r="U137" s="95">
        <f t="shared" si="152"/>
        <v>0</v>
      </c>
      <c r="V137" s="95">
        <f t="shared" si="152"/>
        <v>0</v>
      </c>
      <c r="W137" s="95">
        <f t="shared" si="152"/>
        <v>0</v>
      </c>
      <c r="X137" s="95">
        <f t="shared" si="152"/>
        <v>0</v>
      </c>
      <c r="Y137" s="355">
        <f>Y61-Y138-Y139-Y140-Y141-Y142-Y143-Y145-Y146-Y147-Y148-Y149-Y150-Y151-Y152-Y144</f>
        <v>0</v>
      </c>
      <c r="Z137" s="352">
        <f t="shared" ref="Z137:AN137" si="153">Z61-Z138-Z139-Z140-Z141-Z142-Z143-Z145-Z146-Z147-Z148-Z149-Z150-Z151-Z152-Z144</f>
        <v>0</v>
      </c>
      <c r="AA137" s="352">
        <f t="shared" si="153"/>
        <v>0</v>
      </c>
      <c r="AB137" s="352">
        <f t="shared" si="153"/>
        <v>0</v>
      </c>
      <c r="AC137" s="352">
        <f t="shared" si="153"/>
        <v>0</v>
      </c>
      <c r="AD137" s="352">
        <f t="shared" si="153"/>
        <v>0</v>
      </c>
      <c r="AE137" s="352">
        <f t="shared" si="153"/>
        <v>0</v>
      </c>
      <c r="AF137" s="352">
        <f t="shared" si="153"/>
        <v>0</v>
      </c>
      <c r="AG137" s="352">
        <f t="shared" si="153"/>
        <v>0</v>
      </c>
      <c r="AH137" s="352">
        <f t="shared" si="153"/>
        <v>0</v>
      </c>
      <c r="AI137" s="352">
        <f t="shared" si="153"/>
        <v>0</v>
      </c>
      <c r="AJ137" s="352">
        <f t="shared" si="153"/>
        <v>0</v>
      </c>
      <c r="AK137" s="352">
        <f t="shared" si="153"/>
        <v>0</v>
      </c>
      <c r="AL137" s="352">
        <f t="shared" si="153"/>
        <v>0</v>
      </c>
      <c r="AM137" s="352">
        <f t="shared" si="153"/>
        <v>0</v>
      </c>
      <c r="AN137" s="352">
        <f t="shared" si="153"/>
        <v>0</v>
      </c>
      <c r="AO137" s="352">
        <f>AO61-AO138-AO139-AO140-AO141-AO142-AO143-AO145-AO146-AO147-AO148-AO149-AO150-AO151-AO152-AO144</f>
        <v>0</v>
      </c>
      <c r="AP137" s="703"/>
      <c r="AQ137" s="703"/>
      <c r="AR137" s="538" t="s">
        <v>410</v>
      </c>
      <c r="AS137" s="19"/>
      <c r="AT137" s="19"/>
      <c r="AU137" s="19"/>
      <c r="AV137" s="19"/>
    </row>
    <row r="138" spans="1:48">
      <c r="A138" s="28"/>
      <c r="B138" s="23" t="s">
        <v>33</v>
      </c>
      <c r="C138" s="4" t="s">
        <v>246</v>
      </c>
      <c r="D138" s="653" t="s">
        <v>287</v>
      </c>
      <c r="E138" s="39">
        <v>7.9961773800000016</v>
      </c>
      <c r="F138" s="39">
        <v>11.397207600000003</v>
      </c>
      <c r="G138" s="39">
        <v>12.68643397</v>
      </c>
      <c r="H138" s="78">
        <v>12</v>
      </c>
      <c r="I138" s="78">
        <v>12.8</v>
      </c>
      <c r="J138" s="78">
        <v>12</v>
      </c>
      <c r="K138" s="209">
        <v>12.499999999999998</v>
      </c>
      <c r="L138" s="209">
        <v>13</v>
      </c>
      <c r="M138" s="191">
        <v>5.59</v>
      </c>
      <c r="N138" s="191">
        <v>1.7200000000000002</v>
      </c>
      <c r="O138" s="191"/>
      <c r="P138" s="191">
        <v>0</v>
      </c>
      <c r="Q138" s="191">
        <v>2.35</v>
      </c>
      <c r="R138" s="191"/>
      <c r="S138" s="78">
        <f>6.6-4</f>
        <v>2.5999999999999996</v>
      </c>
      <c r="T138" s="191">
        <v>0.9</v>
      </c>
      <c r="U138" s="191"/>
      <c r="V138" s="191"/>
      <c r="W138" s="191"/>
      <c r="X138" s="191">
        <v>0.6</v>
      </c>
      <c r="Y138" s="388">
        <v>10.93</v>
      </c>
      <c r="Z138" s="78">
        <v>15</v>
      </c>
      <c r="AA138" s="191"/>
      <c r="AB138" s="191">
        <v>2</v>
      </c>
      <c r="AC138" s="191"/>
      <c r="AD138" s="191"/>
      <c r="AE138" s="191"/>
      <c r="AF138" s="191"/>
      <c r="AG138" s="191"/>
      <c r="AH138" s="191"/>
      <c r="AI138" s="191"/>
      <c r="AJ138" s="191"/>
      <c r="AK138" s="361"/>
      <c r="AL138" s="191"/>
      <c r="AM138" s="191"/>
      <c r="AN138" s="191"/>
      <c r="AO138" s="191"/>
      <c r="AP138" s="700"/>
      <c r="AQ138" s="700"/>
      <c r="AR138" s="19"/>
      <c r="AS138" s="19"/>
      <c r="AT138" s="19"/>
      <c r="AU138" s="19"/>
      <c r="AV138" s="19"/>
    </row>
    <row r="139" spans="1:48">
      <c r="A139" s="28"/>
      <c r="B139" s="82" t="s">
        <v>33</v>
      </c>
      <c r="C139" s="5" t="s">
        <v>246</v>
      </c>
      <c r="D139" s="647" t="s">
        <v>288</v>
      </c>
      <c r="E139" s="53">
        <v>1.3822620000000001E-2</v>
      </c>
      <c r="F139" s="53">
        <v>1.388581E-2</v>
      </c>
      <c r="G139" s="53">
        <v>1.3872200000000001E-2</v>
      </c>
      <c r="H139" s="53">
        <v>0.2</v>
      </c>
      <c r="I139" s="53">
        <v>0.2</v>
      </c>
      <c r="J139" s="53">
        <v>0</v>
      </c>
      <c r="K139" s="98">
        <v>0.85</v>
      </c>
      <c r="L139" s="98">
        <v>0.42</v>
      </c>
      <c r="M139" s="98">
        <v>0</v>
      </c>
      <c r="N139" s="98">
        <v>0</v>
      </c>
      <c r="O139" s="98">
        <v>0</v>
      </c>
      <c r="P139" s="98">
        <v>0</v>
      </c>
      <c r="Q139" s="98"/>
      <c r="R139" s="98"/>
      <c r="S139" s="98"/>
      <c r="T139" s="98">
        <v>0.3</v>
      </c>
      <c r="U139" s="98"/>
      <c r="V139" s="98"/>
      <c r="W139" s="53"/>
      <c r="X139" s="53"/>
      <c r="Y139" s="359"/>
      <c r="Z139" s="53"/>
      <c r="AA139" s="53"/>
      <c r="AB139" s="53"/>
      <c r="AC139" s="53"/>
      <c r="AD139" s="53"/>
      <c r="AE139" s="53"/>
      <c r="AF139" s="53"/>
      <c r="AG139" s="53"/>
      <c r="AH139" s="53"/>
      <c r="AI139" s="53"/>
      <c r="AJ139" s="53"/>
      <c r="AK139" s="359"/>
      <c r="AL139" s="53"/>
      <c r="AM139" s="53"/>
      <c r="AN139" s="53"/>
      <c r="AO139" s="53"/>
      <c r="AP139" s="704"/>
      <c r="AQ139" s="704"/>
      <c r="AR139" s="19"/>
      <c r="AS139" s="19"/>
      <c r="AT139" s="19"/>
      <c r="AU139" s="19"/>
      <c r="AV139" s="19"/>
    </row>
    <row r="140" spans="1:48">
      <c r="A140" s="28"/>
      <c r="B140" s="23" t="s">
        <v>33</v>
      </c>
      <c r="C140" s="15" t="s">
        <v>289</v>
      </c>
      <c r="D140" s="644" t="s">
        <v>250</v>
      </c>
      <c r="E140" s="34"/>
      <c r="F140" s="34"/>
      <c r="G140" s="34"/>
      <c r="H140" s="34"/>
      <c r="I140" s="34"/>
      <c r="J140" s="34"/>
      <c r="K140" s="34"/>
      <c r="L140" s="34"/>
      <c r="M140" s="34"/>
      <c r="N140" s="34"/>
      <c r="O140" s="34"/>
      <c r="P140" s="34"/>
      <c r="Q140" s="34"/>
      <c r="R140" s="34"/>
      <c r="S140" s="34"/>
      <c r="T140" s="34"/>
      <c r="U140" s="34"/>
      <c r="V140" s="34"/>
      <c r="W140" s="34"/>
      <c r="X140" s="34"/>
      <c r="Y140" s="38"/>
      <c r="Z140" s="39"/>
      <c r="AA140" s="39"/>
      <c r="AB140" s="39"/>
      <c r="AC140" s="39"/>
      <c r="AD140" s="39"/>
      <c r="AE140" s="39"/>
      <c r="AF140" s="39"/>
      <c r="AG140" s="39"/>
      <c r="AH140" s="39"/>
      <c r="AI140" s="39"/>
      <c r="AJ140" s="39"/>
      <c r="AK140" s="363"/>
      <c r="AL140" s="52"/>
      <c r="AM140" s="52"/>
      <c r="AN140" s="52"/>
      <c r="AO140" s="52"/>
      <c r="AP140" s="704"/>
      <c r="AQ140" s="704"/>
      <c r="AR140" s="19"/>
      <c r="AS140" s="19"/>
      <c r="AT140" s="19"/>
      <c r="AU140" s="19"/>
      <c r="AV140" s="19"/>
    </row>
    <row r="141" spans="1:48">
      <c r="A141" s="28"/>
      <c r="B141" s="23" t="s">
        <v>33</v>
      </c>
      <c r="C141" s="15" t="s">
        <v>289</v>
      </c>
      <c r="D141" s="653" t="s">
        <v>287</v>
      </c>
      <c r="E141" s="34"/>
      <c r="F141" s="34"/>
      <c r="G141" s="34"/>
      <c r="H141" s="34"/>
      <c r="I141" s="34"/>
      <c r="J141" s="34"/>
      <c r="K141" s="34"/>
      <c r="L141" s="34"/>
      <c r="M141" s="34"/>
      <c r="N141" s="34"/>
      <c r="O141" s="34"/>
      <c r="P141" s="34"/>
      <c r="Q141" s="34"/>
      <c r="R141" s="34"/>
      <c r="S141" s="34"/>
      <c r="T141" s="34"/>
      <c r="U141" s="34"/>
      <c r="V141" s="34"/>
      <c r="W141" s="34"/>
      <c r="X141" s="34"/>
      <c r="Y141" s="38"/>
      <c r="Z141" s="39"/>
      <c r="AA141" s="39"/>
      <c r="AB141" s="39"/>
      <c r="AC141" s="39"/>
      <c r="AD141" s="39"/>
      <c r="AE141" s="39"/>
      <c r="AF141" s="39"/>
      <c r="AG141" s="39"/>
      <c r="AH141" s="39"/>
      <c r="AI141" s="39"/>
      <c r="AJ141" s="39"/>
      <c r="AK141" s="359"/>
      <c r="AL141" s="53"/>
      <c r="AM141" s="53"/>
      <c r="AN141" s="53"/>
      <c r="AO141" s="53"/>
      <c r="AP141" s="704"/>
      <c r="AQ141" s="704"/>
      <c r="AR141" s="19"/>
      <c r="AS141" s="19"/>
      <c r="AT141" s="19"/>
      <c r="AU141" s="19"/>
      <c r="AV141" s="19"/>
    </row>
    <row r="142" spans="1:48">
      <c r="A142" s="28"/>
      <c r="B142" s="81" t="s">
        <v>33</v>
      </c>
      <c r="C142" s="9" t="s">
        <v>292</v>
      </c>
      <c r="D142" s="650" t="s">
        <v>250</v>
      </c>
      <c r="E142" s="52"/>
      <c r="F142" s="52"/>
      <c r="G142" s="52"/>
      <c r="H142" s="52"/>
      <c r="I142" s="52"/>
      <c r="J142" s="52"/>
      <c r="K142" s="52"/>
      <c r="L142" s="52"/>
      <c r="M142" s="52"/>
      <c r="N142" s="52"/>
      <c r="O142" s="52"/>
      <c r="P142" s="52"/>
      <c r="Q142" s="52"/>
      <c r="R142" s="52"/>
      <c r="S142" s="52"/>
      <c r="T142" s="52"/>
      <c r="U142" s="52"/>
      <c r="V142" s="52"/>
      <c r="W142" s="52"/>
      <c r="X142" s="412"/>
      <c r="Y142" s="363"/>
      <c r="Z142" s="52"/>
      <c r="AA142" s="52"/>
      <c r="AB142" s="52"/>
      <c r="AC142" s="52"/>
      <c r="AD142" s="52"/>
      <c r="AE142" s="52"/>
      <c r="AF142" s="52"/>
      <c r="AG142" s="52"/>
      <c r="AH142" s="52"/>
      <c r="AI142" s="52"/>
      <c r="AJ142" s="52"/>
      <c r="AK142" s="363"/>
      <c r="AL142" s="52"/>
      <c r="AM142" s="52"/>
      <c r="AN142" s="52"/>
      <c r="AO142" s="52"/>
      <c r="AP142" s="704"/>
      <c r="AQ142" s="704"/>
      <c r="AR142" s="19"/>
      <c r="AS142" s="19"/>
      <c r="AT142" s="19"/>
      <c r="AU142" s="19"/>
      <c r="AV142" s="19"/>
    </row>
    <row r="143" spans="1:48">
      <c r="A143" s="28"/>
      <c r="B143" s="23" t="s">
        <v>33</v>
      </c>
      <c r="C143" s="282" t="s">
        <v>292</v>
      </c>
      <c r="D143" s="653" t="s">
        <v>287</v>
      </c>
      <c r="E143" s="53">
        <v>1.2</v>
      </c>
      <c r="F143" s="53">
        <v>1.2</v>
      </c>
      <c r="G143" s="98">
        <v>0.6</v>
      </c>
      <c r="H143" s="98">
        <v>1.8</v>
      </c>
      <c r="I143" s="195">
        <v>2.4</v>
      </c>
      <c r="J143" s="98">
        <v>1.8</v>
      </c>
      <c r="K143" s="98">
        <v>2.4</v>
      </c>
      <c r="L143" s="98">
        <v>2.4</v>
      </c>
      <c r="M143" s="98">
        <v>4.33</v>
      </c>
      <c r="N143" s="98">
        <v>4.2</v>
      </c>
      <c r="O143" s="94">
        <v>3</v>
      </c>
      <c r="P143" s="94">
        <v>1.8</v>
      </c>
      <c r="Q143" s="98">
        <v>1.8</v>
      </c>
      <c r="R143" s="98"/>
      <c r="S143" s="98">
        <v>1.4</v>
      </c>
      <c r="T143" s="98"/>
      <c r="U143" s="98"/>
      <c r="V143" s="98"/>
      <c r="W143" s="98"/>
      <c r="X143" s="413"/>
      <c r="Y143" s="361">
        <v>3.6</v>
      </c>
      <c r="Z143" s="191"/>
      <c r="AA143" s="191"/>
      <c r="AB143" s="191"/>
      <c r="AC143" s="191"/>
      <c r="AD143" s="191"/>
      <c r="AE143" s="191"/>
      <c r="AF143" s="191"/>
      <c r="AG143" s="191"/>
      <c r="AH143" s="191"/>
      <c r="AI143" s="191"/>
      <c r="AJ143" s="191"/>
      <c r="AK143" s="361"/>
      <c r="AL143" s="191"/>
      <c r="AM143" s="191"/>
      <c r="AN143" s="191"/>
      <c r="AO143" s="191"/>
      <c r="AP143" s="700"/>
      <c r="AQ143" s="700"/>
      <c r="AR143" s="19"/>
      <c r="AS143" s="19"/>
      <c r="AT143" s="19"/>
      <c r="AU143" s="19"/>
      <c r="AV143" s="19"/>
    </row>
    <row r="144" spans="1:48">
      <c r="A144" s="28"/>
      <c r="B144" s="82" t="s">
        <v>33</v>
      </c>
      <c r="C144" s="10" t="s">
        <v>292</v>
      </c>
      <c r="D144" s="647" t="s">
        <v>288</v>
      </c>
      <c r="E144" s="39"/>
      <c r="F144" s="39"/>
      <c r="G144" s="191"/>
      <c r="H144" s="191"/>
      <c r="I144" s="209"/>
      <c r="J144" s="191"/>
      <c r="K144" s="191"/>
      <c r="L144" s="191"/>
      <c r="M144" s="191"/>
      <c r="N144" s="191"/>
      <c r="O144" s="78"/>
      <c r="P144" s="78"/>
      <c r="Q144" s="191"/>
      <c r="R144" s="191"/>
      <c r="S144" s="191"/>
      <c r="T144" s="191"/>
      <c r="U144" s="191"/>
      <c r="V144" s="191"/>
      <c r="W144" s="191"/>
      <c r="X144" s="414"/>
      <c r="Y144" s="362">
        <v>0.8</v>
      </c>
      <c r="Z144" s="98"/>
      <c r="AA144" s="98"/>
      <c r="AB144" s="98"/>
      <c r="AC144" s="98"/>
      <c r="AD144" s="98"/>
      <c r="AE144" s="98"/>
      <c r="AF144" s="98"/>
      <c r="AG144" s="98"/>
      <c r="AH144" s="98"/>
      <c r="AI144" s="98"/>
      <c r="AJ144" s="98"/>
      <c r="AK144" s="362"/>
      <c r="AL144" s="98"/>
      <c r="AM144" s="98"/>
      <c r="AN144" s="98"/>
      <c r="AO144" s="98"/>
      <c r="AP144" s="700"/>
      <c r="AQ144" s="700"/>
      <c r="AR144" s="19"/>
      <c r="AS144" s="19"/>
      <c r="AT144" s="19"/>
      <c r="AU144" s="19"/>
      <c r="AV144" s="19"/>
    </row>
    <row r="145" spans="1:48">
      <c r="A145" s="28"/>
      <c r="B145" s="23" t="s">
        <v>33</v>
      </c>
      <c r="C145" s="11" t="s">
        <v>295</v>
      </c>
      <c r="D145" s="644" t="s">
        <v>250</v>
      </c>
      <c r="E145" s="34">
        <v>0</v>
      </c>
      <c r="F145" s="34">
        <v>0.7</v>
      </c>
      <c r="G145" s="34">
        <v>0.7</v>
      </c>
      <c r="H145" s="34">
        <v>0.7</v>
      </c>
      <c r="I145" s="34">
        <v>0</v>
      </c>
      <c r="J145" s="34">
        <v>0</v>
      </c>
      <c r="K145" s="34">
        <v>0</v>
      </c>
      <c r="L145" s="34">
        <v>0.7</v>
      </c>
      <c r="M145" s="34">
        <v>0</v>
      </c>
      <c r="N145" s="34">
        <v>0</v>
      </c>
      <c r="O145" s="96">
        <v>0</v>
      </c>
      <c r="P145" s="34">
        <v>0</v>
      </c>
      <c r="Q145" s="34">
        <v>0</v>
      </c>
      <c r="R145" s="34">
        <v>0</v>
      </c>
      <c r="S145" s="34"/>
      <c r="T145" s="34"/>
      <c r="U145" s="34"/>
      <c r="V145" s="34"/>
      <c r="W145" s="34"/>
      <c r="X145" s="34">
        <v>0</v>
      </c>
      <c r="Y145" s="38"/>
      <c r="Z145" s="39"/>
      <c r="AA145" s="39"/>
      <c r="AB145" s="39"/>
      <c r="AC145" s="39"/>
      <c r="AD145" s="39"/>
      <c r="AE145" s="39"/>
      <c r="AF145" s="39"/>
      <c r="AG145" s="39"/>
      <c r="AH145" s="39"/>
      <c r="AI145" s="39"/>
      <c r="AJ145" s="39"/>
      <c r="AK145" s="363"/>
      <c r="AL145" s="52"/>
      <c r="AM145" s="52"/>
      <c r="AN145" s="52"/>
      <c r="AO145" s="52"/>
      <c r="AP145" s="704"/>
      <c r="AQ145" s="704"/>
      <c r="AR145" s="19"/>
      <c r="AS145" s="19"/>
      <c r="AT145" s="19"/>
      <c r="AU145" s="19"/>
      <c r="AV145" s="19"/>
    </row>
    <row r="146" spans="1:48">
      <c r="A146" s="28"/>
      <c r="B146" s="23" t="s">
        <v>33</v>
      </c>
      <c r="C146" s="11" t="s">
        <v>295</v>
      </c>
      <c r="D146" s="653" t="s">
        <v>287</v>
      </c>
      <c r="E146" s="34">
        <v>5</v>
      </c>
      <c r="F146" s="34">
        <v>5</v>
      </c>
      <c r="G146" s="34">
        <v>5</v>
      </c>
      <c r="H146" s="34">
        <v>6.2</v>
      </c>
      <c r="I146" s="34">
        <v>3.8</v>
      </c>
      <c r="J146" s="206">
        <v>6.4</v>
      </c>
      <c r="K146" s="206">
        <v>5.6</v>
      </c>
      <c r="L146" s="206">
        <v>5.7</v>
      </c>
      <c r="M146" s="34">
        <v>10.08</v>
      </c>
      <c r="N146" s="34">
        <v>10.079999999999998</v>
      </c>
      <c r="O146" s="96">
        <v>4</v>
      </c>
      <c r="P146" s="34">
        <v>0.20000000000000018</v>
      </c>
      <c r="Q146" s="34">
        <v>1.2500000000000009</v>
      </c>
      <c r="R146" s="34"/>
      <c r="S146" s="34"/>
      <c r="T146" s="34"/>
      <c r="U146" s="34"/>
      <c r="V146" s="34"/>
      <c r="W146" s="96">
        <v>13</v>
      </c>
      <c r="X146" s="96">
        <f>11+3-3</f>
        <v>11</v>
      </c>
      <c r="Y146" s="388">
        <v>3.67</v>
      </c>
      <c r="Z146" s="39"/>
      <c r="AA146" s="39"/>
      <c r="AB146" s="39"/>
      <c r="AC146" s="39"/>
      <c r="AD146" s="39"/>
      <c r="AE146" s="39"/>
      <c r="AF146" s="39"/>
      <c r="AG146" s="39"/>
      <c r="AH146" s="39"/>
      <c r="AI146" s="39"/>
      <c r="AJ146" s="39"/>
      <c r="AK146" s="359"/>
      <c r="AL146" s="53"/>
      <c r="AM146" s="53"/>
      <c r="AN146" s="53"/>
      <c r="AO146" s="53"/>
      <c r="AP146" s="704"/>
      <c r="AQ146" s="704"/>
      <c r="AR146" s="19"/>
      <c r="AS146" s="19"/>
      <c r="AT146" s="19"/>
      <c r="AU146" s="19"/>
      <c r="AV146" s="19"/>
    </row>
    <row r="147" spans="1:48">
      <c r="A147" s="28"/>
      <c r="B147" s="81" t="s">
        <v>33</v>
      </c>
      <c r="C147" s="12" t="s">
        <v>228</v>
      </c>
      <c r="D147" s="650" t="s">
        <v>250</v>
      </c>
      <c r="E147" s="52"/>
      <c r="F147" s="52"/>
      <c r="G147" s="52"/>
      <c r="H147" s="52"/>
      <c r="I147" s="52"/>
      <c r="J147" s="52"/>
      <c r="K147" s="52"/>
      <c r="L147" s="52"/>
      <c r="M147" s="52"/>
      <c r="N147" s="52"/>
      <c r="O147" s="52"/>
      <c r="P147" s="52"/>
      <c r="Q147" s="52"/>
      <c r="R147" s="52"/>
      <c r="S147" s="52"/>
      <c r="T147" s="52"/>
      <c r="U147" s="52"/>
      <c r="V147" s="52"/>
      <c r="W147" s="52"/>
      <c r="X147" s="52"/>
      <c r="Y147" s="363"/>
      <c r="Z147" s="52"/>
      <c r="AA147" s="52"/>
      <c r="AB147" s="52"/>
      <c r="AC147" s="52"/>
      <c r="AD147" s="52"/>
      <c r="AE147" s="52"/>
      <c r="AF147" s="52"/>
      <c r="AG147" s="52"/>
      <c r="AH147" s="52"/>
      <c r="AI147" s="52"/>
      <c r="AJ147" s="52"/>
      <c r="AK147" s="363"/>
      <c r="AL147" s="52"/>
      <c r="AM147" s="52"/>
      <c r="AN147" s="52"/>
      <c r="AO147" s="52"/>
      <c r="AP147" s="704"/>
      <c r="AQ147" s="704"/>
      <c r="AR147" s="19"/>
      <c r="AS147" s="19"/>
      <c r="AT147" s="19"/>
      <c r="AU147" s="19"/>
      <c r="AV147" s="19"/>
    </row>
    <row r="148" spans="1:48">
      <c r="A148" s="28"/>
      <c r="B148" s="82" t="s">
        <v>33</v>
      </c>
      <c r="C148" s="13" t="s">
        <v>228</v>
      </c>
      <c r="D148" s="647" t="s">
        <v>287</v>
      </c>
      <c r="E148" s="53"/>
      <c r="F148" s="53"/>
      <c r="G148" s="53"/>
      <c r="H148" s="53"/>
      <c r="I148" s="53"/>
      <c r="J148" s="53"/>
      <c r="K148" s="53"/>
      <c r="L148" s="53"/>
      <c r="M148" s="53"/>
      <c r="N148" s="53"/>
      <c r="O148" s="53"/>
      <c r="P148" s="53"/>
      <c r="Q148" s="53"/>
      <c r="R148" s="53"/>
      <c r="S148" s="53"/>
      <c r="T148" s="53"/>
      <c r="U148" s="53"/>
      <c r="V148" s="53"/>
      <c r="W148" s="53"/>
      <c r="X148" s="53"/>
      <c r="Y148" s="359"/>
      <c r="Z148" s="53"/>
      <c r="AA148" s="53"/>
      <c r="AB148" s="53"/>
      <c r="AC148" s="53"/>
      <c r="AD148" s="53"/>
      <c r="AE148" s="53"/>
      <c r="AF148" s="53"/>
      <c r="AG148" s="53"/>
      <c r="AH148" s="53"/>
      <c r="AI148" s="53"/>
      <c r="AJ148" s="53"/>
      <c r="AK148" s="359"/>
      <c r="AL148" s="53"/>
      <c r="AM148" s="53"/>
      <c r="AN148" s="53"/>
      <c r="AO148" s="53"/>
      <c r="AP148" s="704"/>
      <c r="AQ148" s="704"/>
      <c r="AR148" s="19"/>
      <c r="AS148" s="19"/>
      <c r="AT148" s="19"/>
      <c r="AU148" s="19"/>
      <c r="AV148" s="19"/>
    </row>
    <row r="149" spans="1:48">
      <c r="A149" s="28"/>
      <c r="B149" s="81" t="s">
        <v>33</v>
      </c>
      <c r="C149" s="12" t="s">
        <v>297</v>
      </c>
      <c r="D149" s="650" t="s">
        <v>250</v>
      </c>
      <c r="E149" s="34"/>
      <c r="F149" s="34"/>
      <c r="G149" s="34"/>
      <c r="H149" s="34"/>
      <c r="I149" s="34"/>
      <c r="J149" s="34"/>
      <c r="K149" s="34"/>
      <c r="L149" s="34"/>
      <c r="M149" s="34"/>
      <c r="N149" s="34"/>
      <c r="O149" s="34"/>
      <c r="P149" s="34"/>
      <c r="Q149" s="34"/>
      <c r="R149" s="34"/>
      <c r="S149" s="34"/>
      <c r="T149" s="34"/>
      <c r="U149" s="34"/>
      <c r="V149" s="34"/>
      <c r="W149" s="34"/>
      <c r="X149" s="34"/>
      <c r="Y149" s="38"/>
      <c r="Z149" s="39"/>
      <c r="AA149" s="39"/>
      <c r="AB149" s="39"/>
      <c r="AC149" s="39"/>
      <c r="AD149" s="39"/>
      <c r="AE149" s="39"/>
      <c r="AF149" s="39"/>
      <c r="AG149" s="39"/>
      <c r="AH149" s="39"/>
      <c r="AI149" s="39"/>
      <c r="AJ149" s="39"/>
      <c r="AK149" s="363"/>
      <c r="AL149" s="52"/>
      <c r="AM149" s="52"/>
      <c r="AN149" s="52"/>
      <c r="AO149" s="52"/>
      <c r="AP149" s="704"/>
      <c r="AQ149" s="704"/>
      <c r="AR149" s="19"/>
      <c r="AS149" s="19"/>
      <c r="AT149" s="19"/>
      <c r="AU149" s="19"/>
      <c r="AV149" s="19"/>
    </row>
    <row r="150" spans="1:48">
      <c r="A150" s="28"/>
      <c r="B150" s="82" t="s">
        <v>33</v>
      </c>
      <c r="C150" s="13" t="s">
        <v>297</v>
      </c>
      <c r="D150" s="647" t="s">
        <v>287</v>
      </c>
      <c r="E150" s="34"/>
      <c r="F150" s="34"/>
      <c r="G150" s="34"/>
      <c r="H150" s="34"/>
      <c r="I150" s="34"/>
      <c r="J150" s="34"/>
      <c r="K150" s="34"/>
      <c r="L150" s="34"/>
      <c r="M150" s="34"/>
      <c r="N150" s="34"/>
      <c r="O150" s="34"/>
      <c r="P150" s="34"/>
      <c r="Q150" s="34"/>
      <c r="R150" s="34"/>
      <c r="S150" s="34"/>
      <c r="T150" s="34"/>
      <c r="U150" s="34"/>
      <c r="V150" s="34"/>
      <c r="W150" s="34"/>
      <c r="X150" s="34"/>
      <c r="Y150" s="38"/>
      <c r="Z150" s="39"/>
      <c r="AA150" s="39"/>
      <c r="AB150" s="39"/>
      <c r="AC150" s="39"/>
      <c r="AD150" s="39"/>
      <c r="AE150" s="39"/>
      <c r="AF150" s="39"/>
      <c r="AG150" s="39"/>
      <c r="AH150" s="39"/>
      <c r="AI150" s="39"/>
      <c r="AJ150" s="39"/>
      <c r="AK150" s="359"/>
      <c r="AL150" s="53"/>
      <c r="AM150" s="53"/>
      <c r="AN150" s="53"/>
      <c r="AO150" s="53"/>
      <c r="AP150" s="704"/>
      <c r="AQ150" s="704"/>
      <c r="AR150" s="19"/>
      <c r="AS150" s="19"/>
      <c r="AT150" s="19"/>
      <c r="AU150" s="19"/>
      <c r="AV150" s="19"/>
    </row>
    <row r="151" spans="1:48">
      <c r="A151" s="28"/>
      <c r="B151" s="81" t="s">
        <v>33</v>
      </c>
      <c r="C151" s="14" t="s">
        <v>298</v>
      </c>
      <c r="D151" s="650" t="s">
        <v>250</v>
      </c>
      <c r="E151" s="52"/>
      <c r="F151" s="52"/>
      <c r="G151" s="52"/>
      <c r="H151" s="52"/>
      <c r="I151" s="52"/>
      <c r="J151" s="52"/>
      <c r="K151" s="52"/>
      <c r="L151" s="52"/>
      <c r="M151" s="52"/>
      <c r="N151" s="52"/>
      <c r="O151" s="52"/>
      <c r="P151" s="52"/>
      <c r="Q151" s="52"/>
      <c r="R151" s="52"/>
      <c r="S151" s="52"/>
      <c r="T151" s="52"/>
      <c r="U151" s="52"/>
      <c r="V151" s="52"/>
      <c r="W151" s="52"/>
      <c r="X151" s="52"/>
      <c r="Y151" s="363"/>
      <c r="Z151" s="52"/>
      <c r="AA151" s="52"/>
      <c r="AB151" s="52"/>
      <c r="AC151" s="52"/>
      <c r="AD151" s="52"/>
      <c r="AE151" s="52"/>
      <c r="AF151" s="52"/>
      <c r="AG151" s="52"/>
      <c r="AH151" s="52"/>
      <c r="AI151" s="52"/>
      <c r="AJ151" s="52"/>
      <c r="AK151" s="363"/>
      <c r="AL151" s="52"/>
      <c r="AM151" s="52"/>
      <c r="AN151" s="52"/>
      <c r="AO151" s="52"/>
      <c r="AP151" s="704"/>
      <c r="AQ151" s="704"/>
      <c r="AR151" s="19"/>
      <c r="AS151" s="19"/>
      <c r="AT151" s="19"/>
      <c r="AU151" s="19"/>
      <c r="AV151" s="19"/>
    </row>
    <row r="152" spans="1:48">
      <c r="A152" s="28"/>
      <c r="B152" s="82" t="s">
        <v>33</v>
      </c>
      <c r="C152" s="14" t="s">
        <v>298</v>
      </c>
      <c r="D152" s="647" t="s">
        <v>287</v>
      </c>
      <c r="E152" s="53"/>
      <c r="F152" s="53"/>
      <c r="G152" s="53"/>
      <c r="H152" s="53"/>
      <c r="I152" s="53"/>
      <c r="J152" s="53"/>
      <c r="K152" s="53"/>
      <c r="L152" s="53"/>
      <c r="M152" s="53"/>
      <c r="N152" s="53"/>
      <c r="O152" s="53"/>
      <c r="P152" s="53"/>
      <c r="Q152" s="53"/>
      <c r="R152" s="53"/>
      <c r="S152" s="53"/>
      <c r="T152" s="53"/>
      <c r="U152" s="53"/>
      <c r="V152" s="53"/>
      <c r="W152" s="53"/>
      <c r="X152" s="53"/>
      <c r="Y152" s="359"/>
      <c r="Z152" s="53"/>
      <c r="AA152" s="53"/>
      <c r="AB152" s="53"/>
      <c r="AC152" s="53"/>
      <c r="AD152" s="53"/>
      <c r="AE152" s="53"/>
      <c r="AF152" s="53"/>
      <c r="AG152" s="53"/>
      <c r="AH152" s="53"/>
      <c r="AI152" s="53"/>
      <c r="AJ152" s="53"/>
      <c r="AK152" s="359"/>
      <c r="AL152" s="53"/>
      <c r="AM152" s="53"/>
      <c r="AN152" s="53"/>
      <c r="AO152" s="53"/>
      <c r="AP152" s="704"/>
      <c r="AQ152" s="704"/>
      <c r="AR152" s="19"/>
      <c r="AS152" s="19"/>
      <c r="AT152" s="19"/>
      <c r="AU152" s="19"/>
      <c r="AV152" s="19"/>
    </row>
    <row r="153" spans="1:48">
      <c r="A153" s="28"/>
      <c r="B153" s="284" t="s">
        <v>33</v>
      </c>
      <c r="C153" s="97" t="s">
        <v>300</v>
      </c>
      <c r="D153" s="654" t="s">
        <v>287</v>
      </c>
      <c r="E153" s="39"/>
      <c r="F153" s="39"/>
      <c r="G153" s="39"/>
      <c r="H153" s="39"/>
      <c r="I153" s="39"/>
      <c r="J153" s="39"/>
      <c r="K153" s="80"/>
      <c r="L153" s="80"/>
      <c r="M153" s="80"/>
      <c r="N153" s="80"/>
      <c r="O153" s="80"/>
      <c r="P153" s="80"/>
      <c r="Q153" s="80"/>
      <c r="R153" s="80"/>
      <c r="S153" s="80"/>
      <c r="T153" s="80"/>
      <c r="U153" s="80"/>
      <c r="V153" s="80"/>
      <c r="W153" s="80"/>
      <c r="X153" s="80"/>
      <c r="Y153" s="360"/>
      <c r="Z153" s="80"/>
      <c r="AA153" s="80"/>
      <c r="AB153" s="80"/>
      <c r="AC153" s="80"/>
      <c r="AD153" s="80"/>
      <c r="AE153" s="80"/>
      <c r="AF153" s="80"/>
      <c r="AG153" s="80"/>
      <c r="AH153" s="80"/>
      <c r="AI153" s="80"/>
      <c r="AJ153" s="80"/>
      <c r="AK153" s="360"/>
      <c r="AL153" s="80"/>
      <c r="AM153" s="80"/>
      <c r="AN153" s="80"/>
      <c r="AO153" s="80"/>
      <c r="AP153" s="704"/>
      <c r="AQ153" s="704"/>
      <c r="AR153" s="19"/>
      <c r="AS153" s="19"/>
      <c r="AT153" s="19"/>
      <c r="AU153" s="19"/>
      <c r="AV153" s="19"/>
    </row>
    <row r="154" spans="1:48">
      <c r="A154" s="28"/>
      <c r="B154" s="23" t="s">
        <v>229</v>
      </c>
      <c r="C154" s="4" t="s">
        <v>248</v>
      </c>
      <c r="D154" s="644" t="s">
        <v>250</v>
      </c>
      <c r="E154" s="39"/>
      <c r="F154" s="39"/>
      <c r="G154" s="39"/>
      <c r="H154" s="39"/>
      <c r="I154" s="39"/>
      <c r="J154" s="39"/>
      <c r="K154" s="39"/>
      <c r="L154" s="39"/>
      <c r="M154" s="39"/>
      <c r="N154" s="39"/>
      <c r="O154" s="39"/>
      <c r="P154" s="39"/>
      <c r="Q154" s="39"/>
      <c r="R154" s="39"/>
      <c r="S154" s="39"/>
      <c r="T154" s="39"/>
      <c r="U154" s="39"/>
      <c r="V154" s="39"/>
      <c r="W154" s="39"/>
      <c r="X154" s="39"/>
      <c r="Y154" s="38"/>
      <c r="Z154" s="39">
        <v>0.6</v>
      </c>
      <c r="AA154" s="39"/>
      <c r="AB154" s="39"/>
      <c r="AC154" s="39"/>
      <c r="AD154" s="39"/>
      <c r="AE154" s="39"/>
      <c r="AF154" s="39"/>
      <c r="AG154" s="39"/>
      <c r="AH154" s="39"/>
      <c r="AI154" s="39"/>
      <c r="AJ154" s="39"/>
      <c r="AK154" s="363"/>
      <c r="AL154" s="52"/>
      <c r="AM154" s="52"/>
      <c r="AN154" s="52"/>
      <c r="AO154" s="52"/>
      <c r="AP154" s="704"/>
      <c r="AQ154" s="704"/>
      <c r="AR154" s="19"/>
      <c r="AS154" s="19"/>
      <c r="AT154" s="19"/>
      <c r="AU154" s="19"/>
      <c r="AV154" s="19"/>
    </row>
    <row r="155" spans="1:48">
      <c r="A155" s="28"/>
      <c r="B155" s="23" t="s">
        <v>229</v>
      </c>
      <c r="C155" s="4" t="s">
        <v>246</v>
      </c>
      <c r="D155" s="656" t="s">
        <v>301</v>
      </c>
      <c r="E155" s="34">
        <f t="shared" ref="E155:K155" si="154">E62</f>
        <v>8.4</v>
      </c>
      <c r="F155" s="34">
        <f t="shared" si="154"/>
        <v>6.2</v>
      </c>
      <c r="G155" s="34">
        <f t="shared" si="154"/>
        <v>7.2</v>
      </c>
      <c r="H155" s="34">
        <f t="shared" si="154"/>
        <v>7.2</v>
      </c>
      <c r="I155" s="34">
        <f t="shared" si="154"/>
        <v>7.4</v>
      </c>
      <c r="J155" s="90">
        <f t="shared" si="154"/>
        <v>6.7</v>
      </c>
      <c r="K155" s="90">
        <f t="shared" si="154"/>
        <v>0</v>
      </c>
      <c r="L155" s="90">
        <f>L62-L157</f>
        <v>3.96</v>
      </c>
      <c r="M155" s="90">
        <v>2.5</v>
      </c>
      <c r="N155" s="90">
        <v>2</v>
      </c>
      <c r="O155" s="90">
        <v>2</v>
      </c>
      <c r="P155" s="90">
        <f>P62-P156-P157</f>
        <v>1.4</v>
      </c>
      <c r="Q155" s="90">
        <f>Q62-Q156-Q157</f>
        <v>0</v>
      </c>
      <c r="R155" s="90">
        <f>R62-R156-R157</f>
        <v>0</v>
      </c>
      <c r="S155" s="344">
        <v>0</v>
      </c>
      <c r="T155" s="90">
        <f>T62-T156-T157</f>
        <v>3</v>
      </c>
      <c r="U155" s="96">
        <f t="shared" ref="U155:AJ155" si="155">U62-U156-U157-U158</f>
        <v>3</v>
      </c>
      <c r="V155" s="90">
        <f t="shared" si="155"/>
        <v>6.7600000000000007</v>
      </c>
      <c r="W155" s="90">
        <f t="shared" si="155"/>
        <v>6.06</v>
      </c>
      <c r="X155" s="90">
        <f t="shared" si="155"/>
        <v>6.07</v>
      </c>
      <c r="Y155" s="355">
        <f t="shared" si="155"/>
        <v>3.5399999999999991</v>
      </c>
      <c r="Z155" s="352">
        <f>Z62-Z156-Z157-Z158-Z154</f>
        <v>1.9999999999999996</v>
      </c>
      <c r="AA155" s="352">
        <f t="shared" si="155"/>
        <v>2</v>
      </c>
      <c r="AB155" s="352">
        <f t="shared" si="155"/>
        <v>1.3500000000000005</v>
      </c>
      <c r="AC155" s="352">
        <f t="shared" si="155"/>
        <v>1.3999999999999995</v>
      </c>
      <c r="AD155" s="352">
        <f t="shared" si="155"/>
        <v>1.4000000000000004</v>
      </c>
      <c r="AE155" s="352">
        <f t="shared" si="155"/>
        <v>2</v>
      </c>
      <c r="AF155" s="352">
        <f t="shared" si="155"/>
        <v>2</v>
      </c>
      <c r="AG155" s="352">
        <f t="shared" si="155"/>
        <v>2</v>
      </c>
      <c r="AH155" s="352">
        <f t="shared" si="155"/>
        <v>2</v>
      </c>
      <c r="AI155" s="352">
        <f t="shared" si="155"/>
        <v>2</v>
      </c>
      <c r="AJ155" s="352">
        <f t="shared" si="155"/>
        <v>2</v>
      </c>
      <c r="AK155" s="355">
        <f>AK62-AK156-AK157-AK158</f>
        <v>2</v>
      </c>
      <c r="AL155" s="352">
        <f>AL62-AL156-AL157-AL158</f>
        <v>2</v>
      </c>
      <c r="AM155" s="352">
        <f>AM62-AM156-AM157-AM158</f>
        <v>2</v>
      </c>
      <c r="AN155" s="352">
        <f>AN62-AN156-AN157-AN158</f>
        <v>2</v>
      </c>
      <c r="AO155" s="352">
        <f>AO62-AO156-AO157-AO158</f>
        <v>2</v>
      </c>
      <c r="AP155" s="703"/>
      <c r="AQ155" s="703"/>
      <c r="AR155" s="538" t="s">
        <v>411</v>
      </c>
      <c r="AS155" s="19"/>
      <c r="AT155" s="19"/>
      <c r="AU155" s="19"/>
      <c r="AV155" s="19"/>
    </row>
    <row r="156" spans="1:48">
      <c r="A156" s="28"/>
      <c r="B156" s="23" t="s">
        <v>229</v>
      </c>
      <c r="C156" s="282" t="s">
        <v>292</v>
      </c>
      <c r="D156" s="285" t="s">
        <v>301</v>
      </c>
      <c r="E156" s="34"/>
      <c r="F156" s="34"/>
      <c r="G156" s="34"/>
      <c r="H156" s="34"/>
      <c r="I156" s="34"/>
      <c r="J156" s="90"/>
      <c r="K156" s="90"/>
      <c r="L156" s="90"/>
      <c r="M156" s="90"/>
      <c r="N156" s="90"/>
      <c r="O156" s="90"/>
      <c r="P156" s="90">
        <v>0</v>
      </c>
      <c r="Q156" s="220">
        <v>0</v>
      </c>
      <c r="R156" s="220">
        <v>0</v>
      </c>
      <c r="S156" s="344">
        <v>0</v>
      </c>
      <c r="T156" s="220">
        <v>0</v>
      </c>
      <c r="U156" s="220">
        <v>0</v>
      </c>
      <c r="V156" s="220">
        <v>0</v>
      </c>
      <c r="W156" s="220">
        <v>0</v>
      </c>
      <c r="X156" s="220">
        <v>0</v>
      </c>
      <c r="Y156" s="361">
        <v>0</v>
      </c>
      <c r="Z156" s="191"/>
      <c r="AA156" s="191"/>
      <c r="AB156" s="191"/>
      <c r="AC156" s="191"/>
      <c r="AD156" s="191"/>
      <c r="AE156" s="191"/>
      <c r="AF156" s="191"/>
      <c r="AG156" s="191"/>
      <c r="AH156" s="191"/>
      <c r="AI156" s="191"/>
      <c r="AJ156" s="191"/>
      <c r="AK156" s="361"/>
      <c r="AL156" s="191"/>
      <c r="AM156" s="191"/>
      <c r="AN156" s="191"/>
      <c r="AO156" s="191"/>
      <c r="AP156" s="700"/>
      <c r="AQ156" s="700"/>
      <c r="AR156" s="19"/>
      <c r="AS156" s="19"/>
      <c r="AT156" s="19"/>
      <c r="AU156" s="19"/>
      <c r="AV156" s="19"/>
    </row>
    <row r="157" spans="1:48">
      <c r="A157" s="28"/>
      <c r="B157" s="23" t="s">
        <v>229</v>
      </c>
      <c r="C157" s="11" t="s">
        <v>295</v>
      </c>
      <c r="D157" s="285" t="s">
        <v>301</v>
      </c>
      <c r="E157" s="34"/>
      <c r="F157" s="34"/>
      <c r="G157" s="34"/>
      <c r="H157" s="34"/>
      <c r="I157" s="34"/>
      <c r="J157" s="34"/>
      <c r="K157" s="34"/>
      <c r="L157" s="34">
        <v>0</v>
      </c>
      <c r="M157" s="34">
        <f>M62-M155</f>
        <v>3.87</v>
      </c>
      <c r="N157" s="34">
        <f>N62-N155</f>
        <v>4.0999999999999996</v>
      </c>
      <c r="O157" s="96">
        <v>3.73</v>
      </c>
      <c r="P157" s="96">
        <v>2.9</v>
      </c>
      <c r="Q157" s="220">
        <v>3</v>
      </c>
      <c r="R157" s="96">
        <v>3</v>
      </c>
      <c r="S157" s="90">
        <f>S62-S155-S156</f>
        <v>3.5</v>
      </c>
      <c r="T157" s="220">
        <v>0</v>
      </c>
      <c r="U157" s="220">
        <v>0.6</v>
      </c>
      <c r="V157" s="220">
        <v>0</v>
      </c>
      <c r="W157" s="220">
        <v>0</v>
      </c>
      <c r="X157" s="220">
        <v>0.6</v>
      </c>
      <c r="Y157" s="388">
        <v>4.83</v>
      </c>
      <c r="Z157" s="191">
        <f>4.48+0.6</f>
        <v>5.08</v>
      </c>
      <c r="AA157" s="191">
        <v>4.63</v>
      </c>
      <c r="AB157" s="191">
        <v>4.38</v>
      </c>
      <c r="AC157" s="78">
        <v>4.3600000000000003</v>
      </c>
      <c r="AD157" s="191">
        <v>4.38</v>
      </c>
      <c r="AE157" s="191">
        <v>4.12</v>
      </c>
      <c r="AF157" s="191">
        <v>4.12</v>
      </c>
      <c r="AG157" s="191">
        <v>4.12</v>
      </c>
      <c r="AH157" s="191">
        <v>4.12</v>
      </c>
      <c r="AI157" s="191">
        <v>4.12</v>
      </c>
      <c r="AJ157" s="191">
        <v>4.12</v>
      </c>
      <c r="AK157" s="361">
        <v>4.12</v>
      </c>
      <c r="AL157" s="191">
        <v>4.12</v>
      </c>
      <c r="AM157" s="191">
        <v>4.12</v>
      </c>
      <c r="AN157" s="191">
        <v>4.12</v>
      </c>
      <c r="AO157" s="191">
        <v>4.12</v>
      </c>
      <c r="AP157" s="700"/>
      <c r="AQ157" s="700"/>
      <c r="AR157" s="19"/>
      <c r="AS157" s="19"/>
      <c r="AT157" s="19"/>
      <c r="AU157" s="19"/>
      <c r="AV157" s="19"/>
    </row>
    <row r="158" spans="1:48">
      <c r="A158" s="28"/>
      <c r="B158" s="23" t="s">
        <v>229</v>
      </c>
      <c r="C158" s="367" t="s">
        <v>297</v>
      </c>
      <c r="D158" s="285" t="s">
        <v>301</v>
      </c>
      <c r="E158" s="34"/>
      <c r="F158" s="34"/>
      <c r="G158" s="34"/>
      <c r="H158" s="34"/>
      <c r="I158" s="34"/>
      <c r="J158" s="34"/>
      <c r="K158" s="34"/>
      <c r="L158" s="34"/>
      <c r="M158" s="34"/>
      <c r="N158" s="34"/>
      <c r="O158" s="96"/>
      <c r="P158" s="96"/>
      <c r="Q158" s="220"/>
      <c r="R158" s="96"/>
      <c r="S158" s="90"/>
      <c r="T158" s="220"/>
      <c r="U158" s="220">
        <v>0</v>
      </c>
      <c r="V158" s="220">
        <v>0</v>
      </c>
      <c r="W158" s="220">
        <v>0</v>
      </c>
      <c r="X158" s="220">
        <v>0</v>
      </c>
      <c r="Y158" s="361">
        <v>0</v>
      </c>
      <c r="Z158" s="191"/>
      <c r="AA158" s="191"/>
      <c r="AB158" s="191"/>
      <c r="AC158" s="191"/>
      <c r="AD158" s="191"/>
      <c r="AE158" s="191"/>
      <c r="AF158" s="191"/>
      <c r="AG158" s="191"/>
      <c r="AH158" s="191"/>
      <c r="AI158" s="191"/>
      <c r="AJ158" s="191"/>
      <c r="AK158" s="362"/>
      <c r="AL158" s="98"/>
      <c r="AM158" s="98"/>
      <c r="AN158" s="98"/>
      <c r="AO158" s="98"/>
      <c r="AP158" s="700"/>
      <c r="AQ158" s="700"/>
      <c r="AR158" s="19"/>
      <c r="AS158" s="19"/>
      <c r="AT158" s="19"/>
      <c r="AU158" s="19"/>
      <c r="AV158" s="19"/>
    </row>
    <row r="159" spans="1:48">
      <c r="A159" s="28"/>
      <c r="B159" s="284" t="s">
        <v>302</v>
      </c>
      <c r="C159" s="89" t="s">
        <v>246</v>
      </c>
      <c r="D159" s="286" t="s">
        <v>303</v>
      </c>
      <c r="E159" s="80">
        <f t="shared" ref="E159:AJ159" si="156">E63</f>
        <v>5.89</v>
      </c>
      <c r="F159" s="80">
        <f t="shared" si="156"/>
        <v>6.22</v>
      </c>
      <c r="G159" s="80">
        <f t="shared" si="156"/>
        <v>5.89</v>
      </c>
      <c r="H159" s="80">
        <f t="shared" si="156"/>
        <v>6.05</v>
      </c>
      <c r="I159" s="80">
        <f t="shared" si="156"/>
        <v>5.85</v>
      </c>
      <c r="J159" s="204">
        <f t="shared" si="156"/>
        <v>6.05</v>
      </c>
      <c r="K159" s="204">
        <f t="shared" si="156"/>
        <v>6.7</v>
      </c>
      <c r="L159" s="204">
        <f t="shared" si="156"/>
        <v>6.05</v>
      </c>
      <c r="M159" s="204">
        <f t="shared" si="156"/>
        <v>6.2</v>
      </c>
      <c r="N159" s="204">
        <f t="shared" si="156"/>
        <v>5.66</v>
      </c>
      <c r="O159" s="204">
        <f t="shared" si="156"/>
        <v>6.0449999999999999</v>
      </c>
      <c r="P159" s="204">
        <f t="shared" si="156"/>
        <v>5.85</v>
      </c>
      <c r="Q159" s="204">
        <f t="shared" si="156"/>
        <v>4.5999999999999996</v>
      </c>
      <c r="R159" s="212">
        <f t="shared" si="156"/>
        <v>5.7</v>
      </c>
      <c r="S159" s="204">
        <f t="shared" si="156"/>
        <v>5.7</v>
      </c>
      <c r="T159" s="204">
        <f t="shared" si="156"/>
        <v>5.68</v>
      </c>
      <c r="U159" s="204">
        <f t="shared" si="156"/>
        <v>5.4</v>
      </c>
      <c r="V159" s="204">
        <f t="shared" si="156"/>
        <v>5.8</v>
      </c>
      <c r="W159" s="204">
        <f t="shared" si="156"/>
        <v>5.4</v>
      </c>
      <c r="X159" s="204">
        <f t="shared" si="156"/>
        <v>5.58</v>
      </c>
      <c r="Y159" s="365">
        <f t="shared" si="156"/>
        <v>5.4870000000000001</v>
      </c>
      <c r="Z159" s="204">
        <f t="shared" si="156"/>
        <v>5.32</v>
      </c>
      <c r="AA159" s="204">
        <f t="shared" si="156"/>
        <v>5.74</v>
      </c>
      <c r="AB159" s="204">
        <f t="shared" si="156"/>
        <v>5.8220000000000001</v>
      </c>
      <c r="AC159" s="204">
        <f t="shared" si="156"/>
        <v>5.7350000000000003</v>
      </c>
      <c r="AD159" s="204">
        <f t="shared" si="156"/>
        <v>5.55</v>
      </c>
      <c r="AE159" s="204">
        <f t="shared" si="156"/>
        <v>5.7350000000000003</v>
      </c>
      <c r="AF159" s="204">
        <f t="shared" si="156"/>
        <v>5.7350000000000003</v>
      </c>
      <c r="AG159" s="204">
        <f t="shared" si="156"/>
        <v>5.55</v>
      </c>
      <c r="AH159" s="204">
        <f t="shared" si="156"/>
        <v>5.7350000000000003</v>
      </c>
      <c r="AI159" s="204">
        <f t="shared" si="156"/>
        <v>5.7350000000000003</v>
      </c>
      <c r="AJ159" s="204">
        <f t="shared" si="156"/>
        <v>5.7350000000000003</v>
      </c>
      <c r="AK159" s="365">
        <f t="shared" ref="AK159:AM160" si="157">AK63</f>
        <v>5.7350000000000003</v>
      </c>
      <c r="AL159" s="204">
        <f t="shared" si="157"/>
        <v>5.7350000000000003</v>
      </c>
      <c r="AM159" s="204">
        <f t="shared" si="157"/>
        <v>5.7350000000000003</v>
      </c>
      <c r="AN159" s="204">
        <f t="shared" ref="AN159:AO159" si="158">AN63</f>
        <v>5.7350000000000003</v>
      </c>
      <c r="AO159" s="204">
        <f t="shared" si="158"/>
        <v>5.7350000000000003</v>
      </c>
      <c r="AP159" s="703"/>
      <c r="AQ159" s="703"/>
      <c r="AR159" s="551" t="s">
        <v>412</v>
      </c>
      <c r="AS159" s="19"/>
      <c r="AT159" s="19"/>
      <c r="AU159" s="19"/>
      <c r="AV159" s="19"/>
    </row>
    <row r="160" spans="1:48" ht="15" thickBot="1">
      <c r="A160" s="35"/>
      <c r="B160" s="657" t="s">
        <v>231</v>
      </c>
      <c r="C160" s="17" t="s">
        <v>246</v>
      </c>
      <c r="D160" s="658" t="s">
        <v>231</v>
      </c>
      <c r="E160" s="40">
        <f t="shared" ref="E160:AJ160" si="159">E64</f>
        <v>15.6</v>
      </c>
      <c r="F160" s="40">
        <f t="shared" si="159"/>
        <v>16.100000000000001</v>
      </c>
      <c r="G160" s="40">
        <f t="shared" si="159"/>
        <v>16.027000000000001</v>
      </c>
      <c r="H160" s="40">
        <f t="shared" si="159"/>
        <v>14</v>
      </c>
      <c r="I160" s="40">
        <f t="shared" si="159"/>
        <v>15.45</v>
      </c>
      <c r="J160" s="205">
        <f t="shared" si="159"/>
        <v>10.85</v>
      </c>
      <c r="K160" s="205">
        <f t="shared" si="159"/>
        <v>13.15</v>
      </c>
      <c r="L160" s="205">
        <f t="shared" si="159"/>
        <v>13.26</v>
      </c>
      <c r="M160" s="205">
        <f t="shared" si="159"/>
        <v>17</v>
      </c>
      <c r="N160" s="205">
        <f t="shared" si="159"/>
        <v>17.5</v>
      </c>
      <c r="O160" s="205">
        <f t="shared" si="159"/>
        <v>15</v>
      </c>
      <c r="P160" s="205">
        <f t="shared" si="159"/>
        <v>16.5</v>
      </c>
      <c r="Q160" s="205">
        <f t="shared" si="159"/>
        <v>15</v>
      </c>
      <c r="R160" s="205">
        <f t="shared" si="159"/>
        <v>14.5</v>
      </c>
      <c r="S160" s="205">
        <f t="shared" si="159"/>
        <v>15.5</v>
      </c>
      <c r="T160" s="205">
        <f t="shared" si="159"/>
        <v>13.04</v>
      </c>
      <c r="U160" s="205">
        <f t="shared" si="159"/>
        <v>17.2</v>
      </c>
      <c r="V160" s="205">
        <f t="shared" si="159"/>
        <v>15.83</v>
      </c>
      <c r="W160" s="205">
        <f t="shared" si="159"/>
        <v>16.2</v>
      </c>
      <c r="X160" s="205">
        <f t="shared" si="159"/>
        <v>15.4</v>
      </c>
      <c r="Y160" s="356">
        <f t="shared" si="159"/>
        <v>11</v>
      </c>
      <c r="Z160" s="205">
        <f t="shared" si="159"/>
        <v>6.72</v>
      </c>
      <c r="AA160" s="487">
        <f t="shared" si="159"/>
        <v>13.5</v>
      </c>
      <c r="AB160" s="205">
        <f t="shared" si="159"/>
        <v>15</v>
      </c>
      <c r="AC160" s="205">
        <f t="shared" si="159"/>
        <v>15.5</v>
      </c>
      <c r="AD160" s="205">
        <f t="shared" si="159"/>
        <v>13.95</v>
      </c>
      <c r="AE160" s="205">
        <f t="shared" si="159"/>
        <v>8.99</v>
      </c>
      <c r="AF160" s="205">
        <f t="shared" si="159"/>
        <v>14.66</v>
      </c>
      <c r="AG160" s="205">
        <f t="shared" si="159"/>
        <v>15</v>
      </c>
      <c r="AH160" s="205">
        <f t="shared" si="159"/>
        <v>15.5</v>
      </c>
      <c r="AI160" s="205">
        <f t="shared" si="159"/>
        <v>15</v>
      </c>
      <c r="AJ160" s="205">
        <f t="shared" si="159"/>
        <v>15.08</v>
      </c>
      <c r="AK160" s="356">
        <f t="shared" si="157"/>
        <v>14.87</v>
      </c>
      <c r="AL160" s="205">
        <f t="shared" si="157"/>
        <v>14</v>
      </c>
      <c r="AM160" s="205">
        <f t="shared" si="157"/>
        <v>15.5</v>
      </c>
      <c r="AN160" s="205">
        <f t="shared" ref="AN160:AO160" si="160">AN64</f>
        <v>15</v>
      </c>
      <c r="AO160" s="205">
        <f t="shared" si="160"/>
        <v>15.5</v>
      </c>
      <c r="AP160" s="703"/>
      <c r="AQ160" s="703"/>
      <c r="AR160" s="551" t="s">
        <v>413</v>
      </c>
      <c r="AS160" s="19"/>
      <c r="AT160" s="19"/>
      <c r="AU160" s="19"/>
      <c r="AV160" s="19"/>
    </row>
    <row r="161" spans="1:48" s="19" customFormat="1" ht="23.25" thickBot="1">
      <c r="A161" s="25" t="s">
        <v>304</v>
      </c>
      <c r="B161" s="18"/>
      <c r="L161" s="64"/>
      <c r="M161" s="64"/>
      <c r="N161" s="64"/>
      <c r="O161" s="64"/>
      <c r="P161" s="64"/>
      <c r="Q161" s="65"/>
      <c r="R161" s="65"/>
      <c r="S161" s="65"/>
      <c r="T161" s="65"/>
      <c r="U161" s="65">
        <f>U165-U107-U108</f>
        <v>214.74000000000004</v>
      </c>
      <c r="V161" s="65"/>
      <c r="W161" s="65"/>
      <c r="X161" s="65"/>
      <c r="Y161" s="65"/>
      <c r="Z161" s="65"/>
      <c r="AA161" s="65"/>
      <c r="AB161" s="65"/>
      <c r="AC161" s="65">
        <f>AC162-17</f>
        <v>157.92699999999999</v>
      </c>
      <c r="AD161" s="65"/>
      <c r="AE161" s="65"/>
      <c r="AF161" s="65"/>
      <c r="AG161" s="65"/>
      <c r="AH161" s="65"/>
      <c r="AI161" s="65"/>
      <c r="AJ161" s="65"/>
      <c r="AK161" s="65"/>
      <c r="AL161" s="65"/>
      <c r="AM161" s="65"/>
      <c r="AN161" s="65"/>
      <c r="AO161" s="65"/>
      <c r="AP161" s="692"/>
      <c r="AQ161" s="692"/>
    </row>
    <row r="162" spans="1:48">
      <c r="A162" s="29" t="s">
        <v>305</v>
      </c>
      <c r="B162" s="33" t="s">
        <v>92</v>
      </c>
      <c r="C162" s="311" t="s">
        <v>243</v>
      </c>
      <c r="D162" s="312" t="s">
        <v>92</v>
      </c>
      <c r="E162" s="37">
        <f>E163+E164</f>
        <v>153.96899999999999</v>
      </c>
      <c r="F162" s="37">
        <f>F163+F164</f>
        <v>125.907</v>
      </c>
      <c r="G162" s="336">
        <f>G163+G164</f>
        <v>143.33699999999999</v>
      </c>
      <c r="H162" s="336">
        <f>H163+H164</f>
        <v>137.83699999999999</v>
      </c>
      <c r="I162" s="336">
        <f t="shared" ref="I162:Q162" si="161">I163+I164</f>
        <v>127.547</v>
      </c>
      <c r="J162" s="336">
        <f t="shared" si="161"/>
        <v>134.31700000000001</v>
      </c>
      <c r="K162" s="336">
        <f t="shared" si="161"/>
        <v>133.44200000000001</v>
      </c>
      <c r="L162" s="336">
        <f t="shared" si="161"/>
        <v>127.133</v>
      </c>
      <c r="M162" s="336">
        <f t="shared" si="161"/>
        <v>109.81</v>
      </c>
      <c r="N162" s="336">
        <f t="shared" si="161"/>
        <v>84.705999999999989</v>
      </c>
      <c r="O162" s="336">
        <f t="shared" si="161"/>
        <v>119.328</v>
      </c>
      <c r="P162" s="336">
        <f t="shared" si="161"/>
        <v>121.05</v>
      </c>
      <c r="Q162" s="336">
        <f t="shared" si="161"/>
        <v>73.457999999999998</v>
      </c>
      <c r="R162" s="336">
        <f>R163+R164</f>
        <v>99.144000000000005</v>
      </c>
      <c r="S162" s="336">
        <f t="shared" ref="S162:AO162" si="162">S163+S164</f>
        <v>95.72999999999999</v>
      </c>
      <c r="T162" s="336">
        <f t="shared" si="162"/>
        <v>108.71236263736263</v>
      </c>
      <c r="U162" s="336">
        <f t="shared" si="162"/>
        <v>94.41</v>
      </c>
      <c r="V162" s="336">
        <f t="shared" si="162"/>
        <v>97.06</v>
      </c>
      <c r="W162" s="336">
        <f t="shared" si="162"/>
        <v>100.8</v>
      </c>
      <c r="X162" s="336">
        <f t="shared" si="162"/>
        <v>112.874</v>
      </c>
      <c r="Y162" s="336">
        <f t="shared" si="162"/>
        <v>114.867</v>
      </c>
      <c r="Z162" s="336">
        <f t="shared" si="162"/>
        <v>120.536</v>
      </c>
      <c r="AA162" s="336">
        <f t="shared" si="162"/>
        <v>128.65600000000001</v>
      </c>
      <c r="AB162" s="336">
        <f t="shared" si="162"/>
        <v>128.49099999999999</v>
      </c>
      <c r="AC162" s="336">
        <f t="shared" si="162"/>
        <v>174.92699999999999</v>
      </c>
      <c r="AD162" s="336">
        <f t="shared" si="162"/>
        <v>147.59300000000002</v>
      </c>
      <c r="AE162" s="336">
        <f t="shared" si="162"/>
        <v>124.81700000000001</v>
      </c>
      <c r="AF162" s="336">
        <f t="shared" si="162"/>
        <v>138.761</v>
      </c>
      <c r="AG162" s="336">
        <f t="shared" si="162"/>
        <v>130.11700000000002</v>
      </c>
      <c r="AH162" s="336">
        <f t="shared" si="162"/>
        <v>113.414</v>
      </c>
      <c r="AI162" s="336">
        <f t="shared" si="162"/>
        <v>133.29500000000002</v>
      </c>
      <c r="AJ162" s="336">
        <f t="shared" si="162"/>
        <v>119.26600000000001</v>
      </c>
      <c r="AK162" s="336">
        <f t="shared" si="162"/>
        <v>125.89287671232877</v>
      </c>
      <c r="AL162" s="336">
        <f t="shared" si="162"/>
        <v>115.25808219178083</v>
      </c>
      <c r="AM162" s="336">
        <f t="shared" si="162"/>
        <v>125.89287671232877</v>
      </c>
      <c r="AN162" s="336">
        <f t="shared" si="162"/>
        <v>122.34794520547945</v>
      </c>
      <c r="AO162" s="336">
        <f t="shared" si="162"/>
        <v>125.89287671232877</v>
      </c>
      <c r="AP162" s="706"/>
      <c r="AQ162" s="706"/>
      <c r="AR162" s="538" t="s">
        <v>414</v>
      </c>
      <c r="AS162" s="358"/>
      <c r="AT162" s="19"/>
      <c r="AU162" s="19"/>
      <c r="AV162" s="19"/>
    </row>
    <row r="163" spans="1:48">
      <c r="A163" s="31" t="s">
        <v>306</v>
      </c>
      <c r="B163" s="23" t="s">
        <v>92</v>
      </c>
      <c r="C163" s="18" t="s">
        <v>307</v>
      </c>
      <c r="D163" s="309" t="s">
        <v>92</v>
      </c>
      <c r="E163" s="39">
        <f>E97+E103</f>
        <v>120.66</v>
      </c>
      <c r="F163" s="39">
        <f>F97+F103</f>
        <v>113</v>
      </c>
      <c r="G163" s="39">
        <f>G97+G103</f>
        <v>87</v>
      </c>
      <c r="H163" s="39">
        <f>H97+H103</f>
        <v>81</v>
      </c>
      <c r="I163" s="39">
        <f t="shared" ref="I163:X163" si="163">I97+I101+I103</f>
        <v>70</v>
      </c>
      <c r="J163" s="39">
        <f t="shared" si="163"/>
        <v>69</v>
      </c>
      <c r="K163" s="39">
        <f t="shared" si="163"/>
        <v>71</v>
      </c>
      <c r="L163" s="39">
        <f t="shared" si="163"/>
        <v>78.5</v>
      </c>
      <c r="M163" s="39">
        <f t="shared" si="163"/>
        <v>59</v>
      </c>
      <c r="N163" s="39">
        <f t="shared" si="163"/>
        <v>34</v>
      </c>
      <c r="O163" s="39">
        <f t="shared" si="163"/>
        <v>76</v>
      </c>
      <c r="P163" s="39">
        <f t="shared" si="163"/>
        <v>76.5</v>
      </c>
      <c r="Q163" s="39">
        <f t="shared" si="163"/>
        <v>43.5</v>
      </c>
      <c r="R163" s="39">
        <f t="shared" si="163"/>
        <v>55.5</v>
      </c>
      <c r="S163" s="39">
        <f t="shared" si="163"/>
        <v>47.93</v>
      </c>
      <c r="T163" s="39">
        <f t="shared" si="163"/>
        <v>56.379999999999995</v>
      </c>
      <c r="U163" s="39">
        <f t="shared" si="163"/>
        <v>42.91</v>
      </c>
      <c r="V163" s="39">
        <f t="shared" si="163"/>
        <v>43</v>
      </c>
      <c r="W163" s="39">
        <f t="shared" si="163"/>
        <v>48.4</v>
      </c>
      <c r="X163" s="39">
        <f t="shared" si="163"/>
        <v>58.5</v>
      </c>
      <c r="Y163" s="39">
        <f>Y97+Y101+Y102+Y103+Y95</f>
        <v>56.42</v>
      </c>
      <c r="Z163" s="39">
        <f>Z99+Z100+Z101+Z102+Z103+Z95</f>
        <v>66.66</v>
      </c>
      <c r="AA163" s="39">
        <f t="shared" ref="AA163:AC163" si="164">AA99+AA100+AA101+AA102+AA103+AA95</f>
        <v>65.36</v>
      </c>
      <c r="AB163" s="39">
        <f t="shared" si="164"/>
        <v>84.3</v>
      </c>
      <c r="AC163" s="39">
        <f t="shared" si="164"/>
        <v>125.2</v>
      </c>
      <c r="AD163" s="39">
        <f>AD99+AD100+AD101+AD102+AD103</f>
        <v>87.031999999999996</v>
      </c>
      <c r="AE163" s="39">
        <f t="shared" ref="AE163:AN163" si="165">AE99+AE100+AE101+AE102+AE103</f>
        <v>99.436000000000007</v>
      </c>
      <c r="AF163" s="39">
        <f t="shared" si="165"/>
        <v>81.082999999999998</v>
      </c>
      <c r="AG163" s="39">
        <f t="shared" si="165"/>
        <v>81.533000000000001</v>
      </c>
      <c r="AH163" s="39">
        <f t="shared" si="165"/>
        <v>89.156000000000006</v>
      </c>
      <c r="AI163" s="39">
        <f t="shared" si="165"/>
        <v>75.436000000000007</v>
      </c>
      <c r="AJ163" s="39">
        <f t="shared" si="165"/>
        <v>59.47</v>
      </c>
      <c r="AK163" s="39">
        <f t="shared" si="165"/>
        <v>68.42</v>
      </c>
      <c r="AL163" s="39">
        <f t="shared" si="165"/>
        <v>62.96</v>
      </c>
      <c r="AM163" s="39">
        <f t="shared" si="165"/>
        <v>68.42</v>
      </c>
      <c r="AN163" s="39">
        <f t="shared" si="165"/>
        <v>66.599999999999994</v>
      </c>
      <c r="AO163" s="39">
        <f>AO99+AO100+AO101+AO102+AO103</f>
        <v>68.42</v>
      </c>
      <c r="AP163" s="704"/>
      <c r="AQ163" s="704"/>
      <c r="AR163" s="538" t="s">
        <v>415</v>
      </c>
      <c r="AS163" s="19"/>
      <c r="AT163" s="19"/>
      <c r="AU163" s="19"/>
      <c r="AV163" s="19"/>
    </row>
    <row r="164" spans="1:48" ht="15" thickBot="1">
      <c r="A164" s="31" t="s">
        <v>308</v>
      </c>
      <c r="B164" s="23" t="s">
        <v>92</v>
      </c>
      <c r="C164" s="18" t="s">
        <v>309</v>
      </c>
      <c r="D164" s="309" t="s">
        <v>92</v>
      </c>
      <c r="E164" s="39">
        <f t="shared" ref="E164:Y164" si="166">E104+E105</f>
        <v>33.308999999999997</v>
      </c>
      <c r="F164" s="39">
        <f t="shared" si="166"/>
        <v>12.907</v>
      </c>
      <c r="G164" s="39">
        <f t="shared" si="166"/>
        <v>56.337000000000003</v>
      </c>
      <c r="H164" s="39">
        <f t="shared" si="166"/>
        <v>56.837000000000003</v>
      </c>
      <c r="I164" s="39">
        <f t="shared" si="166"/>
        <v>57.546999999999997</v>
      </c>
      <c r="J164" s="39">
        <f t="shared" si="166"/>
        <v>65.316999999999993</v>
      </c>
      <c r="K164" s="39">
        <f t="shared" si="166"/>
        <v>62.442</v>
      </c>
      <c r="L164" s="39">
        <f t="shared" si="166"/>
        <v>48.632999999999996</v>
      </c>
      <c r="M164" s="39">
        <f t="shared" si="166"/>
        <v>50.81</v>
      </c>
      <c r="N164" s="39">
        <f t="shared" si="166"/>
        <v>50.705999999999996</v>
      </c>
      <c r="O164" s="39">
        <f t="shared" si="166"/>
        <v>43.327999999999996</v>
      </c>
      <c r="P164" s="39">
        <f t="shared" si="166"/>
        <v>44.55</v>
      </c>
      <c r="Q164" s="39">
        <f t="shared" si="166"/>
        <v>29.957999999999998</v>
      </c>
      <c r="R164" s="39">
        <f t="shared" si="166"/>
        <v>43.643999999999998</v>
      </c>
      <c r="S164" s="39">
        <f t="shared" si="166"/>
        <v>47.8</v>
      </c>
      <c r="T164" s="39">
        <f t="shared" si="166"/>
        <v>52.332362637362635</v>
      </c>
      <c r="U164" s="39">
        <f t="shared" si="166"/>
        <v>51.5</v>
      </c>
      <c r="V164" s="39">
        <f t="shared" si="166"/>
        <v>54.06</v>
      </c>
      <c r="W164" s="39">
        <f t="shared" si="166"/>
        <v>52.4</v>
      </c>
      <c r="X164" s="39">
        <f t="shared" si="166"/>
        <v>54.373999999999995</v>
      </c>
      <c r="Y164" s="39">
        <f t="shared" si="166"/>
        <v>58.447000000000003</v>
      </c>
      <c r="Z164" s="39">
        <f>Z104+Z105+Z106</f>
        <v>53.876000000000005</v>
      </c>
      <c r="AA164" s="39">
        <f t="shared" ref="AA164:AL164" si="167">AA104+AA105+AA106</f>
        <v>63.296000000000006</v>
      </c>
      <c r="AB164" s="39">
        <f t="shared" si="167"/>
        <v>44.191000000000003</v>
      </c>
      <c r="AC164" s="39">
        <f t="shared" si="167"/>
        <v>49.726999999999997</v>
      </c>
      <c r="AD164" s="39">
        <f t="shared" si="167"/>
        <v>60.561000000000007</v>
      </c>
      <c r="AE164" s="39">
        <f t="shared" si="167"/>
        <v>25.381</v>
      </c>
      <c r="AF164" s="39">
        <f t="shared" si="167"/>
        <v>57.678000000000004</v>
      </c>
      <c r="AG164" s="39">
        <f t="shared" si="167"/>
        <v>48.584000000000003</v>
      </c>
      <c r="AH164" s="39">
        <f t="shared" si="167"/>
        <v>24.257999999999999</v>
      </c>
      <c r="AI164" s="39">
        <f t="shared" si="167"/>
        <v>57.858999999999995</v>
      </c>
      <c r="AJ164" s="39">
        <f t="shared" si="167"/>
        <v>59.796000000000006</v>
      </c>
      <c r="AK164" s="39">
        <f t="shared" si="167"/>
        <v>57.47287671232877</v>
      </c>
      <c r="AL164" s="39">
        <f t="shared" si="167"/>
        <v>52.298082191780821</v>
      </c>
      <c r="AM164" s="39">
        <f t="shared" ref="AM164:AN164" si="168">AM104+AM105+AM106</f>
        <v>57.47287671232877</v>
      </c>
      <c r="AN164" s="39">
        <f t="shared" si="168"/>
        <v>55.747945205479454</v>
      </c>
      <c r="AO164" s="39">
        <f>AO104+AO105+AO106</f>
        <v>57.47287671232877</v>
      </c>
      <c r="AP164" s="704"/>
      <c r="AQ164" s="704"/>
      <c r="AR164" s="538" t="s">
        <v>416</v>
      </c>
      <c r="AS164" s="19"/>
      <c r="AT164" s="19"/>
      <c r="AU164" s="19"/>
      <c r="AV164" s="19"/>
    </row>
    <row r="165" spans="1:48" s="19" customFormat="1">
      <c r="A165" s="22" t="s">
        <v>310</v>
      </c>
      <c r="B165" s="659" t="s">
        <v>311</v>
      </c>
      <c r="C165" s="659" t="s">
        <v>312</v>
      </c>
      <c r="D165" s="660" t="s">
        <v>313</v>
      </c>
      <c r="E165" s="34"/>
      <c r="F165" s="34"/>
      <c r="G165" s="336"/>
      <c r="H165" s="336"/>
      <c r="I165" s="336">
        <f t="shared" ref="I165:AJ165" si="169">SUM(I107:I160)</f>
        <v>242.43</v>
      </c>
      <c r="J165" s="336">
        <f t="shared" si="169"/>
        <v>240.08403429999998</v>
      </c>
      <c r="K165" s="336">
        <f t="shared" si="169"/>
        <v>242.04816493999996</v>
      </c>
      <c r="L165" s="336">
        <f t="shared" si="169"/>
        <v>240.19812309999995</v>
      </c>
      <c r="M165" s="336">
        <f t="shared" si="169"/>
        <v>235.17329082000001</v>
      </c>
      <c r="N165" s="336">
        <f t="shared" si="169"/>
        <v>224.50545953</v>
      </c>
      <c r="O165" s="336">
        <f t="shared" si="169"/>
        <v>207.45499999999998</v>
      </c>
      <c r="P165" s="336">
        <f t="shared" si="169"/>
        <v>172.54</v>
      </c>
      <c r="Q165" s="336">
        <f t="shared" si="169"/>
        <v>170.11859380999999</v>
      </c>
      <c r="R165" s="336">
        <f t="shared" si="169"/>
        <v>183.64617381999997</v>
      </c>
      <c r="S165" s="336">
        <f t="shared" si="169"/>
        <v>206.13</v>
      </c>
      <c r="T165" s="336">
        <f t="shared" si="169"/>
        <v>215.22000000000006</v>
      </c>
      <c r="U165" s="336">
        <f t="shared" si="169"/>
        <v>216.19000000000003</v>
      </c>
      <c r="V165" s="336">
        <f t="shared" si="169"/>
        <v>228.25</v>
      </c>
      <c r="W165" s="336">
        <f t="shared" si="169"/>
        <v>222.56240770999997</v>
      </c>
      <c r="X165" s="336">
        <f t="shared" si="169"/>
        <v>224.22</v>
      </c>
      <c r="Y165" s="336">
        <f t="shared" si="169"/>
        <v>208.93700000000001</v>
      </c>
      <c r="Z165" s="336">
        <f t="shared" si="169"/>
        <v>204.36743945000001</v>
      </c>
      <c r="AA165" s="336">
        <f t="shared" si="169"/>
        <v>225.35999999999999</v>
      </c>
      <c r="AB165" s="336">
        <f t="shared" si="169"/>
        <v>195.85199999999998</v>
      </c>
      <c r="AC165" s="336">
        <f t="shared" si="169"/>
        <v>198.49500000000003</v>
      </c>
      <c r="AD165" s="336">
        <f t="shared" si="169"/>
        <v>198.48999999999995</v>
      </c>
      <c r="AE165" s="336">
        <f t="shared" si="169"/>
        <v>201.09856137000003</v>
      </c>
      <c r="AF165" s="336">
        <f t="shared" si="169"/>
        <v>220.63365578999998</v>
      </c>
      <c r="AG165" s="336">
        <f t="shared" si="169"/>
        <v>218.90812602999998</v>
      </c>
      <c r="AH165" s="336">
        <f t="shared" si="169"/>
        <v>221.28615352999995</v>
      </c>
      <c r="AI165" s="336">
        <f t="shared" si="169"/>
        <v>220.49638480999997</v>
      </c>
      <c r="AJ165" s="336">
        <f t="shared" si="169"/>
        <v>225.22726784999998</v>
      </c>
      <c r="AK165" s="336">
        <f>SUM(AK107:AK160)</f>
        <v>223.2368366</v>
      </c>
      <c r="AL165" s="336">
        <f>SUM(AL107:AL160)</f>
        <v>215.47718817000001</v>
      </c>
      <c r="AM165" s="336">
        <f>SUM(AM107:AM160)</f>
        <v>220.86127196999999</v>
      </c>
      <c r="AN165" s="336">
        <f>SUM(AN107:AN160)</f>
        <v>214.82085520999999</v>
      </c>
      <c r="AO165" s="336">
        <f>SUM(AO107:AO160)</f>
        <v>216.24072226999999</v>
      </c>
      <c r="AP165" s="706"/>
      <c r="AQ165" s="706"/>
      <c r="AR165" s="538" t="s">
        <v>417</v>
      </c>
    </row>
    <row r="166" spans="1:48" s="19" customFormat="1">
      <c r="A166" s="21"/>
      <c r="B166" s="636" t="s">
        <v>311</v>
      </c>
      <c r="C166" s="636" t="s">
        <v>314</v>
      </c>
      <c r="D166" s="330" t="s">
        <v>287</v>
      </c>
      <c r="G166" s="64"/>
      <c r="H166" s="64"/>
      <c r="I166" s="64">
        <f>I111+I116+I118+I120+I123+I126+I128+I131+I132+I133+I138+I139+I141+I143+I146+I148+I150+I152+I153</f>
        <v>23.099999999999998</v>
      </c>
      <c r="J166" s="64">
        <f t="shared" ref="J166:U166" si="170">J111+J116+J118+J120+J123+J126+J128+J131+J132+J133+J138+J139+J141+J143+J146+J148+J150+J152+J153</f>
        <v>25.6</v>
      </c>
      <c r="K166" s="64">
        <f t="shared" si="170"/>
        <v>38.35</v>
      </c>
      <c r="L166" s="64">
        <f t="shared" si="170"/>
        <v>24.62</v>
      </c>
      <c r="M166" s="64">
        <f t="shared" si="170"/>
        <v>22.66</v>
      </c>
      <c r="N166" s="64">
        <f t="shared" si="170"/>
        <v>18.09</v>
      </c>
      <c r="O166" s="64">
        <f t="shared" si="170"/>
        <v>17.23</v>
      </c>
      <c r="P166" s="64">
        <f t="shared" si="170"/>
        <v>11.25</v>
      </c>
      <c r="Q166" s="64">
        <f t="shared" si="170"/>
        <v>12.100000000000001</v>
      </c>
      <c r="R166" s="64">
        <f t="shared" si="170"/>
        <v>17.88</v>
      </c>
      <c r="S166" s="64">
        <f t="shared" si="170"/>
        <v>23.200000000000003</v>
      </c>
      <c r="T166" s="64">
        <f t="shared" si="170"/>
        <v>31.1</v>
      </c>
      <c r="U166" s="64">
        <f t="shared" si="170"/>
        <v>28.200000000000003</v>
      </c>
      <c r="V166" s="64">
        <f>V111+V112+V116+V118+V120+V121+V123+V124+V126+V128+V131+V132+V133+V138+V139+V141+V143+V146+V148+V150+V152+V153</f>
        <v>31.5</v>
      </c>
      <c r="W166" s="64">
        <f>W111+W112+W116+W118+W120+W121+W123+W124+W126+W128+W131+W132+W133+W138+W139+W141+W143+W146+W148+W150+W152+W153</f>
        <v>32.200000000000003</v>
      </c>
      <c r="X166" s="64">
        <f>X111+X112+X116+X118+X120+X121+X123+X124+X126+X128+X131+X132+X133+X138+X139+X141+X143+X146+X148+X150+X152+X153</f>
        <v>30.77</v>
      </c>
      <c r="Y166" s="64">
        <f>Y111+Y112+Y116+Y118+Y120+Y121+Y123+Y124+Y126+Y128+Y131+Y132+Y133+Y138+Y139+Y141+Y143+Y146+Y148+Y150+Y152+Y153+Y144</f>
        <v>26.55</v>
      </c>
      <c r="Z166" s="64">
        <f t="shared" ref="Z166:AK166" si="171">Z111+Z112+Z116+Z118+Z120+Z121+Z123+Z124+Z126+Z128+Z131+Z132+Z133+Z138+Z139+Z141+Z143+Z146+Z148+Z150+Z152+Z153+Z144</f>
        <v>32.519999999999996</v>
      </c>
      <c r="AA166" s="64">
        <f t="shared" si="171"/>
        <v>34.83</v>
      </c>
      <c r="AB166" s="64">
        <f t="shared" si="171"/>
        <v>29.07</v>
      </c>
      <c r="AC166" s="64">
        <f t="shared" si="171"/>
        <v>28.019999999999996</v>
      </c>
      <c r="AD166" s="64">
        <f t="shared" si="171"/>
        <v>27.019999999999996</v>
      </c>
      <c r="AE166" s="64">
        <f t="shared" si="171"/>
        <v>28.58</v>
      </c>
      <c r="AF166" s="64">
        <f t="shared" si="171"/>
        <v>30.68</v>
      </c>
      <c r="AG166" s="64">
        <f t="shared" si="171"/>
        <v>30.68</v>
      </c>
      <c r="AH166" s="64">
        <f t="shared" si="171"/>
        <v>30.68</v>
      </c>
      <c r="AI166" s="64">
        <f t="shared" si="171"/>
        <v>30.68</v>
      </c>
      <c r="AJ166" s="64">
        <f t="shared" si="171"/>
        <v>30.68</v>
      </c>
      <c r="AK166" s="64">
        <f t="shared" si="171"/>
        <v>30.68</v>
      </c>
      <c r="AL166" s="64">
        <f t="shared" ref="AL166:AM166" si="172">AL111+AL112+AL116+AL118+AL120+AL121+AL123+AL124+AL126+AL128+AL131+AL132+AL133+AL138+AL139+AL141+AL143+AL146+AL148+AL150+AL152+AL153+AL144</f>
        <v>30.68</v>
      </c>
      <c r="AM166" s="64">
        <f t="shared" si="172"/>
        <v>30.68</v>
      </c>
      <c r="AN166" s="64">
        <f t="shared" ref="AN166" si="173">AN111+AN112+AN116+AN118+AN120+AN121+AN123+AN124+AN126+AN128+AN131+AN132+AN133+AN138+AN139+AN141+AN143+AN146+AN148+AN150+AN152+AN153+AN144</f>
        <v>30.68</v>
      </c>
      <c r="AO166" s="64">
        <f>AO111+AO112+AO116+AO118+AO120+AO121+AO123+AO124+AO126+AO128+AO131+AO132+AO133+AO138+AO139+AO141+AO143+AO146+AO148+AO150+AO152+AO153+AO144</f>
        <v>30.68</v>
      </c>
      <c r="AP166" s="692"/>
      <c r="AQ166" s="692"/>
      <c r="AR166" s="538" t="s">
        <v>418</v>
      </c>
    </row>
    <row r="167" spans="1:48" s="19" customFormat="1">
      <c r="A167" s="21"/>
      <c r="B167" s="636" t="s">
        <v>311</v>
      </c>
      <c r="C167" s="636" t="s">
        <v>314</v>
      </c>
      <c r="D167" s="330" t="s">
        <v>315</v>
      </c>
      <c r="G167" s="294"/>
      <c r="H167" s="294"/>
      <c r="I167" s="294">
        <f>I109+I110+I113+I114+I115+I117+I119+I122+I125+I127+I129+I130+I137+I140+I142+I145+I147+I149+I151</f>
        <v>189.82999999999998</v>
      </c>
      <c r="J167" s="294">
        <f t="shared" ref="J167:AJ167" si="174">J109+J110+J113+J114+J115+J117+J119+J122+J125+J127+J129+J130+J137+J140+J142+J145+J147+J149+J151</f>
        <v>190.2437323</v>
      </c>
      <c r="K167" s="294">
        <f t="shared" si="174"/>
        <v>183.23999999999998</v>
      </c>
      <c r="L167" s="294">
        <f t="shared" si="174"/>
        <v>191.20567744999997</v>
      </c>
      <c r="M167" s="294">
        <f t="shared" si="174"/>
        <v>181.64329082</v>
      </c>
      <c r="N167" s="294">
        <f t="shared" si="174"/>
        <v>175.59545953</v>
      </c>
      <c r="O167" s="294">
        <f t="shared" si="174"/>
        <v>161.47</v>
      </c>
      <c r="P167" s="294">
        <f t="shared" si="174"/>
        <v>132.49</v>
      </c>
      <c r="Q167" s="294">
        <f t="shared" si="174"/>
        <v>133.46</v>
      </c>
      <c r="R167" s="294">
        <f t="shared" si="174"/>
        <v>141.44</v>
      </c>
      <c r="S167" s="294">
        <f t="shared" si="174"/>
        <v>156.22999999999999</v>
      </c>
      <c r="T167" s="294">
        <f t="shared" si="174"/>
        <v>160.78</v>
      </c>
      <c r="U167" s="294">
        <f t="shared" si="174"/>
        <v>158.84</v>
      </c>
      <c r="V167" s="294">
        <f t="shared" si="174"/>
        <v>166.91</v>
      </c>
      <c r="W167" s="294">
        <f t="shared" si="174"/>
        <v>160.70240770999999</v>
      </c>
      <c r="X167" s="294">
        <f t="shared" si="174"/>
        <v>162.72</v>
      </c>
      <c r="Y167" s="294">
        <f t="shared" si="174"/>
        <v>156.13</v>
      </c>
      <c r="Z167" s="294">
        <f t="shared" si="174"/>
        <v>148.42743945000001</v>
      </c>
      <c r="AA167" s="294">
        <f t="shared" si="174"/>
        <v>162.11000000000001</v>
      </c>
      <c r="AB167" s="294">
        <f t="shared" si="174"/>
        <v>137.82999999999998</v>
      </c>
      <c r="AC167" s="294">
        <f t="shared" si="174"/>
        <v>140.82999999999998</v>
      </c>
      <c r="AD167" s="294">
        <f t="shared" si="174"/>
        <v>143.88999999999999</v>
      </c>
      <c r="AE167" s="294">
        <f t="shared" si="174"/>
        <v>150.47356137</v>
      </c>
      <c r="AF167" s="294">
        <f t="shared" si="174"/>
        <v>160.83865578999999</v>
      </c>
      <c r="AG167" s="294">
        <f t="shared" si="174"/>
        <v>158.95812603000002</v>
      </c>
      <c r="AH167" s="294">
        <f t="shared" si="174"/>
        <v>160.70115352999997</v>
      </c>
      <c r="AI167" s="294">
        <f t="shared" si="174"/>
        <v>160.56138480999999</v>
      </c>
      <c r="AJ167" s="294">
        <f t="shared" si="174"/>
        <v>165.26226785</v>
      </c>
      <c r="AK167" s="294">
        <f>AK109+AK110+AK113+AK114+AK115+AK117+AK119+AK122+AK125+AK127+AK129+AK130+AK137+AK140+AK142+AK145+AK147+AK149+AK151</f>
        <v>164.8318366</v>
      </c>
      <c r="AL167" s="294">
        <f>AL109+AL110+AL113+AL114+AL115+AL117+AL119+AL122+AL125+AL127+AL129+AL130+AL137+AL140+AL142+AL145+AL147+AL149+AL151</f>
        <v>157.89218817</v>
      </c>
      <c r="AM167" s="294">
        <f>AM109+AM110+AM113+AM114+AM115+AM117+AM119+AM122+AM125+AM127+AM129+AM130+AM137+AM140+AM142+AM145+AM147+AM149+AM151</f>
        <v>161.77627197000001</v>
      </c>
      <c r="AN167" s="294">
        <f>AN109+AN110+AN113+AN114+AN115+AN117+AN119+AN122+AN125+AN127+AN129+AN130+AN137+AN140+AN142+AN145+AN147+AN149+AN151</f>
        <v>156.28585520999999</v>
      </c>
      <c r="AO167" s="294">
        <f>AO109+AO110+AO113+AO114+AO115+AO117+AO119+AO122+AO125+AO127+AO129+AO130+AO137+AO140+AO142+AO145+AO147+AO149+AO151</f>
        <v>157.00572227000001</v>
      </c>
      <c r="AP167" s="695"/>
      <c r="AQ167" s="695"/>
      <c r="AR167" s="538" t="s">
        <v>419</v>
      </c>
    </row>
    <row r="168" spans="1:48" s="19" customFormat="1">
      <c r="A168" s="21"/>
      <c r="B168" s="331" t="s">
        <v>92</v>
      </c>
      <c r="C168" s="636" t="s">
        <v>312</v>
      </c>
      <c r="D168" s="330" t="s">
        <v>316</v>
      </c>
      <c r="G168" s="64"/>
      <c r="H168" s="64"/>
      <c r="I168" s="64">
        <f t="shared" ref="I168:AJ168" si="175">I107+I108</f>
        <v>0.8</v>
      </c>
      <c r="J168" s="64">
        <f t="shared" si="175"/>
        <v>0.64030200000000004</v>
      </c>
      <c r="K168" s="64">
        <f t="shared" si="175"/>
        <v>0.60816493999999999</v>
      </c>
      <c r="L168" s="64">
        <f t="shared" si="175"/>
        <v>1.1024456499999999</v>
      </c>
      <c r="M168" s="64">
        <f t="shared" si="175"/>
        <v>1.3</v>
      </c>
      <c r="N168" s="64">
        <f t="shared" si="175"/>
        <v>1.56</v>
      </c>
      <c r="O168" s="64">
        <f t="shared" si="175"/>
        <v>1.3</v>
      </c>
      <c r="P168" s="64">
        <f t="shared" si="175"/>
        <v>1.45</v>
      </c>
      <c r="Q168" s="64">
        <f t="shared" si="175"/>
        <v>1.3585938099999999</v>
      </c>
      <c r="R168" s="64">
        <f t="shared" si="175"/>
        <v>1.12617382</v>
      </c>
      <c r="S168" s="64">
        <f t="shared" si="175"/>
        <v>1.4</v>
      </c>
      <c r="T168" s="64">
        <f t="shared" si="175"/>
        <v>1.02</v>
      </c>
      <c r="U168" s="64">
        <f t="shared" si="175"/>
        <v>1.45</v>
      </c>
      <c r="V168" s="64">
        <f t="shared" si="175"/>
        <v>1.4500000000000002</v>
      </c>
      <c r="W168" s="64">
        <f t="shared" si="175"/>
        <v>1.4</v>
      </c>
      <c r="X168" s="64">
        <f t="shared" si="175"/>
        <v>1.2</v>
      </c>
      <c r="Y168" s="64">
        <f t="shared" si="175"/>
        <v>1.4</v>
      </c>
      <c r="Z168" s="64">
        <f t="shared" si="175"/>
        <v>1.2999999999999998</v>
      </c>
      <c r="AA168" s="64">
        <f t="shared" si="175"/>
        <v>1.35</v>
      </c>
      <c r="AB168" s="64">
        <f t="shared" si="175"/>
        <v>1.2</v>
      </c>
      <c r="AC168" s="64">
        <f t="shared" si="175"/>
        <v>1.45</v>
      </c>
      <c r="AD168" s="64">
        <f t="shared" si="175"/>
        <v>1.1000000000000001</v>
      </c>
      <c r="AE168" s="64">
        <f t="shared" si="175"/>
        <v>1.2</v>
      </c>
      <c r="AF168" s="64">
        <f t="shared" si="175"/>
        <v>1.4</v>
      </c>
      <c r="AG168" s="64">
        <f t="shared" si="175"/>
        <v>1.4</v>
      </c>
      <c r="AH168" s="64">
        <f t="shared" si="175"/>
        <v>1.35</v>
      </c>
      <c r="AI168" s="64">
        <f t="shared" si="175"/>
        <v>1.2</v>
      </c>
      <c r="AJ168" s="64">
        <f t="shared" si="175"/>
        <v>1.1499999999999999</v>
      </c>
      <c r="AK168" s="64">
        <f>AK107+AK108</f>
        <v>1</v>
      </c>
      <c r="AL168" s="64">
        <f>AL107+AL108</f>
        <v>1.05</v>
      </c>
      <c r="AM168" s="64">
        <f>AM107+AM108</f>
        <v>1.05</v>
      </c>
      <c r="AN168" s="64">
        <f>AN107+AN108</f>
        <v>1</v>
      </c>
      <c r="AO168" s="64">
        <f>AO107+AO108</f>
        <v>1.2</v>
      </c>
      <c r="AP168" s="692"/>
      <c r="AQ168" s="692"/>
      <c r="AR168" s="538" t="s">
        <v>420</v>
      </c>
    </row>
    <row r="169" spans="1:48" s="19" customFormat="1" ht="15" thickBot="1">
      <c r="A169" s="21"/>
      <c r="B169" s="331" t="s">
        <v>321</v>
      </c>
      <c r="C169" s="636" t="s">
        <v>280</v>
      </c>
      <c r="D169" s="330" t="s">
        <v>322</v>
      </c>
      <c r="G169" s="65"/>
      <c r="H169" s="65"/>
      <c r="I169" s="65">
        <f t="shared" ref="I169:Q169" si="176">SUM(I155:I160)</f>
        <v>28.7</v>
      </c>
      <c r="J169" s="65">
        <f t="shared" si="176"/>
        <v>23.6</v>
      </c>
      <c r="K169" s="65">
        <f t="shared" si="176"/>
        <v>19.850000000000001</v>
      </c>
      <c r="L169" s="65">
        <f t="shared" si="176"/>
        <v>23.27</v>
      </c>
      <c r="M169" s="65">
        <f t="shared" si="176"/>
        <v>29.57</v>
      </c>
      <c r="N169" s="65">
        <f t="shared" si="176"/>
        <v>29.259999999999998</v>
      </c>
      <c r="O169" s="65">
        <f t="shared" si="176"/>
        <v>26.774999999999999</v>
      </c>
      <c r="P169" s="65">
        <f t="shared" si="176"/>
        <v>26.65</v>
      </c>
      <c r="Q169" s="65">
        <f t="shared" si="176"/>
        <v>22.6</v>
      </c>
      <c r="R169" s="65">
        <f>SUM(R155:R160)</f>
        <v>23.2</v>
      </c>
      <c r="S169" s="65">
        <f>SUM(S155:S160)</f>
        <v>24.7</v>
      </c>
      <c r="T169" s="65">
        <f t="shared" ref="T169:AD169" si="177">SUM(T155:T160)</f>
        <v>21.72</v>
      </c>
      <c r="U169" s="65">
        <f t="shared" si="177"/>
        <v>26.2</v>
      </c>
      <c r="V169" s="65">
        <f t="shared" si="177"/>
        <v>28.39</v>
      </c>
      <c r="W169" s="65">
        <f t="shared" si="177"/>
        <v>27.66</v>
      </c>
      <c r="X169" s="65">
        <f t="shared" si="177"/>
        <v>27.65</v>
      </c>
      <c r="Y169" s="65">
        <f t="shared" si="177"/>
        <v>24.856999999999999</v>
      </c>
      <c r="Z169" s="65">
        <f t="shared" si="177"/>
        <v>19.12</v>
      </c>
      <c r="AA169" s="65">
        <f t="shared" si="177"/>
        <v>25.87</v>
      </c>
      <c r="AB169" s="65">
        <f t="shared" si="177"/>
        <v>26.552</v>
      </c>
      <c r="AC169" s="65">
        <f t="shared" si="177"/>
        <v>26.995000000000001</v>
      </c>
      <c r="AD169" s="65">
        <f t="shared" si="177"/>
        <v>25.28</v>
      </c>
      <c r="AE169" s="65">
        <f t="shared" ref="AE169:AK169" si="178">SUM(AE155:AE160)</f>
        <v>20.844999999999999</v>
      </c>
      <c r="AF169" s="65">
        <f t="shared" si="178"/>
        <v>26.515000000000001</v>
      </c>
      <c r="AG169" s="65">
        <f t="shared" si="178"/>
        <v>26.67</v>
      </c>
      <c r="AH169" s="65">
        <f t="shared" si="178"/>
        <v>27.355</v>
      </c>
      <c r="AI169" s="65">
        <f t="shared" si="178"/>
        <v>26.855</v>
      </c>
      <c r="AJ169" s="65">
        <f t="shared" si="178"/>
        <v>26.935000000000002</v>
      </c>
      <c r="AK169" s="65">
        <f t="shared" si="178"/>
        <v>26.725000000000001</v>
      </c>
      <c r="AL169" s="65">
        <f t="shared" ref="AL169:AM169" si="179">SUM(AL155:AL160)</f>
        <v>25.855</v>
      </c>
      <c r="AM169" s="65">
        <f t="shared" si="179"/>
        <v>27.355</v>
      </c>
      <c r="AN169" s="65">
        <f t="shared" ref="AN169" si="180">SUM(AN155:AN160)</f>
        <v>26.855</v>
      </c>
      <c r="AO169" s="65">
        <f>SUM(AO155:AO160)</f>
        <v>27.355</v>
      </c>
      <c r="AP169" s="692"/>
      <c r="AQ169" s="692"/>
      <c r="AR169" s="538" t="s">
        <v>421</v>
      </c>
    </row>
    <row r="170" spans="1:48" s="19" customFormat="1">
      <c r="A170" s="28"/>
      <c r="B170" s="369" t="s">
        <v>92</v>
      </c>
      <c r="C170" s="659" t="s">
        <v>323</v>
      </c>
      <c r="D170" s="329" t="s">
        <v>313</v>
      </c>
      <c r="E170" s="368">
        <f t="shared" ref="E170:T170" si="181">SUM(E108:E133)</f>
        <v>156.68</v>
      </c>
      <c r="F170" s="340">
        <f t="shared" si="181"/>
        <v>166.56891165000002</v>
      </c>
      <c r="G170" s="335">
        <f t="shared" si="181"/>
        <v>185.92871692</v>
      </c>
      <c r="H170" s="335">
        <f t="shared" si="181"/>
        <v>177.00768496999999</v>
      </c>
      <c r="I170" s="335">
        <f t="shared" si="181"/>
        <v>187.92999999999998</v>
      </c>
      <c r="J170" s="335">
        <f t="shared" si="181"/>
        <v>193.84373229999997</v>
      </c>
      <c r="K170" s="335">
        <f t="shared" si="181"/>
        <v>198.58999999999997</v>
      </c>
      <c r="L170" s="335">
        <f t="shared" si="181"/>
        <v>191.32567744999997</v>
      </c>
      <c r="M170" s="335">
        <f t="shared" si="181"/>
        <v>184.80329082</v>
      </c>
      <c r="N170" s="335">
        <f t="shared" si="181"/>
        <v>176.30545953000001</v>
      </c>
      <c r="O170" s="335">
        <f t="shared" si="181"/>
        <v>172.35000000000002</v>
      </c>
      <c r="P170" s="335">
        <f t="shared" si="181"/>
        <v>142.49</v>
      </c>
      <c r="Q170" s="335">
        <f t="shared" si="181"/>
        <v>140.31</v>
      </c>
      <c r="R170" s="335">
        <f t="shared" si="181"/>
        <v>160.07</v>
      </c>
      <c r="S170" s="335">
        <f t="shared" si="181"/>
        <v>176.33</v>
      </c>
      <c r="T170" s="335">
        <f t="shared" si="181"/>
        <v>191.43000000000004</v>
      </c>
      <c r="U170" s="335">
        <f>SUM(U107:U133)</f>
        <v>188.79000000000005</v>
      </c>
      <c r="V170" s="335">
        <f>SUM(V108:V133)</f>
        <v>199.20999999999998</v>
      </c>
      <c r="W170" s="335">
        <f>SUM(W108:W133)</f>
        <v>180.70240770999999</v>
      </c>
      <c r="X170" s="335">
        <f>SUM(X108:X133)</f>
        <v>182.49</v>
      </c>
      <c r="Y170" s="335">
        <f>SUM(Y108:Y133)</f>
        <v>164.48000000000002</v>
      </c>
      <c r="Z170" s="335">
        <f t="shared" ref="Z170:AJ170" si="182">SUM(Z108:Z133)</f>
        <v>166.64743945000001</v>
      </c>
      <c r="AA170" s="335">
        <f t="shared" si="182"/>
        <v>197.68999999999997</v>
      </c>
      <c r="AB170" s="335">
        <f t="shared" si="182"/>
        <v>165.49999999999997</v>
      </c>
      <c r="AC170" s="335">
        <f t="shared" si="182"/>
        <v>169.70000000000002</v>
      </c>
      <c r="AD170" s="335">
        <f t="shared" si="182"/>
        <v>171.50999999999996</v>
      </c>
      <c r="AE170" s="335">
        <f t="shared" si="182"/>
        <v>179.75356137</v>
      </c>
      <c r="AF170" s="335">
        <f t="shared" si="182"/>
        <v>192.41865578999997</v>
      </c>
      <c r="AG170" s="335">
        <f t="shared" si="182"/>
        <v>190.53812602999997</v>
      </c>
      <c r="AH170" s="335">
        <f t="shared" si="182"/>
        <v>192.23115352999994</v>
      </c>
      <c r="AI170" s="335">
        <f t="shared" si="182"/>
        <v>191.94138480999996</v>
      </c>
      <c r="AJ170" s="335">
        <f t="shared" si="182"/>
        <v>196.59226784999996</v>
      </c>
      <c r="AK170" s="335">
        <f>SUM(AK108:AK133)</f>
        <v>195.91183659999999</v>
      </c>
      <c r="AL170" s="335">
        <f>SUM(AL108:AL133)</f>
        <v>189.02218816999996</v>
      </c>
      <c r="AM170" s="335">
        <f>SUM(AM108:AM133)</f>
        <v>192.90627196999998</v>
      </c>
      <c r="AN170" s="335">
        <f>SUM(AN108:AN133)</f>
        <v>187.36585520999998</v>
      </c>
      <c r="AO170" s="335">
        <f>SUM(AO108:AO133)</f>
        <v>188.28572226999998</v>
      </c>
      <c r="AP170" s="704"/>
      <c r="AQ170" s="704"/>
      <c r="AR170" s="538" t="s">
        <v>422</v>
      </c>
      <c r="AS170" s="358"/>
    </row>
    <row r="171" spans="1:48" s="19" customFormat="1">
      <c r="A171" s="28"/>
      <c r="B171" s="661" t="s">
        <v>311</v>
      </c>
      <c r="C171" s="636" t="s">
        <v>324</v>
      </c>
      <c r="D171" s="330" t="s">
        <v>313</v>
      </c>
      <c r="G171" s="633"/>
      <c r="H171" s="633"/>
      <c r="I171" s="633">
        <f t="shared" ref="I171:T171" si="183">SUM(I109:I111,I137:I139,I155,I159,I160,I107,I108,I134)</f>
        <v>186.57</v>
      </c>
      <c r="J171" s="633">
        <f t="shared" si="183"/>
        <v>180.2840343</v>
      </c>
      <c r="K171" s="633">
        <f t="shared" si="183"/>
        <v>184.44816493999997</v>
      </c>
      <c r="L171" s="633">
        <f t="shared" si="183"/>
        <v>182.09812309999998</v>
      </c>
      <c r="M171" s="633">
        <f t="shared" si="183"/>
        <v>170.64329082</v>
      </c>
      <c r="N171" s="633">
        <f t="shared" si="183"/>
        <v>161.30545953000001</v>
      </c>
      <c r="O171" s="633">
        <f t="shared" si="183"/>
        <v>157.29500000000002</v>
      </c>
      <c r="P171" s="633">
        <f t="shared" si="183"/>
        <v>129.58999999999997</v>
      </c>
      <c r="Q171" s="633">
        <f t="shared" si="183"/>
        <v>127.31859380999998</v>
      </c>
      <c r="R171" s="633">
        <f t="shared" si="183"/>
        <v>131.86617382</v>
      </c>
      <c r="S171" s="633">
        <f t="shared" si="183"/>
        <v>149.82999999999998</v>
      </c>
      <c r="T171" s="633">
        <f t="shared" si="183"/>
        <v>159.02000000000004</v>
      </c>
      <c r="U171" s="633">
        <f t="shared" ref="U171:AI171" si="184">SUM(U109:U112,U137:U139,U155,U159,U160,U107,U108,U134)</f>
        <v>157.19</v>
      </c>
      <c r="V171" s="633">
        <f>SUM(V109:V112,V137:V139,V155,V159,V160,V107,V108,V134)</f>
        <v>163.95000000000002</v>
      </c>
      <c r="W171" s="633">
        <f t="shared" si="184"/>
        <v>162.36240770999999</v>
      </c>
      <c r="X171" s="633">
        <f t="shared" si="184"/>
        <v>162.32</v>
      </c>
      <c r="Y171" s="633">
        <f t="shared" si="184"/>
        <v>153.23699999999999</v>
      </c>
      <c r="Z171" s="633">
        <f t="shared" si="184"/>
        <v>146.16743944999999</v>
      </c>
      <c r="AA171" s="633">
        <f t="shared" si="184"/>
        <v>161.66</v>
      </c>
      <c r="AB171" s="633">
        <f t="shared" si="184"/>
        <v>143.65199999999999</v>
      </c>
      <c r="AC171" s="633">
        <f t="shared" si="184"/>
        <v>146.315</v>
      </c>
      <c r="AD171" s="633">
        <f t="shared" si="184"/>
        <v>146.29</v>
      </c>
      <c r="AE171" s="633">
        <f t="shared" si="184"/>
        <v>147.89856137000001</v>
      </c>
      <c r="AF171" s="633">
        <f t="shared" si="184"/>
        <v>159.43365578999999</v>
      </c>
      <c r="AG171" s="633">
        <f t="shared" si="184"/>
        <v>158.70812603000002</v>
      </c>
      <c r="AH171" s="633">
        <f t="shared" si="184"/>
        <v>160.58615352999996</v>
      </c>
      <c r="AI171" s="633">
        <f t="shared" si="184"/>
        <v>159.29638480999998</v>
      </c>
      <c r="AJ171" s="633">
        <f t="shared" ref="AJ171:AN171" si="185">SUM(AJ109:AJ112,AJ137:AJ139,AJ155,AJ159,AJ160,AJ107,AJ108,AJ134)</f>
        <v>164.02726785000002</v>
      </c>
      <c r="AK171" s="633">
        <f t="shared" si="185"/>
        <v>162.03683660000002</v>
      </c>
      <c r="AL171" s="633">
        <f t="shared" si="185"/>
        <v>154.27718816999999</v>
      </c>
      <c r="AM171" s="633">
        <f t="shared" si="185"/>
        <v>159.66127197</v>
      </c>
      <c r="AN171" s="633">
        <f t="shared" si="185"/>
        <v>153.62085521</v>
      </c>
      <c r="AO171" s="633">
        <f>SUM(AO109:AO112,AO137:AO139,AO155,AO159,AO160,AO107,AO108,AO134)</f>
        <v>155.04072227</v>
      </c>
      <c r="AP171" s="698"/>
      <c r="AQ171" s="698"/>
      <c r="AR171" s="538" t="s">
        <v>423</v>
      </c>
      <c r="AS171" s="358"/>
    </row>
    <row r="172" spans="1:48" s="19" customFormat="1">
      <c r="A172" s="28"/>
      <c r="B172" s="370" t="s">
        <v>311</v>
      </c>
      <c r="C172" s="341" t="s">
        <v>325</v>
      </c>
      <c r="D172" s="342" t="s">
        <v>313</v>
      </c>
      <c r="G172" s="343"/>
      <c r="H172" s="343"/>
      <c r="I172" s="343"/>
      <c r="J172" s="343"/>
      <c r="K172" s="343"/>
      <c r="L172" s="343"/>
      <c r="M172" s="343"/>
      <c r="N172" s="343"/>
      <c r="O172" s="343"/>
      <c r="P172" s="343"/>
      <c r="Q172" s="343"/>
      <c r="R172" s="343">
        <f t="shared" ref="R172:AJ172" si="186">R171-R107-R108</f>
        <v>130.74</v>
      </c>
      <c r="S172" s="343">
        <f t="shared" si="186"/>
        <v>148.42999999999998</v>
      </c>
      <c r="T172" s="343">
        <f t="shared" si="186"/>
        <v>158.00000000000003</v>
      </c>
      <c r="U172" s="343">
        <f t="shared" si="186"/>
        <v>155.74</v>
      </c>
      <c r="V172" s="343">
        <f t="shared" si="186"/>
        <v>162.5</v>
      </c>
      <c r="W172" s="343">
        <f t="shared" si="186"/>
        <v>160.96240770999998</v>
      </c>
      <c r="X172" s="343">
        <f t="shared" si="186"/>
        <v>161.12</v>
      </c>
      <c r="Y172" s="343">
        <f t="shared" si="186"/>
        <v>151.83699999999999</v>
      </c>
      <c r="Z172" s="343">
        <f t="shared" si="186"/>
        <v>144.86743945000001</v>
      </c>
      <c r="AA172" s="343">
        <f t="shared" si="186"/>
        <v>160.31</v>
      </c>
      <c r="AB172" s="343">
        <f t="shared" si="186"/>
        <v>142.452</v>
      </c>
      <c r="AC172" s="343">
        <f t="shared" si="186"/>
        <v>144.86500000000001</v>
      </c>
      <c r="AD172" s="343">
        <f t="shared" si="186"/>
        <v>145.19</v>
      </c>
      <c r="AE172" s="343">
        <f t="shared" si="186"/>
        <v>146.69856137000002</v>
      </c>
      <c r="AF172" s="343">
        <f t="shared" si="186"/>
        <v>158.03365578999998</v>
      </c>
      <c r="AG172" s="343">
        <f t="shared" si="186"/>
        <v>157.30812603000001</v>
      </c>
      <c r="AH172" s="343">
        <f t="shared" si="186"/>
        <v>159.23615352999997</v>
      </c>
      <c r="AI172" s="343">
        <f t="shared" si="186"/>
        <v>158.09638480999999</v>
      </c>
      <c r="AJ172" s="343">
        <f t="shared" si="186"/>
        <v>162.87726785000001</v>
      </c>
      <c r="AK172" s="343">
        <f>AK171-AK107-AK108</f>
        <v>161.03683660000002</v>
      </c>
      <c r="AL172" s="343">
        <f>AL171-AL107-AL108</f>
        <v>153.22718817000001</v>
      </c>
      <c r="AM172" s="343">
        <f>AM171-AM107-AM108</f>
        <v>158.61127197000002</v>
      </c>
      <c r="AN172" s="343">
        <f>AN171-AN107-AN108</f>
        <v>152.62085521</v>
      </c>
      <c r="AO172" s="343">
        <f>AO171-AO107-AO108</f>
        <v>153.84072227000001</v>
      </c>
      <c r="AP172" s="707"/>
      <c r="AQ172" s="707"/>
      <c r="AR172" s="538" t="s">
        <v>424</v>
      </c>
      <c r="AS172" s="358"/>
    </row>
    <row r="173" spans="1:48" s="19" customFormat="1">
      <c r="A173" s="28"/>
      <c r="B173" s="661" t="s">
        <v>311</v>
      </c>
      <c r="C173" s="636" t="s">
        <v>326</v>
      </c>
      <c r="D173" s="330" t="s">
        <v>313</v>
      </c>
      <c r="G173" s="633"/>
      <c r="H173" s="633"/>
      <c r="I173" s="633">
        <f t="shared" ref="I173:AJ173" si="187">I113+I114</f>
        <v>45.760000000000005</v>
      </c>
      <c r="J173" s="633">
        <f t="shared" si="187"/>
        <v>46.2</v>
      </c>
      <c r="K173" s="633">
        <f t="shared" si="187"/>
        <v>46.2</v>
      </c>
      <c r="L173" s="633">
        <f t="shared" si="187"/>
        <v>46.2</v>
      </c>
      <c r="M173" s="633">
        <f t="shared" si="187"/>
        <v>44</v>
      </c>
      <c r="N173" s="633">
        <f t="shared" si="187"/>
        <v>44</v>
      </c>
      <c r="O173" s="633">
        <f t="shared" si="187"/>
        <v>33</v>
      </c>
      <c r="P173" s="633">
        <f t="shared" si="187"/>
        <v>30</v>
      </c>
      <c r="Q173" s="633">
        <f t="shared" si="187"/>
        <v>31</v>
      </c>
      <c r="R173" s="633">
        <f t="shared" si="187"/>
        <v>35</v>
      </c>
      <c r="S173" s="633">
        <f t="shared" si="187"/>
        <v>39</v>
      </c>
      <c r="T173" s="633">
        <f t="shared" si="187"/>
        <v>40</v>
      </c>
      <c r="U173" s="633">
        <f t="shared" si="187"/>
        <v>41</v>
      </c>
      <c r="V173" s="633">
        <f t="shared" si="187"/>
        <v>43</v>
      </c>
      <c r="W173" s="633">
        <f t="shared" si="187"/>
        <v>41</v>
      </c>
      <c r="X173" s="633">
        <f t="shared" si="187"/>
        <v>42</v>
      </c>
      <c r="Y173" s="633">
        <f t="shared" si="187"/>
        <v>40</v>
      </c>
      <c r="Z173" s="633">
        <f t="shared" si="187"/>
        <v>39.4</v>
      </c>
      <c r="AA173" s="633">
        <f t="shared" si="187"/>
        <v>43</v>
      </c>
      <c r="AB173" s="633">
        <f t="shared" si="187"/>
        <v>36</v>
      </c>
      <c r="AC173" s="633">
        <f t="shared" si="187"/>
        <v>36</v>
      </c>
      <c r="AD173" s="633">
        <f t="shared" si="187"/>
        <v>36</v>
      </c>
      <c r="AE173" s="633">
        <f t="shared" si="187"/>
        <v>36</v>
      </c>
      <c r="AF173" s="633">
        <f t="shared" si="187"/>
        <v>42</v>
      </c>
      <c r="AG173" s="633">
        <f t="shared" si="187"/>
        <v>41</v>
      </c>
      <c r="AH173" s="633">
        <f t="shared" si="187"/>
        <v>41.5</v>
      </c>
      <c r="AI173" s="633">
        <f t="shared" si="187"/>
        <v>42</v>
      </c>
      <c r="AJ173" s="633">
        <f t="shared" si="187"/>
        <v>42</v>
      </c>
      <c r="AK173" s="633">
        <f>AK113+AK114</f>
        <v>42</v>
      </c>
      <c r="AL173" s="633">
        <f>AL113+AL114</f>
        <v>42</v>
      </c>
      <c r="AM173" s="633">
        <f>AM113+AM114</f>
        <v>42</v>
      </c>
      <c r="AN173" s="633">
        <f>AN113+AN114</f>
        <v>42</v>
      </c>
      <c r="AO173" s="633">
        <f>AO113+AO114</f>
        <v>42</v>
      </c>
      <c r="AP173" s="698"/>
      <c r="AQ173" s="698"/>
      <c r="AR173" s="538" t="s">
        <v>425</v>
      </c>
      <c r="AS173" s="358"/>
    </row>
    <row r="174" spans="1:48" s="19" customFormat="1">
      <c r="A174" s="28"/>
      <c r="B174" s="661" t="s">
        <v>311</v>
      </c>
      <c r="C174" s="636" t="s">
        <v>327</v>
      </c>
      <c r="D174" s="330" t="s">
        <v>313</v>
      </c>
      <c r="G174" s="633"/>
      <c r="H174" s="633"/>
      <c r="I174" s="633">
        <f t="shared" ref="I174:U174" si="188">I119+I120+I142+I143+I156</f>
        <v>2.4</v>
      </c>
      <c r="J174" s="633">
        <f t="shared" si="188"/>
        <v>1.8</v>
      </c>
      <c r="K174" s="633">
        <f t="shared" si="188"/>
        <v>2.4</v>
      </c>
      <c r="L174" s="633">
        <f t="shared" si="188"/>
        <v>2.4</v>
      </c>
      <c r="M174" s="633">
        <f t="shared" si="188"/>
        <v>4.33</v>
      </c>
      <c r="N174" s="633">
        <f t="shared" si="188"/>
        <v>4.2</v>
      </c>
      <c r="O174" s="633">
        <f t="shared" si="188"/>
        <v>3</v>
      </c>
      <c r="P174" s="633">
        <f t="shared" si="188"/>
        <v>1.8</v>
      </c>
      <c r="Q174" s="633">
        <f t="shared" si="188"/>
        <v>1.8</v>
      </c>
      <c r="R174" s="633">
        <f t="shared" si="188"/>
        <v>1.8</v>
      </c>
      <c r="S174" s="633">
        <f t="shared" si="188"/>
        <v>1.8</v>
      </c>
      <c r="T174" s="633">
        <f t="shared" si="188"/>
        <v>1.8</v>
      </c>
      <c r="U174" s="633">
        <f t="shared" si="188"/>
        <v>2.4</v>
      </c>
      <c r="V174" s="633">
        <f>V119+V120+V142+V143+V156+V121</f>
        <v>2.6</v>
      </c>
      <c r="W174" s="633">
        <f>W119+W120+W142+W143+W156+W121</f>
        <v>4.2</v>
      </c>
      <c r="X174" s="633">
        <f>X119+X120+X142+X143+X156+X121</f>
        <v>4.2</v>
      </c>
      <c r="Y174" s="633">
        <f>Y119+Y120+Y142+Y143+Y144+Y156+Y121</f>
        <v>4.4000000000000004</v>
      </c>
      <c r="Z174" s="633">
        <f t="shared" ref="Z174:AJ174" si="189">Z119+Z120+Z142+Z143+Z144+Z156+Z121</f>
        <v>5</v>
      </c>
      <c r="AA174" s="633">
        <f t="shared" si="189"/>
        <v>4.2</v>
      </c>
      <c r="AB174" s="633">
        <f t="shared" si="189"/>
        <v>4.2</v>
      </c>
      <c r="AC174" s="633">
        <f t="shared" si="189"/>
        <v>3.5999999999999996</v>
      </c>
      <c r="AD174" s="633">
        <f t="shared" si="189"/>
        <v>4.2</v>
      </c>
      <c r="AE174" s="633">
        <f t="shared" si="189"/>
        <v>4.2</v>
      </c>
      <c r="AF174" s="633">
        <f t="shared" si="189"/>
        <v>4.2</v>
      </c>
      <c r="AG174" s="633">
        <f t="shared" si="189"/>
        <v>4.2</v>
      </c>
      <c r="AH174" s="633">
        <f t="shared" si="189"/>
        <v>4.2</v>
      </c>
      <c r="AI174" s="633">
        <f t="shared" si="189"/>
        <v>4.2</v>
      </c>
      <c r="AJ174" s="633">
        <f t="shared" si="189"/>
        <v>4.2</v>
      </c>
      <c r="AK174" s="633">
        <f>AK119+AK120+AK142+AK143+AK144+AK156+AK121</f>
        <v>4.2</v>
      </c>
      <c r="AL174" s="633">
        <f>AL119+AL120+AL142+AL143+AL144+AL156+AL121</f>
        <v>4.2</v>
      </c>
      <c r="AM174" s="633">
        <f>AM119+AM120+AM142+AM143+AM144+AM156+AM121</f>
        <v>4.2</v>
      </c>
      <c r="AN174" s="633">
        <f>AN119+AN120+AN142+AN143+AN144+AN156+AN121</f>
        <v>4.2</v>
      </c>
      <c r="AO174" s="633">
        <f>AO119+AO120+AO142+AO143+AO144+AO156+AO121</f>
        <v>4.2</v>
      </c>
      <c r="AP174" s="698"/>
      <c r="AQ174" s="698"/>
      <c r="AR174" s="538" t="s">
        <v>426</v>
      </c>
      <c r="AS174" s="358"/>
    </row>
    <row r="175" spans="1:48" s="19" customFormat="1" ht="12" customHeight="1">
      <c r="A175" s="28"/>
      <c r="B175" s="661" t="s">
        <v>311</v>
      </c>
      <c r="C175" s="636" t="s">
        <v>328</v>
      </c>
      <c r="D175" s="330" t="s">
        <v>313</v>
      </c>
      <c r="G175" s="633"/>
      <c r="H175" s="633"/>
      <c r="I175" s="633">
        <f t="shared" ref="I175:AK175" si="190">I122+I123+I135+I145+I146+I157</f>
        <v>3.8</v>
      </c>
      <c r="J175" s="633">
        <f t="shared" si="190"/>
        <v>6.4</v>
      </c>
      <c r="K175" s="633">
        <f t="shared" si="190"/>
        <v>5.6</v>
      </c>
      <c r="L175" s="633">
        <f t="shared" si="190"/>
        <v>6.4</v>
      </c>
      <c r="M175" s="633">
        <f t="shared" si="190"/>
        <v>15</v>
      </c>
      <c r="N175" s="633">
        <f t="shared" si="190"/>
        <v>15</v>
      </c>
      <c r="O175" s="633">
        <f t="shared" si="190"/>
        <v>14.16</v>
      </c>
      <c r="P175" s="633">
        <f t="shared" si="190"/>
        <v>10.5</v>
      </c>
      <c r="Q175" s="633">
        <f t="shared" si="190"/>
        <v>10</v>
      </c>
      <c r="R175" s="633">
        <f t="shared" si="190"/>
        <v>14.98</v>
      </c>
      <c r="S175" s="633">
        <f t="shared" si="190"/>
        <v>15.5</v>
      </c>
      <c r="T175" s="633">
        <f t="shared" si="190"/>
        <v>14.4</v>
      </c>
      <c r="U175" s="633">
        <f t="shared" si="190"/>
        <v>15.6</v>
      </c>
      <c r="V175" s="633">
        <f t="shared" si="190"/>
        <v>17.5</v>
      </c>
      <c r="W175" s="633">
        <f t="shared" si="190"/>
        <v>15</v>
      </c>
      <c r="X175" s="633">
        <f t="shared" si="190"/>
        <v>15.7</v>
      </c>
      <c r="Y175" s="633">
        <f t="shared" si="190"/>
        <v>11.3</v>
      </c>
      <c r="Z175" s="633">
        <f t="shared" si="190"/>
        <v>13.2</v>
      </c>
      <c r="AA175" s="633">
        <f t="shared" si="190"/>
        <v>16.5</v>
      </c>
      <c r="AB175" s="633">
        <f t="shared" si="190"/>
        <v>12</v>
      </c>
      <c r="AC175" s="633">
        <f t="shared" si="190"/>
        <v>12.579999999999998</v>
      </c>
      <c r="AD175" s="633">
        <f t="shared" si="190"/>
        <v>12</v>
      </c>
      <c r="AE175" s="633">
        <f t="shared" si="190"/>
        <v>13</v>
      </c>
      <c r="AF175" s="633">
        <f t="shared" si="190"/>
        <v>15</v>
      </c>
      <c r="AG175" s="633">
        <f t="shared" si="190"/>
        <v>15</v>
      </c>
      <c r="AH175" s="633">
        <f t="shared" si="190"/>
        <v>15</v>
      </c>
      <c r="AI175" s="633">
        <f t="shared" si="190"/>
        <v>15</v>
      </c>
      <c r="AJ175" s="633">
        <f t="shared" si="190"/>
        <v>15</v>
      </c>
      <c r="AK175" s="633">
        <f t="shared" si="190"/>
        <v>15</v>
      </c>
      <c r="AL175" s="633">
        <f t="shared" ref="AL175:AM175" si="191">AL122+AL123+AL135+AL145+AL146+AL157</f>
        <v>15</v>
      </c>
      <c r="AM175" s="633">
        <f t="shared" si="191"/>
        <v>15</v>
      </c>
      <c r="AN175" s="633">
        <f t="shared" ref="AN175" si="192">AN122+AN123+AN135+AN145+AN146+AN157</f>
        <v>15</v>
      </c>
      <c r="AO175" s="633">
        <f>AO122+AO123+AO135+AO145+AO146+AO157</f>
        <v>15</v>
      </c>
      <c r="AP175" s="698"/>
      <c r="AQ175" s="698"/>
      <c r="AR175" s="538" t="s">
        <v>427</v>
      </c>
      <c r="AS175" s="358"/>
    </row>
    <row r="176" spans="1:48" s="19" customFormat="1" ht="12.75" customHeight="1">
      <c r="A176" s="28"/>
      <c r="B176" s="661" t="s">
        <v>311</v>
      </c>
      <c r="C176" s="636" t="s">
        <v>329</v>
      </c>
      <c r="D176" s="330" t="s">
        <v>313</v>
      </c>
      <c r="G176" s="633"/>
      <c r="H176" s="633"/>
      <c r="I176" s="633"/>
      <c r="J176" s="633"/>
      <c r="K176" s="633"/>
      <c r="L176" s="633"/>
      <c r="M176" s="633"/>
      <c r="N176" s="633"/>
      <c r="O176" s="633"/>
      <c r="P176" s="633"/>
      <c r="Q176" s="633"/>
      <c r="R176" s="633"/>
      <c r="S176" s="633"/>
      <c r="T176" s="633">
        <f t="shared" ref="T176:AJ176" si="193">T124+T158</f>
        <v>0</v>
      </c>
      <c r="U176" s="633">
        <f t="shared" si="193"/>
        <v>0</v>
      </c>
      <c r="V176" s="633">
        <f t="shared" si="193"/>
        <v>0</v>
      </c>
      <c r="W176" s="633">
        <f t="shared" si="193"/>
        <v>0</v>
      </c>
      <c r="X176" s="633">
        <f t="shared" si="193"/>
        <v>0</v>
      </c>
      <c r="Y176" s="633">
        <f t="shared" si="193"/>
        <v>0</v>
      </c>
      <c r="Z176" s="633">
        <f t="shared" si="193"/>
        <v>0</v>
      </c>
      <c r="AA176" s="633">
        <f t="shared" si="193"/>
        <v>0</v>
      </c>
      <c r="AB176" s="633">
        <f t="shared" si="193"/>
        <v>0</v>
      </c>
      <c r="AC176" s="633">
        <f t="shared" si="193"/>
        <v>0</v>
      </c>
      <c r="AD176" s="633">
        <f t="shared" si="193"/>
        <v>0</v>
      </c>
      <c r="AE176" s="633">
        <f t="shared" si="193"/>
        <v>0</v>
      </c>
      <c r="AF176" s="633">
        <f t="shared" si="193"/>
        <v>0</v>
      </c>
      <c r="AG176" s="633">
        <f t="shared" si="193"/>
        <v>0</v>
      </c>
      <c r="AH176" s="633">
        <f t="shared" si="193"/>
        <v>0</v>
      </c>
      <c r="AI176" s="633">
        <f t="shared" si="193"/>
        <v>0</v>
      </c>
      <c r="AJ176" s="633">
        <f t="shared" si="193"/>
        <v>0</v>
      </c>
      <c r="AK176" s="633">
        <f>AK124+AK158</f>
        <v>0</v>
      </c>
      <c r="AL176" s="633">
        <f>AL124+AL158</f>
        <v>0</v>
      </c>
      <c r="AM176" s="633">
        <f>AM124+AM158</f>
        <v>0</v>
      </c>
      <c r="AN176" s="633">
        <f>AN124+AN158</f>
        <v>0</v>
      </c>
      <c r="AO176" s="633">
        <f>AO124+AO158</f>
        <v>0</v>
      </c>
      <c r="AP176" s="698"/>
      <c r="AQ176" s="698"/>
      <c r="AR176" s="538" t="s">
        <v>428</v>
      </c>
      <c r="AS176" s="358"/>
    </row>
    <row r="177" spans="1:48" s="19" customFormat="1" ht="12.75" customHeight="1">
      <c r="A177" s="28"/>
      <c r="B177" s="661" t="s">
        <v>311</v>
      </c>
      <c r="C177" s="636" t="s">
        <v>330</v>
      </c>
      <c r="D177" s="330" t="s">
        <v>313</v>
      </c>
      <c r="G177" s="633"/>
      <c r="H177" s="633"/>
      <c r="I177" s="633"/>
      <c r="J177" s="633"/>
      <c r="K177" s="633"/>
      <c r="L177" s="633"/>
      <c r="M177" s="633"/>
      <c r="N177" s="633"/>
      <c r="O177" s="633"/>
      <c r="P177" s="633"/>
      <c r="Q177" s="633"/>
      <c r="R177" s="633"/>
      <c r="S177" s="633"/>
      <c r="T177" s="633"/>
      <c r="U177" s="633"/>
      <c r="V177" s="633"/>
      <c r="W177" s="633">
        <f>W115+W116+W140+W141</f>
        <v>0</v>
      </c>
      <c r="X177" s="633">
        <f t="shared" ref="X177:AJ177" si="194">X115+X116+X140+X141</f>
        <v>0</v>
      </c>
      <c r="Y177" s="633">
        <f t="shared" si="194"/>
        <v>0</v>
      </c>
      <c r="Z177" s="633">
        <f t="shared" si="194"/>
        <v>0</v>
      </c>
      <c r="AA177" s="633">
        <f t="shared" si="194"/>
        <v>0</v>
      </c>
      <c r="AB177" s="633">
        <f t="shared" si="194"/>
        <v>0</v>
      </c>
      <c r="AC177" s="633">
        <f t="shared" si="194"/>
        <v>0</v>
      </c>
      <c r="AD177" s="633">
        <f t="shared" si="194"/>
        <v>0</v>
      </c>
      <c r="AE177" s="633">
        <f t="shared" si="194"/>
        <v>0</v>
      </c>
      <c r="AF177" s="633">
        <f t="shared" si="194"/>
        <v>0</v>
      </c>
      <c r="AG177" s="633">
        <f t="shared" si="194"/>
        <v>0</v>
      </c>
      <c r="AH177" s="633">
        <f t="shared" si="194"/>
        <v>0</v>
      </c>
      <c r="AI177" s="633">
        <f t="shared" si="194"/>
        <v>0</v>
      </c>
      <c r="AJ177" s="633">
        <f t="shared" si="194"/>
        <v>0</v>
      </c>
      <c r="AK177" s="633">
        <f>AK115+AK116+AK140+AK141</f>
        <v>0</v>
      </c>
      <c r="AL177" s="633">
        <f>AL115+AL116+AL140+AL141</f>
        <v>0</v>
      </c>
      <c r="AM177" s="633">
        <f>AM115+AM116+AM140+AM141</f>
        <v>0</v>
      </c>
      <c r="AN177" s="633">
        <f>AN115+AN116+AN140+AN141</f>
        <v>0</v>
      </c>
      <c r="AO177" s="633">
        <f>AO115+AO116+AO140+AO141</f>
        <v>0</v>
      </c>
      <c r="AP177" s="698"/>
      <c r="AQ177" s="698"/>
      <c r="AR177" s="538" t="s">
        <v>429</v>
      </c>
      <c r="AS177" s="358"/>
    </row>
    <row r="178" spans="1:48" s="19" customFormat="1" ht="12.75" customHeight="1">
      <c r="A178" s="28"/>
      <c r="B178" s="661" t="s">
        <v>311</v>
      </c>
      <c r="C178" s="636" t="s">
        <v>331</v>
      </c>
      <c r="D178" s="330" t="s">
        <v>313</v>
      </c>
      <c r="G178" s="633"/>
      <c r="H178" s="633"/>
      <c r="I178" s="633"/>
      <c r="J178" s="633"/>
      <c r="K178" s="633"/>
      <c r="L178" s="633"/>
      <c r="M178" s="633"/>
      <c r="N178" s="633"/>
      <c r="O178" s="633"/>
      <c r="P178" s="633"/>
      <c r="Q178" s="633"/>
      <c r="R178" s="633"/>
      <c r="S178" s="633"/>
      <c r="T178" s="633"/>
      <c r="U178" s="633"/>
      <c r="V178" s="633"/>
      <c r="W178" s="633">
        <f>W117+W118</f>
        <v>0</v>
      </c>
      <c r="X178" s="633">
        <f t="shared" ref="X178:AJ178" si="195">X117+X118</f>
        <v>0</v>
      </c>
      <c r="Y178" s="633">
        <f t="shared" si="195"/>
        <v>0</v>
      </c>
      <c r="Z178" s="633">
        <f t="shared" si="195"/>
        <v>0</v>
      </c>
      <c r="AA178" s="633">
        <f t="shared" si="195"/>
        <v>0</v>
      </c>
      <c r="AB178" s="633">
        <f t="shared" si="195"/>
        <v>0</v>
      </c>
      <c r="AC178" s="633">
        <f t="shared" si="195"/>
        <v>0</v>
      </c>
      <c r="AD178" s="633">
        <f t="shared" si="195"/>
        <v>0</v>
      </c>
      <c r="AE178" s="633">
        <f t="shared" si="195"/>
        <v>0</v>
      </c>
      <c r="AF178" s="633">
        <f t="shared" si="195"/>
        <v>0</v>
      </c>
      <c r="AG178" s="633">
        <f t="shared" si="195"/>
        <v>0</v>
      </c>
      <c r="AH178" s="633">
        <f t="shared" si="195"/>
        <v>0</v>
      </c>
      <c r="AI178" s="633">
        <f t="shared" si="195"/>
        <v>0</v>
      </c>
      <c r="AJ178" s="633">
        <f t="shared" si="195"/>
        <v>0</v>
      </c>
      <c r="AK178" s="633">
        <f>AK117+AK118</f>
        <v>0</v>
      </c>
      <c r="AL178" s="633">
        <f>AL117+AL118</f>
        <v>0</v>
      </c>
      <c r="AM178" s="633">
        <f>AM117+AM118</f>
        <v>0</v>
      </c>
      <c r="AN178" s="633">
        <f>AN117+AN118</f>
        <v>0</v>
      </c>
      <c r="AO178" s="633">
        <f>AO117+AO118</f>
        <v>0</v>
      </c>
      <c r="AP178" s="698"/>
      <c r="AQ178" s="698"/>
      <c r="AR178" s="538" t="s">
        <v>430</v>
      </c>
      <c r="AS178" s="358"/>
    </row>
    <row r="179" spans="1:48" s="19" customFormat="1" ht="12.75" customHeight="1" thickBot="1">
      <c r="A179" s="28"/>
      <c r="B179" s="662" t="s">
        <v>311</v>
      </c>
      <c r="C179" s="663" t="s">
        <v>332</v>
      </c>
      <c r="D179" s="332" t="s">
        <v>313</v>
      </c>
      <c r="G179" s="633"/>
      <c r="H179" s="633"/>
      <c r="I179" s="633"/>
      <c r="J179" s="633"/>
      <c r="K179" s="633"/>
      <c r="L179" s="633"/>
      <c r="M179" s="633"/>
      <c r="N179" s="633"/>
      <c r="O179" s="633"/>
      <c r="P179" s="633"/>
      <c r="Q179" s="633"/>
      <c r="R179" s="633"/>
      <c r="S179" s="633"/>
      <c r="T179" s="633"/>
      <c r="U179" s="633"/>
      <c r="V179" s="633"/>
      <c r="W179" s="633">
        <f>W127+W128+W149+W150</f>
        <v>0</v>
      </c>
      <c r="X179" s="633">
        <f t="shared" ref="X179:AJ179" si="196">X127+X128+X149+X150</f>
        <v>0</v>
      </c>
      <c r="Y179" s="633">
        <f t="shared" si="196"/>
        <v>0</v>
      </c>
      <c r="Z179" s="633">
        <f t="shared" si="196"/>
        <v>0</v>
      </c>
      <c r="AA179" s="633">
        <f t="shared" si="196"/>
        <v>0</v>
      </c>
      <c r="AB179" s="633">
        <f t="shared" si="196"/>
        <v>0</v>
      </c>
      <c r="AC179" s="633">
        <f t="shared" si="196"/>
        <v>0</v>
      </c>
      <c r="AD179" s="633">
        <f t="shared" si="196"/>
        <v>0</v>
      </c>
      <c r="AE179" s="633">
        <f t="shared" si="196"/>
        <v>0</v>
      </c>
      <c r="AF179" s="633">
        <f t="shared" si="196"/>
        <v>0</v>
      </c>
      <c r="AG179" s="633">
        <f t="shared" si="196"/>
        <v>0</v>
      </c>
      <c r="AH179" s="633">
        <f t="shared" si="196"/>
        <v>0</v>
      </c>
      <c r="AI179" s="633">
        <f t="shared" si="196"/>
        <v>0</v>
      </c>
      <c r="AJ179" s="633">
        <f t="shared" si="196"/>
        <v>0</v>
      </c>
      <c r="AK179" s="633">
        <f>AK127+AK128+AK149+AK150</f>
        <v>0</v>
      </c>
      <c r="AL179" s="633">
        <f>AL127+AL128+AL149+AL150</f>
        <v>0</v>
      </c>
      <c r="AM179" s="633">
        <f>AM127+AM128+AM149+AM150</f>
        <v>0</v>
      </c>
      <c r="AN179" s="633">
        <f>AN127+AN128+AN149+AN150</f>
        <v>0</v>
      </c>
      <c r="AO179" s="633">
        <f>AO127+AO128+AO149+AO150</f>
        <v>0</v>
      </c>
      <c r="AP179" s="698"/>
      <c r="AQ179" s="698"/>
      <c r="AR179" s="538" t="s">
        <v>431</v>
      </c>
      <c r="AS179" s="358"/>
    </row>
    <row r="180" spans="1:48" s="19" customFormat="1" ht="15" thickBot="1">
      <c r="A180" s="35" t="s">
        <v>333</v>
      </c>
      <c r="B180" s="662" t="s">
        <v>334</v>
      </c>
      <c r="C180" s="663" t="s">
        <v>335</v>
      </c>
      <c r="D180" s="332" t="s">
        <v>334</v>
      </c>
      <c r="E180" s="34">
        <f>SUM(E97:E160)</f>
        <v>43944.538999999997</v>
      </c>
      <c r="F180" s="34">
        <f>SUM(F97:F160)</f>
        <v>43958.297005059998</v>
      </c>
      <c r="G180" s="34">
        <f>SUM(G97:G160)</f>
        <v>44027.982716919993</v>
      </c>
      <c r="H180" s="34">
        <f>SUM(H97:H160)</f>
        <v>44046.748237969987</v>
      </c>
      <c r="I180" s="337">
        <f t="shared" ref="I180:Y180" si="197">SUM(I99:I160)</f>
        <v>307.97699999999998</v>
      </c>
      <c r="J180" s="337">
        <f t="shared" si="197"/>
        <v>311.40103429999999</v>
      </c>
      <c r="K180" s="337">
        <f t="shared" si="197"/>
        <v>310.49016493999994</v>
      </c>
      <c r="L180" s="337">
        <f t="shared" si="197"/>
        <v>301.83112309999996</v>
      </c>
      <c r="M180" s="337">
        <f t="shared" si="197"/>
        <v>297.98329081999998</v>
      </c>
      <c r="N180" s="337">
        <f t="shared" si="197"/>
        <v>287.21145953000001</v>
      </c>
      <c r="O180" s="337">
        <f t="shared" si="197"/>
        <v>287.78300000000007</v>
      </c>
      <c r="P180" s="337">
        <f t="shared" si="197"/>
        <v>293.58999999999986</v>
      </c>
      <c r="Q180" s="337">
        <f t="shared" si="197"/>
        <v>243.57659381000002</v>
      </c>
      <c r="R180" s="337">
        <f t="shared" si="197"/>
        <v>282.79017382000001</v>
      </c>
      <c r="S180" s="338">
        <f t="shared" si="197"/>
        <v>301.85999999999996</v>
      </c>
      <c r="T180" s="338">
        <f t="shared" si="197"/>
        <v>323.9323626373627</v>
      </c>
      <c r="U180" s="338">
        <f t="shared" si="197"/>
        <v>310.59999999999997</v>
      </c>
      <c r="V180" s="338">
        <f t="shared" si="197"/>
        <v>325.31</v>
      </c>
      <c r="W180" s="338">
        <f t="shared" si="197"/>
        <v>323.36240770999996</v>
      </c>
      <c r="X180" s="338">
        <f t="shared" si="197"/>
        <v>337.09400000000005</v>
      </c>
      <c r="Y180" s="338">
        <f t="shared" si="197"/>
        <v>323.80400000000009</v>
      </c>
      <c r="Z180" s="338">
        <f>SUM(Z99:Z160)+Z95</f>
        <v>324.90343944999995</v>
      </c>
      <c r="AA180" s="338">
        <f>SUM(AA99:AA160)+AA95</f>
        <v>354.01599999999996</v>
      </c>
      <c r="AB180" s="338">
        <f t="shared" ref="AB180:AC180" si="198">SUM(AB99:AB160)+AB95</f>
        <v>324.34300000000002</v>
      </c>
      <c r="AC180" s="338">
        <f t="shared" si="198"/>
        <v>373.42199999999991</v>
      </c>
      <c r="AD180" s="338">
        <f>SUM(AD99:AD160)</f>
        <v>346.08299999999991</v>
      </c>
      <c r="AE180" s="338">
        <f t="shared" ref="AE180:AN180" si="199">SUM(AE99:AE160)</f>
        <v>325.91556137000003</v>
      </c>
      <c r="AF180" s="338">
        <f t="shared" si="199"/>
        <v>359.39465579000006</v>
      </c>
      <c r="AG180" s="338">
        <f t="shared" si="199"/>
        <v>349.02512603000002</v>
      </c>
      <c r="AH180" s="338">
        <f t="shared" si="199"/>
        <v>334.70015352999997</v>
      </c>
      <c r="AI180" s="338">
        <f t="shared" si="199"/>
        <v>353.79138481000001</v>
      </c>
      <c r="AJ180" s="338">
        <f t="shared" si="199"/>
        <v>344.49326785</v>
      </c>
      <c r="AK180" s="338">
        <f t="shared" si="199"/>
        <v>349.12971331232876</v>
      </c>
      <c r="AL180" s="338">
        <f t="shared" si="199"/>
        <v>330.73527036178081</v>
      </c>
      <c r="AM180" s="338">
        <f t="shared" si="199"/>
        <v>346.75414868232878</v>
      </c>
      <c r="AN180" s="338">
        <f t="shared" si="199"/>
        <v>337.16880041547944</v>
      </c>
      <c r="AO180" s="338">
        <f>SUM(AO99:AO160)</f>
        <v>342.13359898232881</v>
      </c>
      <c r="AP180" s="708"/>
      <c r="AQ180" s="708"/>
      <c r="AR180" s="538" t="s">
        <v>432</v>
      </c>
    </row>
    <row r="181" spans="1:48" s="19" customFormat="1" ht="23.25" thickBot="1">
      <c r="A181" s="25" t="s">
        <v>336</v>
      </c>
      <c r="B181" s="18"/>
      <c r="L181" s="64"/>
      <c r="M181" s="65">
        <f t="shared" ref="M181:Z181" si="200">M180-M162</f>
        <v>188.17329081999998</v>
      </c>
      <c r="N181" s="65">
        <f t="shared" si="200"/>
        <v>202.50545953000002</v>
      </c>
      <c r="O181" s="65">
        <f t="shared" si="200"/>
        <v>168.45500000000007</v>
      </c>
      <c r="P181" s="65">
        <f t="shared" si="200"/>
        <v>172.53999999999985</v>
      </c>
      <c r="Q181" s="65">
        <f t="shared" si="200"/>
        <v>170.11859381000002</v>
      </c>
      <c r="R181" s="65">
        <f t="shared" si="200"/>
        <v>183.64617382</v>
      </c>
      <c r="S181" s="65">
        <f t="shared" si="200"/>
        <v>206.12999999999997</v>
      </c>
      <c r="T181" s="65">
        <f t="shared" si="200"/>
        <v>215.22000000000008</v>
      </c>
      <c r="U181" s="65">
        <f t="shared" si="200"/>
        <v>216.18999999999997</v>
      </c>
      <c r="V181" s="65">
        <f t="shared" si="200"/>
        <v>228.25</v>
      </c>
      <c r="W181" s="65">
        <f t="shared" si="200"/>
        <v>222.56240770999995</v>
      </c>
      <c r="X181" s="65">
        <f t="shared" si="200"/>
        <v>224.22000000000006</v>
      </c>
      <c r="Y181" s="65">
        <f t="shared" si="200"/>
        <v>208.93700000000007</v>
      </c>
      <c r="Z181" s="65">
        <f t="shared" si="200"/>
        <v>204.36743944999995</v>
      </c>
      <c r="AA181" s="65">
        <f>AA180-AA162-AA107-AA108</f>
        <v>224.00999999999996</v>
      </c>
      <c r="AB181" s="65">
        <f t="shared" ref="AB181:AL181" si="201">AB180-AB162-AB107-AB108</f>
        <v>194.65200000000004</v>
      </c>
      <c r="AC181" s="65">
        <f t="shared" si="201"/>
        <v>197.04499999999993</v>
      </c>
      <c r="AD181" s="65">
        <f t="shared" si="201"/>
        <v>197.3899999999999</v>
      </c>
      <c r="AE181" s="65">
        <f t="shared" si="201"/>
        <v>199.89856137000004</v>
      </c>
      <c r="AF181" s="65">
        <f t="shared" si="201"/>
        <v>219.23365579000006</v>
      </c>
      <c r="AG181" s="65">
        <f t="shared" si="201"/>
        <v>217.50812603</v>
      </c>
      <c r="AH181" s="65">
        <f t="shared" si="201"/>
        <v>219.93615352999998</v>
      </c>
      <c r="AI181" s="65">
        <f t="shared" si="201"/>
        <v>219.29638481000001</v>
      </c>
      <c r="AJ181" s="65">
        <f t="shared" si="201"/>
        <v>224.07726784999997</v>
      </c>
      <c r="AK181" s="65">
        <f t="shared" si="201"/>
        <v>222.2368366</v>
      </c>
      <c r="AL181" s="65">
        <f t="shared" si="201"/>
        <v>214.42718816999999</v>
      </c>
      <c r="AM181" s="65">
        <f t="shared" ref="AM181:AN181" si="202">AM180-AM162-AM107-AM108</f>
        <v>219.81127197000004</v>
      </c>
      <c r="AN181" s="65">
        <f t="shared" si="202"/>
        <v>213.82085520999999</v>
      </c>
      <c r="AO181" s="65">
        <f>AO180-AO162-AO107-AO108</f>
        <v>215.04072227000006</v>
      </c>
      <c r="AP181" s="692"/>
      <c r="AQ181" s="692"/>
      <c r="AR181" s="538" t="s">
        <v>433</v>
      </c>
    </row>
    <row r="182" spans="1:48">
      <c r="A182" s="321" t="s">
        <v>33</v>
      </c>
      <c r="B182" s="322"/>
      <c r="C182" s="323"/>
      <c r="D182" s="324"/>
      <c r="E182" s="37">
        <f t="shared" ref="E182:T182" si="203">E61-E137-E138-E139-E140-E141-E142-E143-E145-E146-E147-E148-E149-E150-E151-E152-E153</f>
        <v>-1.4270000000000005</v>
      </c>
      <c r="F182" s="37">
        <f t="shared" si="203"/>
        <v>-3.0010934100000028</v>
      </c>
      <c r="G182" s="37">
        <f t="shared" si="203"/>
        <v>-8.8817841970012523E-16</v>
      </c>
      <c r="H182" s="37">
        <f t="shared" si="203"/>
        <v>-8.8817841970012523E-16</v>
      </c>
      <c r="I182" s="37">
        <f t="shared" si="203"/>
        <v>-1.3322676295501878E-15</v>
      </c>
      <c r="J182" s="37">
        <f t="shared" si="203"/>
        <v>2.6645352591003757E-15</v>
      </c>
      <c r="K182" s="37">
        <f t="shared" si="203"/>
        <v>0</v>
      </c>
      <c r="L182" s="37">
        <f t="shared" si="203"/>
        <v>-1.7763568394002505E-15</v>
      </c>
      <c r="M182" s="37">
        <f t="shared" si="203"/>
        <v>0</v>
      </c>
      <c r="N182" s="37">
        <f t="shared" si="203"/>
        <v>-3.5527136788005009E-15</v>
      </c>
      <c r="O182" s="37">
        <f t="shared" si="203"/>
        <v>0</v>
      </c>
      <c r="P182" s="37">
        <f t="shared" si="203"/>
        <v>-2.2204460492503131E-16</v>
      </c>
      <c r="Q182" s="37">
        <f t="shared" si="203"/>
        <v>2.2204460492503131E-16</v>
      </c>
      <c r="R182" s="37">
        <f t="shared" si="203"/>
        <v>0</v>
      </c>
      <c r="S182" s="37">
        <f t="shared" si="203"/>
        <v>0</v>
      </c>
      <c r="T182" s="37">
        <f t="shared" si="203"/>
        <v>-5.5511151231257827E-17</v>
      </c>
      <c r="U182" s="37">
        <f>U61-U137-U138-U139-U140-U141-U142-U143-U145-U146-U147-U148-U149-U150-U151-U152-U153</f>
        <v>0</v>
      </c>
      <c r="V182" s="37">
        <f t="shared" ref="V182:AJ182" si="204">V61-V137-V138-V139-V140-V141-V142-V143-V145-V146-V147-V148-V149-V150-V151-V152-V153</f>
        <v>0</v>
      </c>
      <c r="W182" s="37">
        <f t="shared" si="204"/>
        <v>0</v>
      </c>
      <c r="X182" s="37">
        <f t="shared" si="204"/>
        <v>0</v>
      </c>
      <c r="Y182" s="37">
        <f t="shared" si="204"/>
        <v>0.80000000000000071</v>
      </c>
      <c r="Z182" s="37">
        <f t="shared" si="204"/>
        <v>0</v>
      </c>
      <c r="AA182" s="37">
        <f t="shared" si="204"/>
        <v>0</v>
      </c>
      <c r="AB182" s="37">
        <f t="shared" si="204"/>
        <v>0</v>
      </c>
      <c r="AC182" s="37">
        <f t="shared" si="204"/>
        <v>0</v>
      </c>
      <c r="AD182" s="37">
        <f t="shared" si="204"/>
        <v>0</v>
      </c>
      <c r="AE182" s="37">
        <f t="shared" si="204"/>
        <v>0</v>
      </c>
      <c r="AF182" s="37">
        <f t="shared" si="204"/>
        <v>0</v>
      </c>
      <c r="AG182" s="37">
        <f t="shared" si="204"/>
        <v>0</v>
      </c>
      <c r="AH182" s="37">
        <f t="shared" si="204"/>
        <v>0</v>
      </c>
      <c r="AI182" s="37">
        <f t="shared" si="204"/>
        <v>0</v>
      </c>
      <c r="AJ182" s="37">
        <f t="shared" si="204"/>
        <v>0</v>
      </c>
      <c r="AK182" s="37">
        <f>AK61-AK137-AK138-AK139-AK140-AK141-AK142-AK143-AK145-AK146-AK147-AK148-AK149-AK150-AK151-AK152-AK153</f>
        <v>0</v>
      </c>
      <c r="AL182" s="37">
        <f>AL61-AL137-AL138-AL139-AL140-AL141-AL142-AL143-AL145-AL146-AL147-AL148-AL149-AL150-AL151-AL152-AL153</f>
        <v>0</v>
      </c>
      <c r="AM182" s="37">
        <f>AM61-AM137-AM138-AM139-AM140-AM141-AM142-AM143-AM145-AM146-AM147-AM148-AM149-AM150-AM151-AM152-AM153</f>
        <v>0</v>
      </c>
      <c r="AN182" s="37">
        <f>AN61-AN137-AN138-AN139-AN140-AN141-AN142-AN143-AN145-AN146-AN147-AN148-AN149-AN150-AN151-AN152-AN153</f>
        <v>0</v>
      </c>
      <c r="AO182" s="37">
        <f>AO61-AO137-AO138-AO139-AO140-AO141-AO142-AO143-AO145-AO146-AO147-AO148-AO149-AO150-AO151-AO152-AO153</f>
        <v>0</v>
      </c>
      <c r="AP182" s="704"/>
      <c r="AQ182" s="704"/>
      <c r="AR182" s="538" t="s">
        <v>434</v>
      </c>
      <c r="AS182" s="19"/>
      <c r="AT182" s="19"/>
      <c r="AU182" s="19"/>
      <c r="AV182" s="19"/>
    </row>
    <row r="183" spans="1:48">
      <c r="A183" s="83" t="s">
        <v>229</v>
      </c>
      <c r="B183" s="84"/>
      <c r="C183" s="85"/>
      <c r="D183" s="325"/>
      <c r="E183" s="64">
        <f t="shared" ref="E183:U183" si="205">E62-E155-E157-E156-E158</f>
        <v>0</v>
      </c>
      <c r="F183" s="64">
        <f t="shared" si="205"/>
        <v>0</v>
      </c>
      <c r="G183" s="64">
        <f t="shared" si="205"/>
        <v>0</v>
      </c>
      <c r="H183" s="64">
        <f t="shared" si="205"/>
        <v>0</v>
      </c>
      <c r="I183" s="64">
        <f t="shared" si="205"/>
        <v>0</v>
      </c>
      <c r="J183" s="64">
        <f t="shared" si="205"/>
        <v>0</v>
      </c>
      <c r="K183" s="64">
        <f t="shared" si="205"/>
        <v>0</v>
      </c>
      <c r="L183" s="64">
        <f t="shared" si="205"/>
        <v>0</v>
      </c>
      <c r="M183" s="64">
        <f t="shared" si="205"/>
        <v>0</v>
      </c>
      <c r="N183" s="64">
        <f t="shared" si="205"/>
        <v>0</v>
      </c>
      <c r="O183" s="64">
        <f t="shared" si="205"/>
        <v>0.74999999999999956</v>
      </c>
      <c r="P183" s="64">
        <f t="shared" si="205"/>
        <v>0</v>
      </c>
      <c r="Q183" s="64">
        <f t="shared" si="205"/>
        <v>0</v>
      </c>
      <c r="R183" s="64">
        <f t="shared" si="205"/>
        <v>0</v>
      </c>
      <c r="S183" s="64">
        <f t="shared" si="205"/>
        <v>0</v>
      </c>
      <c r="T183" s="64">
        <f t="shared" si="205"/>
        <v>0</v>
      </c>
      <c r="U183" s="64">
        <f t="shared" si="205"/>
        <v>1.1102230246251565E-16</v>
      </c>
      <c r="V183" s="64">
        <f>V62-V155-V157-V156-V158</f>
        <v>0</v>
      </c>
      <c r="W183" s="64">
        <f t="shared" ref="W183:AJ183" si="206">W62-W155-W157-W156-W158</f>
        <v>0</v>
      </c>
      <c r="X183" s="64">
        <f t="shared" si="206"/>
        <v>-3.3306690738754696E-16</v>
      </c>
      <c r="Y183" s="64">
        <f t="shared" si="206"/>
        <v>0</v>
      </c>
      <c r="Z183" s="64">
        <f t="shared" si="206"/>
        <v>0.59999999999999964</v>
      </c>
      <c r="AA183" s="64">
        <f t="shared" si="206"/>
        <v>0</v>
      </c>
      <c r="AB183" s="64">
        <f t="shared" si="206"/>
        <v>0</v>
      </c>
      <c r="AC183" s="64">
        <f t="shared" si="206"/>
        <v>0</v>
      </c>
      <c r="AD183" s="64">
        <f t="shared" si="206"/>
        <v>0</v>
      </c>
      <c r="AE183" s="64">
        <f t="shared" si="206"/>
        <v>0</v>
      </c>
      <c r="AF183" s="64">
        <f t="shared" si="206"/>
        <v>0</v>
      </c>
      <c r="AG183" s="64">
        <f t="shared" si="206"/>
        <v>0</v>
      </c>
      <c r="AH183" s="64">
        <f t="shared" si="206"/>
        <v>0</v>
      </c>
      <c r="AI183" s="64">
        <f t="shared" si="206"/>
        <v>0</v>
      </c>
      <c r="AJ183" s="64">
        <f t="shared" si="206"/>
        <v>0</v>
      </c>
      <c r="AK183" s="64">
        <f>AK62-AK155-AK157-AK156-AK158</f>
        <v>0</v>
      </c>
      <c r="AL183" s="64">
        <f>AL62-AL155-AL157-AL156-AL158</f>
        <v>0</v>
      </c>
      <c r="AM183" s="64">
        <f>AM62-AM155-AM157-AM156-AM158</f>
        <v>0</v>
      </c>
      <c r="AN183" s="64">
        <f>AN62-AN155-AN157-AN156-AN158</f>
        <v>0</v>
      </c>
      <c r="AO183" s="64">
        <f>AO62-AO155-AO157-AO156-AO158</f>
        <v>0</v>
      </c>
      <c r="AP183" s="692"/>
      <c r="AQ183" s="692"/>
      <c r="AR183" s="538" t="s">
        <v>435</v>
      </c>
      <c r="AS183" s="19"/>
      <c r="AT183" s="19"/>
      <c r="AU183" s="19"/>
      <c r="AV183" s="19"/>
    </row>
    <row r="184" spans="1:48">
      <c r="A184" s="83" t="s">
        <v>230</v>
      </c>
      <c r="B184" s="84"/>
      <c r="C184" s="85"/>
      <c r="D184" s="325"/>
      <c r="E184" s="64">
        <f t="shared" ref="E184:AJ184" si="207">E63-E159</f>
        <v>0</v>
      </c>
      <c r="F184" s="64">
        <f t="shared" si="207"/>
        <v>0</v>
      </c>
      <c r="G184" s="64">
        <f t="shared" si="207"/>
        <v>0</v>
      </c>
      <c r="H184" s="64">
        <f t="shared" si="207"/>
        <v>0</v>
      </c>
      <c r="I184" s="64">
        <f t="shared" si="207"/>
        <v>0</v>
      </c>
      <c r="J184" s="64">
        <f t="shared" si="207"/>
        <v>0</v>
      </c>
      <c r="K184" s="64">
        <f t="shared" si="207"/>
        <v>0</v>
      </c>
      <c r="L184" s="64">
        <f t="shared" si="207"/>
        <v>0</v>
      </c>
      <c r="M184" s="64">
        <f t="shared" si="207"/>
        <v>0</v>
      </c>
      <c r="N184" s="64">
        <f t="shared" si="207"/>
        <v>0</v>
      </c>
      <c r="O184" s="64">
        <f t="shared" si="207"/>
        <v>0</v>
      </c>
      <c r="P184" s="64">
        <f t="shared" si="207"/>
        <v>0</v>
      </c>
      <c r="Q184" s="64">
        <f t="shared" si="207"/>
        <v>0</v>
      </c>
      <c r="R184" s="327">
        <f t="shared" si="207"/>
        <v>0</v>
      </c>
      <c r="S184" s="64">
        <f t="shared" si="207"/>
        <v>0</v>
      </c>
      <c r="T184" s="64">
        <f t="shared" si="207"/>
        <v>0</v>
      </c>
      <c r="U184" s="64">
        <f t="shared" si="207"/>
        <v>0</v>
      </c>
      <c r="V184" s="64">
        <f t="shared" si="207"/>
        <v>0</v>
      </c>
      <c r="W184" s="64">
        <f t="shared" si="207"/>
        <v>0</v>
      </c>
      <c r="X184" s="64">
        <f t="shared" si="207"/>
        <v>0</v>
      </c>
      <c r="Y184" s="64">
        <f t="shared" si="207"/>
        <v>0</v>
      </c>
      <c r="Z184" s="64">
        <f t="shared" si="207"/>
        <v>0</v>
      </c>
      <c r="AA184" s="64">
        <f t="shared" si="207"/>
        <v>0</v>
      </c>
      <c r="AB184" s="64">
        <f t="shared" si="207"/>
        <v>0</v>
      </c>
      <c r="AC184" s="64">
        <f t="shared" si="207"/>
        <v>0</v>
      </c>
      <c r="AD184" s="64">
        <f t="shared" si="207"/>
        <v>0</v>
      </c>
      <c r="AE184" s="64">
        <f t="shared" si="207"/>
        <v>0</v>
      </c>
      <c r="AF184" s="64">
        <f t="shared" si="207"/>
        <v>0</v>
      </c>
      <c r="AG184" s="64">
        <f t="shared" si="207"/>
        <v>0</v>
      </c>
      <c r="AH184" s="64">
        <f t="shared" si="207"/>
        <v>0</v>
      </c>
      <c r="AI184" s="64">
        <f t="shared" si="207"/>
        <v>0</v>
      </c>
      <c r="AJ184" s="64">
        <f t="shared" si="207"/>
        <v>0</v>
      </c>
      <c r="AK184" s="64">
        <f t="shared" ref="AK184:AM185" si="208">AK63-AK159</f>
        <v>0</v>
      </c>
      <c r="AL184" s="64">
        <f t="shared" si="208"/>
        <v>0</v>
      </c>
      <c r="AM184" s="64">
        <f t="shared" si="208"/>
        <v>0</v>
      </c>
      <c r="AN184" s="64">
        <f t="shared" ref="AN184" si="209">AN63-AN159</f>
        <v>0</v>
      </c>
      <c r="AO184" s="64">
        <f>AO63-AO159</f>
        <v>0</v>
      </c>
      <c r="AP184" s="692"/>
      <c r="AQ184" s="692"/>
      <c r="AR184" s="538" t="s">
        <v>436</v>
      </c>
      <c r="AS184" s="19"/>
      <c r="AT184" s="19"/>
      <c r="AU184" s="19"/>
      <c r="AV184" s="19"/>
    </row>
    <row r="185" spans="1:48" ht="15" thickBot="1">
      <c r="A185" s="86" t="s">
        <v>231</v>
      </c>
      <c r="B185" s="87"/>
      <c r="C185" s="88"/>
      <c r="D185" s="326"/>
      <c r="E185" s="65">
        <f t="shared" ref="E185:AJ185" si="210">E64-E160</f>
        <v>0</v>
      </c>
      <c r="F185" s="65">
        <f t="shared" si="210"/>
        <v>0</v>
      </c>
      <c r="G185" s="65">
        <f t="shared" si="210"/>
        <v>0</v>
      </c>
      <c r="H185" s="65">
        <f t="shared" si="210"/>
        <v>0</v>
      </c>
      <c r="I185" s="65">
        <f t="shared" si="210"/>
        <v>0</v>
      </c>
      <c r="J185" s="65">
        <f t="shared" si="210"/>
        <v>0</v>
      </c>
      <c r="K185" s="65">
        <f t="shared" si="210"/>
        <v>0</v>
      </c>
      <c r="L185" s="65">
        <f t="shared" si="210"/>
        <v>0</v>
      </c>
      <c r="M185" s="65">
        <f t="shared" si="210"/>
        <v>0</v>
      </c>
      <c r="N185" s="65">
        <f t="shared" si="210"/>
        <v>0</v>
      </c>
      <c r="O185" s="65">
        <f t="shared" si="210"/>
        <v>0</v>
      </c>
      <c r="P185" s="65">
        <f t="shared" si="210"/>
        <v>0</v>
      </c>
      <c r="Q185" s="65">
        <f t="shared" si="210"/>
        <v>0</v>
      </c>
      <c r="R185" s="328">
        <f t="shared" si="210"/>
        <v>0</v>
      </c>
      <c r="S185" s="65">
        <f t="shared" si="210"/>
        <v>0</v>
      </c>
      <c r="T185" s="65">
        <f t="shared" si="210"/>
        <v>0</v>
      </c>
      <c r="U185" s="65">
        <f t="shared" si="210"/>
        <v>0</v>
      </c>
      <c r="V185" s="65">
        <f t="shared" si="210"/>
        <v>0</v>
      </c>
      <c r="W185" s="65">
        <f t="shared" si="210"/>
        <v>0</v>
      </c>
      <c r="X185" s="65">
        <f t="shared" si="210"/>
        <v>0</v>
      </c>
      <c r="Y185" s="65">
        <f t="shared" si="210"/>
        <v>0</v>
      </c>
      <c r="Z185" s="65">
        <f t="shared" si="210"/>
        <v>0</v>
      </c>
      <c r="AA185" s="65">
        <f t="shared" si="210"/>
        <v>0</v>
      </c>
      <c r="AB185" s="65">
        <f t="shared" si="210"/>
        <v>0</v>
      </c>
      <c r="AC185" s="65">
        <f t="shared" si="210"/>
        <v>0</v>
      </c>
      <c r="AD185" s="65">
        <f t="shared" si="210"/>
        <v>0</v>
      </c>
      <c r="AE185" s="65">
        <f t="shared" si="210"/>
        <v>0</v>
      </c>
      <c r="AF185" s="65">
        <f t="shared" si="210"/>
        <v>0</v>
      </c>
      <c r="AG185" s="65">
        <f t="shared" si="210"/>
        <v>0</v>
      </c>
      <c r="AH185" s="65">
        <f t="shared" si="210"/>
        <v>0</v>
      </c>
      <c r="AI185" s="65">
        <f t="shared" si="210"/>
        <v>0</v>
      </c>
      <c r="AJ185" s="65">
        <f t="shared" si="210"/>
        <v>0</v>
      </c>
      <c r="AK185" s="65">
        <f t="shared" si="208"/>
        <v>0</v>
      </c>
      <c r="AL185" s="65">
        <f t="shared" si="208"/>
        <v>0</v>
      </c>
      <c r="AM185" s="65">
        <f t="shared" si="208"/>
        <v>0</v>
      </c>
      <c r="AN185" s="65">
        <f t="shared" ref="AN185" si="211">AN64-AN160</f>
        <v>0</v>
      </c>
      <c r="AO185" s="65">
        <f>AO64-AO160</f>
        <v>0</v>
      </c>
      <c r="AP185" s="692"/>
      <c r="AQ185" s="692"/>
      <c r="AR185" s="538" t="s">
        <v>437</v>
      </c>
      <c r="AS185" s="19"/>
      <c r="AT185" s="19"/>
      <c r="AU185" s="19"/>
      <c r="AV185" s="19"/>
    </row>
    <row r="186" spans="1:48">
      <c r="F186" s="184"/>
      <c r="G186" s="184"/>
      <c r="H186" s="184"/>
      <c r="I186" s="184"/>
      <c r="J186" s="184"/>
      <c r="K186" s="184"/>
      <c r="L186" s="184"/>
      <c r="M186" s="184"/>
      <c r="N186" s="184"/>
      <c r="O186" s="184"/>
      <c r="P186" s="184"/>
      <c r="Q186" s="184"/>
      <c r="R186" s="184"/>
      <c r="S186" s="184"/>
      <c r="T186" s="184"/>
      <c r="U186" s="184"/>
      <c r="V186" s="184"/>
      <c r="W186" s="184"/>
      <c r="X186" s="184"/>
      <c r="Y186" s="184"/>
      <c r="Z186" s="184"/>
      <c r="AA186" s="184"/>
      <c r="AB186" s="184"/>
      <c r="AC186" s="184"/>
      <c r="AD186" s="184"/>
      <c r="AE186" s="184"/>
      <c r="AF186" s="184"/>
      <c r="AG186" s="184"/>
      <c r="AH186" s="184"/>
      <c r="AI186" s="184"/>
      <c r="AJ186" s="184"/>
      <c r="AK186" s="184"/>
      <c r="AL186" s="184"/>
      <c r="AM186" s="184"/>
      <c r="AN186" s="184"/>
      <c r="AO186" s="184"/>
      <c r="AP186" s="692"/>
      <c r="AQ186" s="692"/>
    </row>
    <row r="187" spans="1:48">
      <c r="D187" t="s">
        <v>342</v>
      </c>
      <c r="F187" s="184"/>
      <c r="G187" s="184"/>
      <c r="H187" s="184"/>
      <c r="I187" s="184"/>
      <c r="J187" s="184"/>
      <c r="K187" s="184"/>
      <c r="L187" s="184"/>
      <c r="M187" s="184"/>
      <c r="N187" s="184"/>
      <c r="O187" s="184"/>
      <c r="P187" s="184"/>
      <c r="Q187" s="184"/>
      <c r="R187" s="184"/>
      <c r="S187" s="184"/>
      <c r="T187" s="184"/>
      <c r="U187" s="184"/>
      <c r="V187" s="184">
        <f>V172-156-V159</f>
        <v>0.70000000000000018</v>
      </c>
      <c r="W187" s="184">
        <f t="shared" ref="W187:AJ187" si="212">W172-156-W159</f>
        <v>-0.43759229000002087</v>
      </c>
      <c r="X187" s="184">
        <f t="shared" si="212"/>
        <v>-0.45999999999999552</v>
      </c>
      <c r="Y187" s="184">
        <f t="shared" si="212"/>
        <v>-9.650000000000011</v>
      </c>
      <c r="Z187" s="184">
        <f t="shared" si="212"/>
        <v>-16.452560549999994</v>
      </c>
      <c r="AA187" s="184">
        <f t="shared" si="212"/>
        <v>-1.4299999999999979</v>
      </c>
      <c r="AB187" s="184">
        <f t="shared" si="212"/>
        <v>-19.37</v>
      </c>
      <c r="AC187" s="184">
        <f t="shared" si="212"/>
        <v>-16.86999999999999</v>
      </c>
      <c r="AD187" s="184">
        <f t="shared" si="212"/>
        <v>-16.360000000000003</v>
      </c>
      <c r="AE187" s="184">
        <f t="shared" si="212"/>
        <v>-15.036438629999978</v>
      </c>
      <c r="AF187" s="184">
        <f t="shared" si="212"/>
        <v>-3.7013442100000171</v>
      </c>
      <c r="AG187" s="184">
        <f t="shared" si="212"/>
        <v>-4.2418739699999888</v>
      </c>
      <c r="AH187" s="184">
        <f t="shared" si="212"/>
        <v>-2.498846470000033</v>
      </c>
      <c r="AI187" s="184">
        <f t="shared" si="212"/>
        <v>-3.638615190000011</v>
      </c>
      <c r="AJ187" s="184">
        <f t="shared" si="212"/>
        <v>1.1422678500000094</v>
      </c>
      <c r="AK187" s="184">
        <f>AK172-156-AK159</f>
        <v>-0.69816339999998522</v>
      </c>
      <c r="AL187" s="184">
        <f>AL172-156-AL159</f>
        <v>-8.5078118299999943</v>
      </c>
      <c r="AM187" s="184">
        <f>AM172-156-AM159</f>
        <v>-3.1237280299999819</v>
      </c>
      <c r="AN187" s="184">
        <f>AN172-156-AN159</f>
        <v>-9.1141447899999974</v>
      </c>
      <c r="AO187" s="184">
        <f>AO172-156-AO159</f>
        <v>-7.8942777299999856</v>
      </c>
      <c r="AP187" s="692"/>
      <c r="AQ187" s="692"/>
    </row>
    <row r="188" spans="1:48">
      <c r="T188" s="184"/>
      <c r="U188" s="184"/>
      <c r="X188" s="184"/>
      <c r="Y188" s="184"/>
      <c r="Z188" s="184"/>
      <c r="AA188" s="184"/>
      <c r="AB188" s="184"/>
      <c r="AC188" s="184"/>
      <c r="AD188" s="184"/>
      <c r="AE188" s="184"/>
      <c r="AF188" s="184"/>
      <c r="AG188" s="184"/>
      <c r="AH188" s="184"/>
      <c r="AI188" s="184"/>
      <c r="AJ188" s="184"/>
      <c r="AK188" s="184"/>
      <c r="AL188" s="184"/>
      <c r="AM188" s="184"/>
      <c r="AN188" s="184"/>
      <c r="AO188" s="184"/>
      <c r="AP188" s="692"/>
      <c r="AQ188" s="692"/>
    </row>
    <row r="189" spans="1:48">
      <c r="V189" s="184"/>
      <c r="W189" s="184"/>
      <c r="X189" s="184"/>
      <c r="Y189" s="184"/>
      <c r="Z189" s="184"/>
      <c r="AA189" s="184"/>
      <c r="AB189" s="184"/>
      <c r="AC189" s="184"/>
      <c r="AD189" s="184"/>
      <c r="AE189" s="184"/>
      <c r="AF189" s="184"/>
      <c r="AG189" s="184"/>
      <c r="AH189" s="184"/>
      <c r="AI189" s="184"/>
    </row>
    <row r="200" spans="25:43">
      <c r="Y200" s="184"/>
      <c r="Z200" s="184"/>
      <c r="AA200" s="184"/>
      <c r="AB200" s="184"/>
      <c r="AC200" s="184"/>
      <c r="AD200" s="184"/>
      <c r="AE200" s="184"/>
      <c r="AF200" s="184"/>
      <c r="AG200" s="184"/>
      <c r="AH200" s="184"/>
      <c r="AI200" s="184"/>
      <c r="AJ200" s="184"/>
      <c r="AK200" s="184"/>
      <c r="AL200" s="184"/>
      <c r="AM200" s="184"/>
      <c r="AN200" s="184"/>
      <c r="AO200" s="184"/>
      <c r="AP200" s="692"/>
      <c r="AQ200" s="692"/>
    </row>
    <row r="201" spans="25:43">
      <c r="Y201" s="184"/>
      <c r="Z201" s="184"/>
      <c r="AA201" s="184"/>
      <c r="AB201" s="184"/>
      <c r="AC201" s="184"/>
      <c r="AD201" s="184"/>
      <c r="AE201" s="184"/>
      <c r="AF201" s="184"/>
      <c r="AG201" s="184"/>
      <c r="AH201" s="184"/>
      <c r="AI201" s="184"/>
      <c r="AJ201" s="184"/>
      <c r="AK201" s="184"/>
      <c r="AL201" s="184"/>
      <c r="AM201" s="184"/>
      <c r="AN201" s="184"/>
      <c r="AO201" s="184"/>
      <c r="AP201" s="692"/>
      <c r="AQ201" s="692"/>
    </row>
    <row r="202" spans="25:43">
      <c r="Y202" s="184"/>
      <c r="Z202" s="184"/>
      <c r="AA202" s="184"/>
      <c r="AB202" s="184"/>
      <c r="AC202" s="184"/>
      <c r="AD202" s="184"/>
      <c r="AE202" s="184"/>
      <c r="AF202" s="184"/>
      <c r="AG202" s="184"/>
      <c r="AH202" s="184"/>
      <c r="AI202" s="184"/>
      <c r="AJ202" s="184"/>
      <c r="AK202" s="184"/>
      <c r="AL202" s="184"/>
      <c r="AM202" s="184"/>
      <c r="AN202" s="184"/>
      <c r="AO202" s="184"/>
      <c r="AP202" s="692"/>
      <c r="AQ202" s="692"/>
    </row>
    <row r="203" spans="25:43">
      <c r="Y203" s="184"/>
      <c r="Z203" s="184"/>
      <c r="AA203" s="184"/>
      <c r="AB203" s="184"/>
      <c r="AC203" s="184"/>
      <c r="AD203" s="184"/>
      <c r="AE203" s="184"/>
      <c r="AF203" s="184"/>
      <c r="AG203" s="184"/>
      <c r="AH203" s="184"/>
      <c r="AI203" s="184"/>
      <c r="AJ203" s="184"/>
      <c r="AK203" s="184"/>
      <c r="AL203" s="184"/>
      <c r="AM203" s="184"/>
      <c r="AN203" s="184"/>
      <c r="AO203" s="184"/>
      <c r="AP203" s="692"/>
      <c r="AQ203" s="692"/>
    </row>
    <row r="204" spans="25:43">
      <c r="Y204" s="184"/>
      <c r="Z204" s="184"/>
      <c r="AA204" s="184"/>
      <c r="AB204" s="184"/>
      <c r="AC204" s="184"/>
      <c r="AD204" s="184"/>
      <c r="AE204" s="184"/>
      <c r="AF204" s="184"/>
      <c r="AG204" s="184"/>
      <c r="AH204" s="184"/>
      <c r="AI204" s="184"/>
      <c r="AJ204" s="184"/>
      <c r="AK204" s="184"/>
      <c r="AL204" s="184"/>
      <c r="AM204" s="184"/>
      <c r="AN204" s="184"/>
      <c r="AO204" s="184"/>
      <c r="AP204" s="692"/>
      <c r="AQ204" s="692"/>
    </row>
    <row r="205" spans="25:43">
      <c r="Y205" s="184"/>
      <c r="Z205" s="184"/>
      <c r="AA205" s="184"/>
      <c r="AB205" s="184"/>
      <c r="AC205" s="184"/>
      <c r="AD205" s="184"/>
      <c r="AE205" s="184"/>
      <c r="AF205" s="184"/>
      <c r="AG205" s="184"/>
      <c r="AH205" s="184"/>
      <c r="AI205" s="184"/>
      <c r="AJ205" s="184"/>
      <c r="AK205" s="184"/>
      <c r="AL205" s="184"/>
      <c r="AM205" s="184"/>
      <c r="AN205" s="184"/>
      <c r="AO205" s="184"/>
      <c r="AP205" s="692"/>
      <c r="AQ205" s="692"/>
    </row>
  </sheetData>
  <mergeCells count="41">
    <mergeCell ref="C72:D72"/>
    <mergeCell ref="C73:D73"/>
    <mergeCell ref="C74:D74"/>
    <mergeCell ref="C75:D75"/>
    <mergeCell ref="C76:D76"/>
    <mergeCell ref="A77:D77"/>
    <mergeCell ref="A21:B21"/>
    <mergeCell ref="A13:B13"/>
    <mergeCell ref="A67:B67"/>
    <mergeCell ref="C67:D67"/>
    <mergeCell ref="C50:D50"/>
    <mergeCell ref="C51:D51"/>
    <mergeCell ref="A52:D52"/>
    <mergeCell ref="C56:D56"/>
    <mergeCell ref="A54:B54"/>
    <mergeCell ref="C54:D54"/>
    <mergeCell ref="C59:D59"/>
    <mergeCell ref="C61:D61"/>
    <mergeCell ref="C68:D68"/>
    <mergeCell ref="C69:D69"/>
    <mergeCell ref="C63:D63"/>
    <mergeCell ref="A3:B3"/>
    <mergeCell ref="A41:B41"/>
    <mergeCell ref="C41:D41"/>
    <mergeCell ref="C46:D46"/>
    <mergeCell ref="C48:D48"/>
    <mergeCell ref="C47:D47"/>
    <mergeCell ref="C42:D42"/>
    <mergeCell ref="C43:D43"/>
    <mergeCell ref="A27:B27"/>
    <mergeCell ref="A34:B34"/>
    <mergeCell ref="C44:D44"/>
    <mergeCell ref="C45:D45"/>
    <mergeCell ref="C64:D64"/>
    <mergeCell ref="A65:D65"/>
    <mergeCell ref="C60:D60"/>
    <mergeCell ref="C49:D49"/>
    <mergeCell ref="C55:D55"/>
    <mergeCell ref="C62:D62"/>
    <mergeCell ref="C57:D57"/>
    <mergeCell ref="C58:D58"/>
  </mergeCells>
  <conditionalFormatting sqref="Q184:Q185 E183:AJ183">
    <cfRule type="colorScale" priority="67">
      <colorScale>
        <cfvo type="min"/>
        <cfvo type="percentile" val="50"/>
        <cfvo type="max"/>
        <color rgb="FFF8696B"/>
        <color rgb="FFFFEB84"/>
        <color rgb="FF63BE7B"/>
      </colorScale>
    </cfRule>
  </conditionalFormatting>
  <conditionalFormatting sqref="R184:AD185 E182:AJ182">
    <cfRule type="colorScale" priority="70">
      <colorScale>
        <cfvo type="min"/>
        <cfvo type="percentile" val="50"/>
        <cfvo type="max"/>
        <color rgb="FFF8696B"/>
        <color rgb="FFFFEB84"/>
        <color rgb="FF63BE7B"/>
      </colorScale>
    </cfRule>
  </conditionalFormatting>
  <conditionalFormatting sqref="E184:P185">
    <cfRule type="colorScale" priority="72">
      <colorScale>
        <cfvo type="min"/>
        <cfvo type="percentile" val="50"/>
        <cfvo type="max"/>
        <color rgb="FFF8696B"/>
        <color rgb="FFFFEB84"/>
        <color rgb="FF63BE7B"/>
      </colorScale>
    </cfRule>
  </conditionalFormatting>
  <conditionalFormatting sqref="A170:D170">
    <cfRule type="duplicateValues" dxfId="0" priority="30"/>
  </conditionalFormatting>
  <conditionalFormatting sqref="AE184:AE185">
    <cfRule type="colorScale" priority="29">
      <colorScale>
        <cfvo type="min"/>
        <cfvo type="percentile" val="50"/>
        <cfvo type="max"/>
        <color rgb="FFF8696B"/>
        <color rgb="FFFFEB84"/>
        <color rgb="FF63BE7B"/>
      </colorScale>
    </cfRule>
  </conditionalFormatting>
  <conditionalFormatting sqref="AF184:AF185">
    <cfRule type="colorScale" priority="27">
      <colorScale>
        <cfvo type="min"/>
        <cfvo type="percentile" val="50"/>
        <cfvo type="max"/>
        <color rgb="FFF8696B"/>
        <color rgb="FFFFEB84"/>
        <color rgb="FF63BE7B"/>
      </colorScale>
    </cfRule>
  </conditionalFormatting>
  <conditionalFormatting sqref="AG184:AG185">
    <cfRule type="colorScale" priority="25">
      <colorScale>
        <cfvo type="min"/>
        <cfvo type="percentile" val="50"/>
        <cfvo type="max"/>
        <color rgb="FFF8696B"/>
        <color rgb="FFFFEB84"/>
        <color rgb="FF63BE7B"/>
      </colorScale>
    </cfRule>
  </conditionalFormatting>
  <conditionalFormatting sqref="AH184:AH185">
    <cfRule type="colorScale" priority="23">
      <colorScale>
        <cfvo type="min"/>
        <cfvo type="percentile" val="50"/>
        <cfvo type="max"/>
        <color rgb="FFF8696B"/>
        <color rgb="FFFFEB84"/>
        <color rgb="FF63BE7B"/>
      </colorScale>
    </cfRule>
  </conditionalFormatting>
  <conditionalFormatting sqref="AI184:AI185">
    <cfRule type="colorScale" priority="21">
      <colorScale>
        <cfvo type="min"/>
        <cfvo type="percentile" val="50"/>
        <cfvo type="max"/>
        <color rgb="FFF8696B"/>
        <color rgb="FFFFEB84"/>
        <color rgb="FF63BE7B"/>
      </colorScale>
    </cfRule>
  </conditionalFormatting>
  <conditionalFormatting sqref="AJ184:AJ185">
    <cfRule type="colorScale" priority="19">
      <colorScale>
        <cfvo type="min"/>
        <cfvo type="percentile" val="50"/>
        <cfvo type="max"/>
        <color rgb="FFF8696B"/>
        <color rgb="FFFFEB84"/>
        <color rgb="FF63BE7B"/>
      </colorScale>
    </cfRule>
  </conditionalFormatting>
  <conditionalFormatting sqref="AK183">
    <cfRule type="colorScale" priority="14">
      <colorScale>
        <cfvo type="min"/>
        <cfvo type="percentile" val="50"/>
        <cfvo type="max"/>
        <color rgb="FFF8696B"/>
        <color rgb="FFFFEB84"/>
        <color rgb="FF63BE7B"/>
      </colorScale>
    </cfRule>
  </conditionalFormatting>
  <conditionalFormatting sqref="AK182">
    <cfRule type="colorScale" priority="15">
      <colorScale>
        <cfvo type="min"/>
        <cfvo type="percentile" val="50"/>
        <cfvo type="max"/>
        <color rgb="FFF8696B"/>
        <color rgb="FFFFEB84"/>
        <color rgb="FF63BE7B"/>
      </colorScale>
    </cfRule>
  </conditionalFormatting>
  <conditionalFormatting sqref="AK184:AK185">
    <cfRule type="colorScale" priority="13">
      <colorScale>
        <cfvo type="min"/>
        <cfvo type="percentile" val="50"/>
        <cfvo type="max"/>
        <color rgb="FFF8696B"/>
        <color rgb="FFFFEB84"/>
        <color rgb="FF63BE7B"/>
      </colorScale>
    </cfRule>
  </conditionalFormatting>
  <conditionalFormatting sqref="AL183">
    <cfRule type="colorScale" priority="11">
      <colorScale>
        <cfvo type="min"/>
        <cfvo type="percentile" val="50"/>
        <cfvo type="max"/>
        <color rgb="FFF8696B"/>
        <color rgb="FFFFEB84"/>
        <color rgb="FF63BE7B"/>
      </colorScale>
    </cfRule>
  </conditionalFormatting>
  <conditionalFormatting sqref="AL182">
    <cfRule type="colorScale" priority="12">
      <colorScale>
        <cfvo type="min"/>
        <cfvo type="percentile" val="50"/>
        <cfvo type="max"/>
        <color rgb="FFF8696B"/>
        <color rgb="FFFFEB84"/>
        <color rgb="FF63BE7B"/>
      </colorScale>
    </cfRule>
  </conditionalFormatting>
  <conditionalFormatting sqref="AL184:AL185">
    <cfRule type="colorScale" priority="10">
      <colorScale>
        <cfvo type="min"/>
        <cfvo type="percentile" val="50"/>
        <cfvo type="max"/>
        <color rgb="FFF8696B"/>
        <color rgb="FFFFEB84"/>
        <color rgb="FF63BE7B"/>
      </colorScale>
    </cfRule>
  </conditionalFormatting>
  <conditionalFormatting sqref="AM183">
    <cfRule type="colorScale" priority="8">
      <colorScale>
        <cfvo type="min"/>
        <cfvo type="percentile" val="50"/>
        <cfvo type="max"/>
        <color rgb="FFF8696B"/>
        <color rgb="FFFFEB84"/>
        <color rgb="FF63BE7B"/>
      </colorScale>
    </cfRule>
  </conditionalFormatting>
  <conditionalFormatting sqref="AM182">
    <cfRule type="colorScale" priority="9">
      <colorScale>
        <cfvo type="min"/>
        <cfvo type="percentile" val="50"/>
        <cfvo type="max"/>
        <color rgb="FFF8696B"/>
        <color rgb="FFFFEB84"/>
        <color rgb="FF63BE7B"/>
      </colorScale>
    </cfRule>
  </conditionalFormatting>
  <conditionalFormatting sqref="AM184:AM185">
    <cfRule type="colorScale" priority="7">
      <colorScale>
        <cfvo type="min"/>
        <cfvo type="percentile" val="50"/>
        <cfvo type="max"/>
        <color rgb="FFF8696B"/>
        <color rgb="FFFFEB84"/>
        <color rgb="FF63BE7B"/>
      </colorScale>
    </cfRule>
  </conditionalFormatting>
  <conditionalFormatting sqref="AN183">
    <cfRule type="colorScale" priority="5">
      <colorScale>
        <cfvo type="min"/>
        <cfvo type="percentile" val="50"/>
        <cfvo type="max"/>
        <color rgb="FFF8696B"/>
        <color rgb="FFFFEB84"/>
        <color rgb="FF63BE7B"/>
      </colorScale>
    </cfRule>
  </conditionalFormatting>
  <conditionalFormatting sqref="AN182">
    <cfRule type="colorScale" priority="6">
      <colorScale>
        <cfvo type="min"/>
        <cfvo type="percentile" val="50"/>
        <cfvo type="max"/>
        <color rgb="FFF8696B"/>
        <color rgb="FFFFEB84"/>
        <color rgb="FF63BE7B"/>
      </colorScale>
    </cfRule>
  </conditionalFormatting>
  <conditionalFormatting sqref="AN184:AN185">
    <cfRule type="colorScale" priority="4">
      <colorScale>
        <cfvo type="min"/>
        <cfvo type="percentile" val="50"/>
        <cfvo type="max"/>
        <color rgb="FFF8696B"/>
        <color rgb="FFFFEB84"/>
        <color rgb="FF63BE7B"/>
      </colorScale>
    </cfRule>
  </conditionalFormatting>
  <conditionalFormatting sqref="AO183:AQ183">
    <cfRule type="colorScale" priority="2">
      <colorScale>
        <cfvo type="min"/>
        <cfvo type="percentile" val="50"/>
        <cfvo type="max"/>
        <color rgb="FFF8696B"/>
        <color rgb="FFFFEB84"/>
        <color rgb="FF63BE7B"/>
      </colorScale>
    </cfRule>
  </conditionalFormatting>
  <conditionalFormatting sqref="AO182:AQ182">
    <cfRule type="colorScale" priority="3">
      <colorScale>
        <cfvo type="min"/>
        <cfvo type="percentile" val="50"/>
        <cfvo type="max"/>
        <color rgb="FFF8696B"/>
        <color rgb="FFFFEB84"/>
        <color rgb="FF63BE7B"/>
      </colorScale>
    </cfRule>
  </conditionalFormatting>
  <conditionalFormatting sqref="AO184:AQ185">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verticalDpi="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EI66"/>
  <sheetViews>
    <sheetView zoomScale="68" zoomScaleNormal="130" workbookViewId="0">
      <pane xSplit="2" ySplit="3" topLeftCell="BO4" activePane="bottomRight" state="frozen"/>
      <selection pane="bottomRight" activeCell="BU30" sqref="BU30"/>
      <selection pane="bottomLeft" activeCell="G41" sqref="G41"/>
      <selection pane="topRight" activeCell="G41" sqref="G41"/>
    </sheetView>
  </sheetViews>
  <sheetFormatPr defaultColWidth="8.125" defaultRowHeight="14.25"/>
  <cols>
    <col min="1" max="1" width="15" style="101" bestFit="1" customWidth="1"/>
    <col min="2" max="2" width="34.875" style="101" customWidth="1"/>
    <col min="3" max="9" width="8.125" style="101" hidden="1" customWidth="1"/>
    <col min="10" max="26" width="9.125" style="101" hidden="1" customWidth="1"/>
    <col min="27" max="27" width="8.875" style="101" hidden="1" customWidth="1"/>
    <col min="28" max="28" width="10.125" style="101" hidden="1" customWidth="1"/>
    <col min="29" max="29" width="8.125" style="101" hidden="1" customWidth="1"/>
    <col min="30" max="31" width="10.125" style="101" hidden="1" customWidth="1"/>
    <col min="32" max="32" width="8.125" style="101" hidden="1" customWidth="1"/>
    <col min="33" max="34" width="9.125" style="101" hidden="1" customWidth="1"/>
    <col min="35" max="35" width="8.125" style="101" hidden="1" customWidth="1"/>
    <col min="36" max="62" width="9" style="101" hidden="1" customWidth="1"/>
    <col min="63" max="72" width="9" style="101" customWidth="1"/>
    <col min="73" max="78" width="13.375" style="101" bestFit="1" customWidth="1"/>
    <col min="79" max="79" width="12.375" style="101" bestFit="1" customWidth="1"/>
    <col min="80" max="80" width="38.875" style="180" bestFit="1" customWidth="1"/>
    <col min="81" max="81" width="19.875" style="180" bestFit="1" customWidth="1"/>
    <col min="82" max="82" width="76.5" style="180" bestFit="1" customWidth="1"/>
    <col min="83" max="83" width="41.5" style="567" bestFit="1" customWidth="1"/>
    <col min="84" max="90" width="9" style="101" customWidth="1"/>
    <col min="91" max="92" width="9" style="101" bestFit="1" customWidth="1"/>
    <col min="93" max="93" width="8.125" style="101"/>
    <col min="94" max="98" width="9" style="101" bestFit="1" customWidth="1"/>
    <col min="99" max="16384" width="8.125" style="101"/>
  </cols>
  <sheetData>
    <row r="1" spans="1:100">
      <c r="B1" s="123" t="s">
        <v>370</v>
      </c>
      <c r="AM1" s="102">
        <v>69</v>
      </c>
      <c r="AN1" s="102">
        <v>68.959999999999994</v>
      </c>
      <c r="AO1" s="102">
        <v>83</v>
      </c>
      <c r="AP1" s="102">
        <v>80.008456709956704</v>
      </c>
      <c r="AQ1" s="102">
        <v>80.637</v>
      </c>
      <c r="AR1" s="102">
        <v>78</v>
      </c>
      <c r="AS1" s="102">
        <v>85.386547619047604</v>
      </c>
      <c r="AT1" s="102">
        <v>83.894000000000005</v>
      </c>
      <c r="AU1" s="102">
        <v>82.285551948051932</v>
      </c>
      <c r="AV1" s="102">
        <v>80.510000000000005</v>
      </c>
      <c r="AW1" s="102">
        <v>82.3</v>
      </c>
      <c r="AX1" s="102">
        <v>85.6</v>
      </c>
      <c r="AY1" s="102">
        <v>80.5</v>
      </c>
      <c r="AZ1" s="102">
        <v>75.5</v>
      </c>
      <c r="BA1" s="102">
        <v>80.8</v>
      </c>
      <c r="BB1" s="102">
        <v>77.786000000000001</v>
      </c>
      <c r="BC1" s="102">
        <v>60.347000000000001</v>
      </c>
      <c r="BD1" s="102">
        <v>59.180454545454538</v>
      </c>
      <c r="BE1" s="102">
        <v>62.7</v>
      </c>
      <c r="BF1" s="102">
        <v>71.587909090909093</v>
      </c>
      <c r="BG1" s="102">
        <v>73.900000000000006</v>
      </c>
      <c r="BH1" s="102">
        <v>79.302000000000007</v>
      </c>
      <c r="BI1" s="102">
        <v>71.215000000000003</v>
      </c>
      <c r="BJ1" s="102">
        <v>69.162000000000006</v>
      </c>
      <c r="BK1" s="102">
        <v>81.400000000000006</v>
      </c>
      <c r="BL1" s="102">
        <v>73.696513482172435</v>
      </c>
      <c r="BM1" s="102">
        <v>82.295560574202909</v>
      </c>
      <c r="BN1" s="102">
        <v>78.086476881859795</v>
      </c>
      <c r="BO1" s="102">
        <v>82.831999999999994</v>
      </c>
      <c r="BP1" s="102">
        <v>78.059999999999988</v>
      </c>
      <c r="BQ1" s="102">
        <v>63.390738636363636</v>
      </c>
      <c r="BR1" s="102">
        <v>76.944999999999993</v>
      </c>
      <c r="BS1" s="102">
        <v>71.358999999999995</v>
      </c>
      <c r="BT1" s="102">
        <v>64.580317311041441</v>
      </c>
      <c r="BU1" s="102">
        <v>72.844310663404428</v>
      </c>
      <c r="BV1" s="102">
        <v>74.768213718344072</v>
      </c>
      <c r="BW1" s="102">
        <v>74.768213718344072</v>
      </c>
      <c r="BX1" s="102">
        <v>67.532580132697873</v>
      </c>
      <c r="BY1" s="102">
        <v>74.774213718344072</v>
      </c>
      <c r="BZ1" s="102">
        <v>72.359335856461996</v>
      </c>
      <c r="CA1" s="102">
        <v>72.359335856461996</v>
      </c>
      <c r="CB1" s="600" t="s">
        <v>438</v>
      </c>
      <c r="CC1" s="601" t="s">
        <v>3</v>
      </c>
      <c r="CD1" s="602"/>
      <c r="CE1" s="561"/>
      <c r="CF1" s="540"/>
      <c r="CG1" s="540"/>
      <c r="CH1" s="540"/>
      <c r="CI1" s="540"/>
      <c r="CJ1" s="540"/>
      <c r="CK1" s="540"/>
      <c r="CL1" s="540"/>
    </row>
    <row r="2" spans="1:100" ht="15" thickBot="1">
      <c r="B2" s="395" t="s">
        <v>4</v>
      </c>
      <c r="AM2" s="290">
        <f>AM6-AM1</f>
        <v>0.93000000000000682</v>
      </c>
      <c r="AN2" s="290">
        <f>AN6-AN1</f>
        <v>1.3840000000000003</v>
      </c>
      <c r="AO2" s="290">
        <f t="shared" ref="AO2:BP2" si="0">AO6-AO1</f>
        <v>1</v>
      </c>
      <c r="AP2" s="290">
        <f t="shared" si="0"/>
        <v>0.99154329004329611</v>
      </c>
      <c r="AQ2" s="290">
        <f t="shared" si="0"/>
        <v>0</v>
      </c>
      <c r="AR2" s="290">
        <f t="shared" si="0"/>
        <v>0</v>
      </c>
      <c r="AS2" s="290">
        <f t="shared" si="0"/>
        <v>-0.9865476190475988</v>
      </c>
      <c r="AT2" s="290">
        <f t="shared" si="0"/>
        <v>0</v>
      </c>
      <c r="AU2" s="290">
        <f t="shared" si="0"/>
        <v>-1.6015519480519345</v>
      </c>
      <c r="AV2" s="290">
        <f t="shared" si="0"/>
        <v>0.78999999999999204</v>
      </c>
      <c r="AW2" s="290">
        <f t="shared" si="0"/>
        <v>0.70000000000000284</v>
      </c>
      <c r="AX2" s="290">
        <f t="shared" si="0"/>
        <v>0</v>
      </c>
      <c r="AY2" s="290">
        <f t="shared" si="0"/>
        <v>0</v>
      </c>
      <c r="AZ2" s="290">
        <f t="shared" si="0"/>
        <v>-5.7000000000000028</v>
      </c>
      <c r="BA2" s="290">
        <f t="shared" si="0"/>
        <v>0</v>
      </c>
      <c r="BB2" s="290">
        <f t="shared" si="0"/>
        <v>-13.286000000000001</v>
      </c>
      <c r="BC2" s="290">
        <f t="shared" si="0"/>
        <v>-3.1829999999999998</v>
      </c>
      <c r="BD2" s="290">
        <f>BD6-BD1</f>
        <v>2.0195454545454652</v>
      </c>
      <c r="BE2" s="290">
        <f>BE6-BE1</f>
        <v>3.5</v>
      </c>
      <c r="BF2" s="290">
        <f>BF6-BF1</f>
        <v>2.8710909090909098</v>
      </c>
      <c r="BG2" s="290">
        <f>BG6-BG1</f>
        <v>2.6999999999999886</v>
      </c>
      <c r="BH2" s="290">
        <f>BH6-BH1</f>
        <v>-1.2310000000000088</v>
      </c>
      <c r="BI2" s="290">
        <f t="shared" si="0"/>
        <v>0.86399999999999011</v>
      </c>
      <c r="BJ2" s="290">
        <f t="shared" si="0"/>
        <v>9.8379999999999939</v>
      </c>
      <c r="BK2" s="290">
        <f t="shared" si="0"/>
        <v>0.48458356309541273</v>
      </c>
      <c r="BL2" s="290">
        <f t="shared" si="0"/>
        <v>0.39782810199932328</v>
      </c>
      <c r="BM2" s="290">
        <f t="shared" si="0"/>
        <v>-0.34890938240690161</v>
      </c>
      <c r="BN2" s="290">
        <f t="shared" si="0"/>
        <v>-3.7664342467194984</v>
      </c>
      <c r="BO2" s="290">
        <f t="shared" si="0"/>
        <v>-2.1319999999999908</v>
      </c>
      <c r="BP2" s="290">
        <f t="shared" si="0"/>
        <v>-5.9999999999988063E-2</v>
      </c>
      <c r="BQ2" s="290">
        <f t="shared" ref="BQ2:BW2" si="1">BQ6-BQ1</f>
        <v>0.37126136363636419</v>
      </c>
      <c r="BR2" s="290">
        <f t="shared" si="1"/>
        <v>3.3449999999999989</v>
      </c>
      <c r="BS2" s="290">
        <f t="shared" si="1"/>
        <v>0.23099999999999454</v>
      </c>
      <c r="BT2" s="290">
        <f t="shared" si="1"/>
        <v>0</v>
      </c>
      <c r="BU2" s="290">
        <f t="shared" si="1"/>
        <v>0</v>
      </c>
      <c r="BV2" s="290">
        <f t="shared" si="1"/>
        <v>0</v>
      </c>
      <c r="BW2" s="290">
        <f t="shared" si="1"/>
        <v>-1.0677777777777777</v>
      </c>
      <c r="BX2" s="290">
        <f t="shared" ref="BX2:BY2" si="2">BX6-BX1</f>
        <v>-0.96444444444443889</v>
      </c>
      <c r="BY2" s="290">
        <f t="shared" si="2"/>
        <v>-1.0677777777777777</v>
      </c>
      <c r="BZ2" s="290">
        <f t="shared" ref="BZ2" si="3">BZ6-BZ1</f>
        <v>-1.0333333333333314</v>
      </c>
      <c r="CA2" s="290">
        <f>CA6-CA1</f>
        <v>1.3471000841042979</v>
      </c>
      <c r="CB2" s="577" t="s">
        <v>5</v>
      </c>
      <c r="CC2" s="601" t="s">
        <v>3</v>
      </c>
      <c r="CD2" s="602"/>
      <c r="CE2" s="555" t="s">
        <v>439</v>
      </c>
      <c r="CF2" s="290"/>
      <c r="CG2" s="290"/>
      <c r="CH2" s="290"/>
      <c r="CI2" s="290"/>
      <c r="CJ2" s="290"/>
      <c r="CK2" s="290"/>
      <c r="CL2" s="290"/>
    </row>
    <row r="3" spans="1:100" ht="15" thickBot="1">
      <c r="A3" s="870" t="s">
        <v>440</v>
      </c>
      <c r="B3" s="871"/>
      <c r="C3" s="103">
        <v>42370</v>
      </c>
      <c r="D3" s="104">
        <v>42401</v>
      </c>
      <c r="E3" s="103">
        <v>42430</v>
      </c>
      <c r="F3" s="104">
        <v>42461</v>
      </c>
      <c r="G3" s="103">
        <v>42491</v>
      </c>
      <c r="H3" s="104">
        <v>42522</v>
      </c>
      <c r="I3" s="105">
        <v>42552</v>
      </c>
      <c r="J3" s="104">
        <v>42583</v>
      </c>
      <c r="K3" s="104">
        <v>42614</v>
      </c>
      <c r="L3" s="106">
        <v>42644</v>
      </c>
      <c r="M3" s="107">
        <v>42675</v>
      </c>
      <c r="N3" s="104">
        <v>42705</v>
      </c>
      <c r="O3" s="108">
        <v>42736</v>
      </c>
      <c r="P3" s="108">
        <v>42767</v>
      </c>
      <c r="Q3" s="109">
        <v>42795</v>
      </c>
      <c r="R3" s="110">
        <v>42826</v>
      </c>
      <c r="S3" s="111">
        <v>42856</v>
      </c>
      <c r="T3" s="110">
        <v>42887</v>
      </c>
      <c r="U3" s="112">
        <v>42917</v>
      </c>
      <c r="V3" s="110">
        <v>42948</v>
      </c>
      <c r="W3" s="112">
        <v>42979</v>
      </c>
      <c r="X3" s="110">
        <v>43009</v>
      </c>
      <c r="Y3" s="112">
        <v>43040</v>
      </c>
      <c r="Z3" s="112">
        <v>43070</v>
      </c>
      <c r="AA3" s="112">
        <v>43101</v>
      </c>
      <c r="AB3" s="112">
        <v>43132</v>
      </c>
      <c r="AC3" s="112">
        <v>43160</v>
      </c>
      <c r="AD3" s="112">
        <v>43191</v>
      </c>
      <c r="AE3" s="112">
        <v>43221</v>
      </c>
      <c r="AF3" s="112">
        <v>43252</v>
      </c>
      <c r="AG3" s="112">
        <v>43282</v>
      </c>
      <c r="AH3" s="112">
        <v>43313</v>
      </c>
      <c r="AI3" s="112">
        <v>43344</v>
      </c>
      <c r="AJ3" s="112">
        <v>43374</v>
      </c>
      <c r="AK3" s="112">
        <v>43405</v>
      </c>
      <c r="AL3" s="112">
        <v>43435</v>
      </c>
      <c r="AM3" s="112">
        <v>43466</v>
      </c>
      <c r="AN3" s="112">
        <v>43497</v>
      </c>
      <c r="AO3" s="112">
        <v>43525</v>
      </c>
      <c r="AP3" s="112">
        <v>43556</v>
      </c>
      <c r="AQ3" s="112">
        <v>43586</v>
      </c>
      <c r="AR3" s="112">
        <v>43617</v>
      </c>
      <c r="AS3" s="112">
        <v>43647</v>
      </c>
      <c r="AT3" s="112">
        <v>43678</v>
      </c>
      <c r="AU3" s="112">
        <v>43709</v>
      </c>
      <c r="AV3" s="112">
        <v>43739</v>
      </c>
      <c r="AW3" s="112">
        <v>43770</v>
      </c>
      <c r="AX3" s="112">
        <v>43800</v>
      </c>
      <c r="AY3" s="112">
        <v>43831</v>
      </c>
      <c r="AZ3" s="112">
        <v>43862</v>
      </c>
      <c r="BA3" s="112">
        <v>43891</v>
      </c>
      <c r="BB3" s="113">
        <v>43922</v>
      </c>
      <c r="BC3" s="299">
        <v>43952</v>
      </c>
      <c r="BD3" s="299">
        <v>43983</v>
      </c>
      <c r="BE3" s="113">
        <v>44013</v>
      </c>
      <c r="BF3" s="113">
        <v>44044</v>
      </c>
      <c r="BG3" s="113">
        <v>44075</v>
      </c>
      <c r="BH3" s="113">
        <v>44105</v>
      </c>
      <c r="BI3" s="113">
        <v>44136</v>
      </c>
      <c r="BJ3" s="113">
        <v>44166</v>
      </c>
      <c r="BK3" s="113">
        <v>44197</v>
      </c>
      <c r="BL3" s="113">
        <v>44228</v>
      </c>
      <c r="BM3" s="113">
        <v>44256</v>
      </c>
      <c r="BN3" s="113">
        <v>44287</v>
      </c>
      <c r="BO3" s="113">
        <v>44317</v>
      </c>
      <c r="BP3" s="113">
        <v>44348</v>
      </c>
      <c r="BQ3" s="113">
        <v>44378</v>
      </c>
      <c r="BR3" s="113">
        <v>44409</v>
      </c>
      <c r="BS3" s="113">
        <v>44440</v>
      </c>
      <c r="BT3" s="113">
        <v>44470</v>
      </c>
      <c r="BU3" s="113">
        <v>44501</v>
      </c>
      <c r="BV3" s="113">
        <v>44531</v>
      </c>
      <c r="BW3" s="113">
        <v>44562</v>
      </c>
      <c r="BX3" s="113">
        <v>44593</v>
      </c>
      <c r="BY3" s="113">
        <v>44621</v>
      </c>
      <c r="BZ3" s="113">
        <v>44652</v>
      </c>
      <c r="CA3" s="113">
        <v>44682</v>
      </c>
      <c r="CB3" s="603"/>
      <c r="CC3" s="603"/>
      <c r="CD3" s="603"/>
      <c r="CE3" s="562"/>
      <c r="CF3" s="541"/>
      <c r="CG3" s="541"/>
      <c r="CH3" s="541"/>
      <c r="CI3" s="541"/>
      <c r="CJ3" s="541"/>
      <c r="CK3" s="541"/>
      <c r="CL3" s="541"/>
    </row>
    <row r="4" spans="1:100">
      <c r="A4" s="114"/>
      <c r="B4" s="114"/>
      <c r="C4" s="115"/>
      <c r="D4" s="115"/>
      <c r="E4" s="115"/>
      <c r="F4" s="115"/>
      <c r="G4" s="115"/>
      <c r="H4" s="116"/>
      <c r="I4" s="116"/>
      <c r="J4" s="116"/>
      <c r="K4" s="116"/>
      <c r="L4" s="116"/>
      <c r="M4" s="116"/>
      <c r="N4" s="116"/>
      <c r="O4" s="116">
        <v>31</v>
      </c>
      <c r="P4" s="116">
        <v>28</v>
      </c>
      <c r="Q4" s="116">
        <v>31</v>
      </c>
      <c r="R4" s="117">
        <v>30</v>
      </c>
      <c r="S4" s="117">
        <v>31</v>
      </c>
      <c r="T4" s="117">
        <v>30</v>
      </c>
      <c r="U4" s="117">
        <v>31</v>
      </c>
      <c r="V4" s="117">
        <v>31</v>
      </c>
      <c r="W4" s="117">
        <v>30</v>
      </c>
      <c r="X4" s="117">
        <v>31</v>
      </c>
      <c r="Y4" s="117">
        <v>30</v>
      </c>
      <c r="Z4" s="117">
        <v>31</v>
      </c>
      <c r="AA4" s="117">
        <v>31</v>
      </c>
      <c r="AB4" s="117">
        <v>28</v>
      </c>
      <c r="AC4" s="118">
        <v>31</v>
      </c>
      <c r="AD4" s="118">
        <v>30</v>
      </c>
      <c r="AE4" s="118">
        <v>31</v>
      </c>
      <c r="AF4" s="118">
        <v>30</v>
      </c>
      <c r="AG4" s="118">
        <v>31</v>
      </c>
      <c r="AH4" s="118">
        <v>31</v>
      </c>
      <c r="AI4" s="118">
        <v>30</v>
      </c>
      <c r="AJ4" s="118">
        <v>31</v>
      </c>
      <c r="AK4" s="118">
        <v>30</v>
      </c>
      <c r="AL4" s="118">
        <v>31</v>
      </c>
      <c r="AM4" s="118">
        <v>31</v>
      </c>
      <c r="AN4" s="118">
        <v>28</v>
      </c>
      <c r="AO4" s="118">
        <v>31</v>
      </c>
      <c r="AP4" s="118">
        <v>30</v>
      </c>
      <c r="AQ4" s="118">
        <v>31</v>
      </c>
      <c r="AR4" s="118">
        <v>30</v>
      </c>
      <c r="AS4" s="118">
        <v>31</v>
      </c>
      <c r="AT4" s="118">
        <v>31</v>
      </c>
      <c r="AU4" s="118">
        <v>30</v>
      </c>
      <c r="AV4" s="118">
        <v>31</v>
      </c>
      <c r="AW4" s="118">
        <v>30</v>
      </c>
      <c r="AX4" s="118">
        <v>31</v>
      </c>
      <c r="AY4" s="118">
        <v>31</v>
      </c>
      <c r="AZ4" s="118">
        <v>29</v>
      </c>
      <c r="BA4" s="118">
        <v>31</v>
      </c>
      <c r="BB4" s="118">
        <v>30</v>
      </c>
      <c r="BC4" s="118">
        <v>31</v>
      </c>
      <c r="BD4" s="118">
        <v>30</v>
      </c>
      <c r="BE4" s="118">
        <v>31</v>
      </c>
      <c r="BF4" s="118">
        <v>31</v>
      </c>
      <c r="BG4" s="118">
        <v>30</v>
      </c>
      <c r="BH4" s="118">
        <v>31</v>
      </c>
      <c r="BI4" s="118">
        <v>30</v>
      </c>
      <c r="BJ4" s="118">
        <v>31</v>
      </c>
      <c r="BK4" s="118">
        <v>31</v>
      </c>
      <c r="BL4" s="447">
        <v>28</v>
      </c>
      <c r="BM4" s="447">
        <v>31</v>
      </c>
      <c r="BN4" s="447">
        <v>30</v>
      </c>
      <c r="BO4" s="447">
        <v>31</v>
      </c>
      <c r="BP4" s="447">
        <v>30</v>
      </c>
      <c r="BQ4" s="447">
        <v>31</v>
      </c>
      <c r="BR4" s="447">
        <v>31</v>
      </c>
      <c r="BS4" s="447">
        <v>30</v>
      </c>
      <c r="BT4" s="447">
        <v>31</v>
      </c>
      <c r="BU4" s="447">
        <v>30</v>
      </c>
      <c r="BV4" s="447">
        <v>31</v>
      </c>
      <c r="BW4" s="447">
        <v>31</v>
      </c>
      <c r="BX4" s="447">
        <v>28</v>
      </c>
      <c r="BY4" s="447">
        <v>31</v>
      </c>
      <c r="BZ4" s="447">
        <v>30</v>
      </c>
      <c r="CA4" s="447">
        <v>30</v>
      </c>
      <c r="CB4" s="173" t="s">
        <v>11</v>
      </c>
      <c r="CC4" s="604" t="s">
        <v>12</v>
      </c>
      <c r="CD4" s="602"/>
      <c r="CE4" s="528" t="s">
        <v>11</v>
      </c>
      <c r="CF4" s="542"/>
      <c r="CG4" s="542"/>
      <c r="CH4" s="542"/>
      <c r="CI4" s="542"/>
      <c r="CJ4" s="542"/>
      <c r="CK4" s="542"/>
      <c r="CL4" s="542"/>
      <c r="CM4" s="101" t="s">
        <v>441</v>
      </c>
      <c r="CN4" s="101" t="s">
        <v>1</v>
      </c>
      <c r="CP4" s="373" t="s">
        <v>441</v>
      </c>
      <c r="CQ4" s="374" t="s">
        <v>1</v>
      </c>
      <c r="CR4" s="373" t="s">
        <v>441</v>
      </c>
      <c r="CS4" s="374" t="s">
        <v>1</v>
      </c>
    </row>
    <row r="5" spans="1:100" ht="15" thickBot="1">
      <c r="A5" s="114"/>
      <c r="B5" s="114"/>
      <c r="C5" s="115"/>
      <c r="D5" s="115"/>
      <c r="E5" s="115"/>
      <c r="F5" s="115"/>
      <c r="G5" s="115"/>
      <c r="H5" s="116"/>
      <c r="I5" s="116"/>
      <c r="J5" s="116"/>
      <c r="K5" s="116"/>
      <c r="L5" s="116"/>
      <c r="M5" s="116"/>
      <c r="N5" s="116"/>
      <c r="O5" s="116"/>
      <c r="P5" s="116"/>
      <c r="Q5" s="119">
        <v>87.28</v>
      </c>
      <c r="R5" s="119">
        <v>80.59</v>
      </c>
      <c r="S5" s="119"/>
      <c r="T5" s="119"/>
      <c r="U5" s="119"/>
      <c r="V5" s="120"/>
      <c r="W5" s="119"/>
      <c r="X5" s="119"/>
      <c r="Y5" s="119"/>
      <c r="Z5" s="119"/>
      <c r="AA5" s="119"/>
      <c r="AB5" s="119"/>
      <c r="AC5" s="121"/>
      <c r="AD5" s="121"/>
      <c r="AE5" s="121"/>
      <c r="AF5" s="121"/>
      <c r="AG5" s="121"/>
      <c r="AH5" s="121"/>
      <c r="AI5" s="121"/>
      <c r="AJ5" s="121"/>
      <c r="AK5" s="121"/>
      <c r="AL5" s="121"/>
      <c r="AM5" s="121"/>
      <c r="AN5" s="121"/>
      <c r="AO5" s="121"/>
      <c r="AP5" s="121"/>
      <c r="AQ5" s="121"/>
      <c r="AR5" s="121"/>
      <c r="AS5" s="121"/>
      <c r="AT5" s="121"/>
      <c r="AU5" s="121"/>
      <c r="AV5" s="121"/>
      <c r="AW5" s="121"/>
      <c r="AX5" s="121"/>
      <c r="AY5" s="121"/>
      <c r="AZ5" s="121"/>
      <c r="BA5" s="121"/>
      <c r="BB5" s="121"/>
      <c r="BC5" s="121"/>
      <c r="BD5" s="121"/>
      <c r="BE5" s="121"/>
      <c r="BF5" s="121"/>
      <c r="BG5" s="121"/>
      <c r="BH5" s="121"/>
      <c r="BI5" s="121"/>
      <c r="BJ5" s="121"/>
      <c r="BK5" s="121"/>
      <c r="BL5" s="121"/>
      <c r="BM5" s="121"/>
      <c r="BN5" s="121"/>
      <c r="BO5" s="121"/>
      <c r="BP5" s="121"/>
      <c r="BQ5" s="121"/>
      <c r="BR5" s="121"/>
      <c r="BS5" s="121"/>
      <c r="BT5" s="121"/>
      <c r="BU5" s="121"/>
      <c r="BV5" s="121"/>
      <c r="BW5" s="121"/>
      <c r="BX5" s="121"/>
      <c r="BY5" s="121"/>
      <c r="BZ5" s="121"/>
      <c r="CA5" s="121"/>
      <c r="CB5" s="605"/>
      <c r="CD5" s="605" t="s">
        <v>442</v>
      </c>
      <c r="CE5" s="563"/>
      <c r="CF5" s="543"/>
      <c r="CG5" s="543"/>
      <c r="CH5" s="543"/>
      <c r="CI5" s="543"/>
      <c r="CJ5" s="543"/>
      <c r="CK5" s="543"/>
      <c r="CL5" s="543"/>
      <c r="CM5" s="122">
        <v>2019</v>
      </c>
      <c r="CP5" s="375">
        <v>2020</v>
      </c>
      <c r="CQ5" s="376">
        <v>2020</v>
      </c>
      <c r="CR5" s="375">
        <v>2021</v>
      </c>
      <c r="CS5" s="376">
        <v>2021</v>
      </c>
    </row>
    <row r="6" spans="1:100" s="122" customFormat="1" ht="15" thickBot="1">
      <c r="A6" s="123" t="s">
        <v>443</v>
      </c>
      <c r="B6" s="349" t="s">
        <v>444</v>
      </c>
      <c r="C6" s="124"/>
      <c r="D6" s="125">
        <v>81.403073829000007</v>
      </c>
      <c r="E6" s="125">
        <v>82.923235591999997</v>
      </c>
      <c r="F6" s="125">
        <v>88.145956060999993</v>
      </c>
      <c r="G6" s="125">
        <v>86.867129508999994</v>
      </c>
      <c r="H6" s="125">
        <v>85.79563047900001</v>
      </c>
      <c r="I6" s="125">
        <v>90.18</v>
      </c>
      <c r="J6" s="126">
        <v>86.242000000000004</v>
      </c>
      <c r="K6" s="125">
        <v>87.343999999999994</v>
      </c>
      <c r="L6" s="125">
        <v>91.8</v>
      </c>
      <c r="M6" s="127">
        <v>87.174999999999997</v>
      </c>
      <c r="N6" s="125">
        <v>88.4</v>
      </c>
      <c r="O6" s="127">
        <v>87.058000000000007</v>
      </c>
      <c r="P6" s="125">
        <v>80.992999999999995</v>
      </c>
      <c r="Q6" s="125">
        <v>90.6</v>
      </c>
      <c r="R6" s="128">
        <v>76.8</v>
      </c>
      <c r="S6" s="129">
        <v>86.93</v>
      </c>
      <c r="T6" s="130">
        <v>79.861000000000004</v>
      </c>
      <c r="U6" s="131">
        <v>76.353999999999999</v>
      </c>
      <c r="V6" s="131">
        <v>82.415999999999997</v>
      </c>
      <c r="W6" s="131">
        <v>77.09</v>
      </c>
      <c r="X6" s="131">
        <f>88.073</f>
        <v>88.072999999999993</v>
      </c>
      <c r="Y6" s="131">
        <v>90.5</v>
      </c>
      <c r="Z6" s="131">
        <v>89.215999999999994</v>
      </c>
      <c r="AA6" s="131">
        <v>86.5</v>
      </c>
      <c r="AB6" s="131">
        <v>75.268000000000001</v>
      </c>
      <c r="AC6" s="131">
        <v>82</v>
      </c>
      <c r="AD6" s="131">
        <v>77.295000000000002</v>
      </c>
      <c r="AE6" s="131">
        <v>82.748999999999995</v>
      </c>
      <c r="AF6" s="131">
        <v>81.87</v>
      </c>
      <c r="AG6" s="131">
        <v>80.123000000000005</v>
      </c>
      <c r="AH6" s="131">
        <v>82.5</v>
      </c>
      <c r="AI6" s="132">
        <v>72.971090909090918</v>
      </c>
      <c r="AJ6" s="131">
        <v>82.519000000000005</v>
      </c>
      <c r="AK6" s="131">
        <v>78.2</v>
      </c>
      <c r="AL6" s="131">
        <v>79.95</v>
      </c>
      <c r="AM6" s="131">
        <v>69.930000000000007</v>
      </c>
      <c r="AN6" s="131">
        <v>70.343999999999994</v>
      </c>
      <c r="AO6" s="131">
        <v>84</v>
      </c>
      <c r="AP6" s="131">
        <v>81</v>
      </c>
      <c r="AQ6" s="131">
        <v>80.637</v>
      </c>
      <c r="AR6" s="131">
        <v>78</v>
      </c>
      <c r="AS6" s="131">
        <v>84.4</v>
      </c>
      <c r="AT6" s="131">
        <v>83.894000000000005</v>
      </c>
      <c r="AU6" s="131">
        <v>80.683999999999997</v>
      </c>
      <c r="AV6" s="131">
        <v>81.3</v>
      </c>
      <c r="AW6" s="131">
        <v>83</v>
      </c>
      <c r="AX6" s="131">
        <v>85.6</v>
      </c>
      <c r="AY6" s="131">
        <v>80.5</v>
      </c>
      <c r="AZ6" s="131">
        <v>69.8</v>
      </c>
      <c r="BA6" s="218">
        <v>80.8</v>
      </c>
      <c r="BB6" s="293">
        <v>64.5</v>
      </c>
      <c r="BC6" s="219">
        <v>57.164000000000001</v>
      </c>
      <c r="BD6" s="219">
        <v>61.2</v>
      </c>
      <c r="BE6" s="348">
        <v>66.2</v>
      </c>
      <c r="BF6" s="350">
        <v>74.459000000000003</v>
      </c>
      <c r="BG6" s="350">
        <v>76.599999999999994</v>
      </c>
      <c r="BH6" s="350">
        <v>78.070999999999998</v>
      </c>
      <c r="BI6" s="350">
        <v>72.078999999999994</v>
      </c>
      <c r="BJ6" s="350">
        <v>79</v>
      </c>
      <c r="BK6" s="350">
        <v>81.884583563095418</v>
      </c>
      <c r="BL6" s="350">
        <v>74.094341584171758</v>
      </c>
      <c r="BM6" s="350">
        <v>81.946651191796008</v>
      </c>
      <c r="BN6" s="350">
        <f>77.8200426351403-2-1.5</f>
        <v>74.320042635140297</v>
      </c>
      <c r="BO6" s="350">
        <v>80.7</v>
      </c>
      <c r="BP6" s="350">
        <v>78</v>
      </c>
      <c r="BQ6" s="350">
        <v>63.762</v>
      </c>
      <c r="BR6" s="350">
        <v>80.289999999999992</v>
      </c>
      <c r="BS6" s="350">
        <v>71.589999999999989</v>
      </c>
      <c r="BT6" s="350">
        <v>64.580317311041441</v>
      </c>
      <c r="BU6" s="350">
        <v>72.844310663404428</v>
      </c>
      <c r="BV6" s="350">
        <v>74.768213718344072</v>
      </c>
      <c r="BW6" s="350">
        <v>73.700435940566294</v>
      </c>
      <c r="BX6" s="350">
        <v>66.568135688253435</v>
      </c>
      <c r="BY6" s="350">
        <v>73.706435940566294</v>
      </c>
      <c r="BZ6" s="350">
        <v>71.326002523128665</v>
      </c>
      <c r="CA6" s="350">
        <v>73.706435940566294</v>
      </c>
      <c r="CB6" s="606" t="s">
        <v>445</v>
      </c>
      <c r="CC6" s="601" t="s">
        <v>3</v>
      </c>
      <c r="CD6" s="602"/>
      <c r="CE6" s="564"/>
      <c r="CF6" s="544"/>
      <c r="CG6" s="544"/>
      <c r="CH6" s="544"/>
      <c r="CI6" s="544"/>
      <c r="CJ6" s="544"/>
      <c r="CK6" s="544"/>
      <c r="CL6" s="544"/>
      <c r="CM6" s="664">
        <v>73.448999999999998</v>
      </c>
      <c r="CN6" s="664">
        <f>CM6*0.648</f>
        <v>47.594951999999999</v>
      </c>
      <c r="CO6" s="172"/>
      <c r="CP6" s="377">
        <f>SUM(AY6:BJ6)</f>
        <v>860.37300000000005</v>
      </c>
      <c r="CQ6" s="378">
        <f>CP6*0.648</f>
        <v>557.521704</v>
      </c>
      <c r="CR6" s="377">
        <f>SUM(BK6:BV6)</f>
        <v>898.78046066699346</v>
      </c>
      <c r="CS6" s="378">
        <f>CR6*0.648</f>
        <v>582.40973851221179</v>
      </c>
    </row>
    <row r="7" spans="1:100" s="122" customFormat="1">
      <c r="A7" s="872" t="s">
        <v>446</v>
      </c>
      <c r="B7" s="346" t="s">
        <v>447</v>
      </c>
      <c r="C7" s="133">
        <v>53.985610000000001</v>
      </c>
      <c r="D7" s="134">
        <v>45.941310999999999</v>
      </c>
      <c r="E7" s="134">
        <v>46.670610000000003</v>
      </c>
      <c r="F7" s="134">
        <v>49.345337000000001</v>
      </c>
      <c r="G7" s="134">
        <v>50.110622999999997</v>
      </c>
      <c r="H7" s="134">
        <v>50.597169999999998</v>
      </c>
      <c r="I7" s="135">
        <v>52.5</v>
      </c>
      <c r="J7" s="136">
        <v>52.5</v>
      </c>
      <c r="K7" s="135">
        <v>52.5</v>
      </c>
      <c r="L7" s="135">
        <v>55</v>
      </c>
      <c r="M7" s="137">
        <v>58</v>
      </c>
      <c r="N7" s="135">
        <v>55.648000000000003</v>
      </c>
      <c r="O7" s="135">
        <v>31</v>
      </c>
      <c r="P7" s="135">
        <v>28.548999999999999</v>
      </c>
      <c r="Q7" s="136">
        <v>30</v>
      </c>
      <c r="R7" s="136">
        <v>26.234000000000002</v>
      </c>
      <c r="S7" s="136">
        <v>21.6</v>
      </c>
      <c r="T7" s="136">
        <v>4.5999999999999996</v>
      </c>
      <c r="U7" s="136">
        <v>23</v>
      </c>
      <c r="V7" s="136">
        <v>25</v>
      </c>
      <c r="W7" s="136">
        <v>21.5</v>
      </c>
      <c r="X7" s="136">
        <f>27.8+3.4</f>
        <v>31.2</v>
      </c>
      <c r="Y7" s="136">
        <v>34</v>
      </c>
      <c r="Z7" s="136">
        <f>33.179+2</f>
        <v>35.179000000000002</v>
      </c>
      <c r="AA7" s="138">
        <f>1000*AA4/1000</f>
        <v>31</v>
      </c>
      <c r="AB7" s="139">
        <f>1050*AB4/1000</f>
        <v>29.4</v>
      </c>
      <c r="AC7" s="139">
        <v>23.6</v>
      </c>
      <c r="AD7" s="139">
        <v>27.78</v>
      </c>
      <c r="AE7" s="139">
        <v>23</v>
      </c>
      <c r="AF7" s="139">
        <v>28.56</v>
      </c>
      <c r="AG7" s="139">
        <v>27.32</v>
      </c>
      <c r="AH7" s="139">
        <v>22.5</v>
      </c>
      <c r="AI7" s="140">
        <v>15</v>
      </c>
      <c r="AJ7" s="139">
        <v>23.8</v>
      </c>
      <c r="AK7" s="139">
        <f>23/0.648</f>
        <v>35.493827160493829</v>
      </c>
      <c r="AL7" s="139">
        <f>19.5/0.648</f>
        <v>30.092592592592592</v>
      </c>
      <c r="AM7" s="139">
        <f>12/0.648</f>
        <v>18.518518518518519</v>
      </c>
      <c r="AN7" s="139">
        <f>15/0.648</f>
        <v>23.148148148148149</v>
      </c>
      <c r="AO7" s="139">
        <f>21/0.648</f>
        <v>32.407407407407405</v>
      </c>
      <c r="AP7" s="139">
        <f>21/0.648</f>
        <v>32.407407407407405</v>
      </c>
      <c r="AQ7" s="139">
        <f>17/0.648</f>
        <v>26.234567901234566</v>
      </c>
      <c r="AR7" s="139">
        <f>19/0.648</f>
        <v>29.320987654320987</v>
      </c>
      <c r="AS7" s="139">
        <f>18.5/0.648</f>
        <v>28.549382716049383</v>
      </c>
      <c r="AT7" s="139">
        <f>20/0.648</f>
        <v>30.864197530864196</v>
      </c>
      <c r="AU7" s="139">
        <f>19/0.648</f>
        <v>29.320987654320987</v>
      </c>
      <c r="AV7" s="139">
        <f>18/0.648</f>
        <v>27.777777777777779</v>
      </c>
      <c r="AW7" s="139">
        <f>17.5/0.648</f>
        <v>27.006172839506171</v>
      </c>
      <c r="AX7" s="139">
        <v>32.407407407407398</v>
      </c>
      <c r="AY7" s="139">
        <f>(15+3+1)/0.648</f>
        <v>29.320987654320987</v>
      </c>
      <c r="AZ7" s="139">
        <f>5.8/0.648</f>
        <v>8.9506172839506171</v>
      </c>
      <c r="BA7" s="146">
        <f>(22.5+2.7)/0.648</f>
        <v>38.888888888888886</v>
      </c>
      <c r="BB7" s="146">
        <f>15/0.648</f>
        <v>23.148148148148149</v>
      </c>
      <c r="BC7" s="146">
        <f>9/0.648</f>
        <v>13.888888888888889</v>
      </c>
      <c r="BD7" s="146">
        <f>5/0.648</f>
        <v>7.716049382716049</v>
      </c>
      <c r="BE7" s="146">
        <f>5/0.648</f>
        <v>7.716049382716049</v>
      </c>
      <c r="BF7" s="146">
        <f>15/0.648</f>
        <v>23.148148148148149</v>
      </c>
      <c r="BG7" s="146">
        <f>23/0.648</f>
        <v>35.493827160493829</v>
      </c>
      <c r="BH7" s="146">
        <f>25.5/0.648</f>
        <v>39.351851851851848</v>
      </c>
      <c r="BI7" s="146">
        <f>(21.5-1.5)/0.648</f>
        <v>30.864197530864196</v>
      </c>
      <c r="BJ7" s="146">
        <f>22/0.648</f>
        <v>33.950617283950614</v>
      </c>
      <c r="BK7" s="146">
        <f>24.5/0.648</f>
        <v>37.808641975308639</v>
      </c>
      <c r="BL7" s="146">
        <f>(23+1.5)/0.648</f>
        <v>37.808641975308639</v>
      </c>
      <c r="BM7" s="146">
        <f>26/0.648</f>
        <v>40.123456790123456</v>
      </c>
      <c r="BN7" s="146">
        <f>(19)/0.648</f>
        <v>29.320987654320987</v>
      </c>
      <c r="BO7" s="146">
        <f>(26/0.648)</f>
        <v>40.123456790123456</v>
      </c>
      <c r="BP7" s="146">
        <f>21.5/0.648</f>
        <v>33.179012345679013</v>
      </c>
      <c r="BQ7" s="146">
        <f>19/0.648</f>
        <v>29.320987654320987</v>
      </c>
      <c r="BR7" s="147">
        <f>24/0.648</f>
        <v>37.037037037037038</v>
      </c>
      <c r="BS7" s="147">
        <f>19/0.648</f>
        <v>29.320987654320987</v>
      </c>
      <c r="BT7" s="147">
        <f>16.5/0.648</f>
        <v>25.462962962962962</v>
      </c>
      <c r="BU7" s="147">
        <f>20/0.648</f>
        <v>30.864197530864196</v>
      </c>
      <c r="BV7" s="147">
        <f>20/0.648</f>
        <v>30.864197530864196</v>
      </c>
      <c r="BW7" s="147">
        <f>19.5/0.648</f>
        <v>30.092592592592592</v>
      </c>
      <c r="BX7" s="147">
        <f>17.5/0.648</f>
        <v>27.006172839506171</v>
      </c>
      <c r="BY7" s="147">
        <f>19.5/0.648</f>
        <v>30.092592592592592</v>
      </c>
      <c r="BZ7" s="147">
        <f>19/0.648</f>
        <v>29.320987654320987</v>
      </c>
      <c r="CA7" s="147">
        <f>20/0.648</f>
        <v>30.864197530864196</v>
      </c>
      <c r="CB7" s="512" t="s">
        <v>448</v>
      </c>
      <c r="CC7" s="601" t="s">
        <v>3</v>
      </c>
      <c r="CD7" s="602"/>
      <c r="CE7" s="556" t="s">
        <v>449</v>
      </c>
      <c r="CF7" s="545"/>
      <c r="CG7" s="545"/>
      <c r="CH7" s="545"/>
      <c r="CI7" s="545"/>
      <c r="CJ7" s="545"/>
      <c r="CK7" s="545"/>
      <c r="CL7" s="545"/>
      <c r="CM7" s="664">
        <f>SUM(AM7:AX7)</f>
        <v>337.96296296296299</v>
      </c>
      <c r="CN7" s="664">
        <f>CM7*0.648</f>
        <v>219.00000000000003</v>
      </c>
      <c r="CO7" s="122">
        <f>CM7/CM6</f>
        <v>4.6013283089349484</v>
      </c>
      <c r="CP7" s="377">
        <f>SUM(AY7:BJ7)</f>
        <v>292.43827160493828</v>
      </c>
      <c r="CQ7" s="378">
        <f>CP7*0.648</f>
        <v>189.5</v>
      </c>
      <c r="CR7" s="377">
        <f>SUM(BK7:BV7)</f>
        <v>401.23456790123453</v>
      </c>
      <c r="CS7" s="378">
        <f>CR7*0.648</f>
        <v>260</v>
      </c>
      <c r="CT7" s="172">
        <f>CS7*0.9</f>
        <v>234</v>
      </c>
      <c r="CV7" s="172"/>
    </row>
    <row r="8" spans="1:100" s="122" customFormat="1" ht="15" thickBot="1">
      <c r="A8" s="873"/>
      <c r="B8" s="347" t="s">
        <v>450</v>
      </c>
      <c r="C8" s="141">
        <v>30.989631000000003</v>
      </c>
      <c r="D8" s="142">
        <v>29.898712</v>
      </c>
      <c r="E8" s="142">
        <v>32.193482000000003</v>
      </c>
      <c r="F8" s="142">
        <v>31.362504000000001</v>
      </c>
      <c r="G8" s="142">
        <v>31.123810000000002</v>
      </c>
      <c r="H8" s="142">
        <v>33.331128</v>
      </c>
      <c r="I8" s="143">
        <v>32</v>
      </c>
      <c r="J8" s="144">
        <v>33</v>
      </c>
      <c r="K8" s="143">
        <v>30</v>
      </c>
      <c r="L8" s="143">
        <v>30</v>
      </c>
      <c r="M8" s="145">
        <v>25</v>
      </c>
      <c r="N8" s="143">
        <v>29.111000000000001</v>
      </c>
      <c r="O8" s="143">
        <v>50</v>
      </c>
      <c r="P8" s="143">
        <v>53</v>
      </c>
      <c r="Q8" s="143">
        <f>53+0.8</f>
        <v>53.8</v>
      </c>
      <c r="R8" s="143">
        <v>53</v>
      </c>
      <c r="S8" s="143">
        <v>58</v>
      </c>
      <c r="T8" s="143">
        <v>56</v>
      </c>
      <c r="U8" s="143">
        <v>56</v>
      </c>
      <c r="V8" s="143">
        <v>55</v>
      </c>
      <c r="W8" s="143">
        <v>54</v>
      </c>
      <c r="X8" s="143">
        <v>58</v>
      </c>
      <c r="Y8" s="143">
        <v>56</v>
      </c>
      <c r="Z8" s="143">
        <v>55</v>
      </c>
      <c r="AA8" s="146">
        <f>48/0.648*AA4*24/1000</f>
        <v>55.111111111111114</v>
      </c>
      <c r="AB8" s="146">
        <f t="shared" ref="AB8:AG8" si="4">48/0.648*AB4*24/1000</f>
        <v>49.777777777777771</v>
      </c>
      <c r="AC8" s="146">
        <f t="shared" si="4"/>
        <v>55.111111111111114</v>
      </c>
      <c r="AD8" s="146">
        <f t="shared" si="4"/>
        <v>53.333333333333329</v>
      </c>
      <c r="AE8" s="146">
        <f t="shared" si="4"/>
        <v>55.111111111111114</v>
      </c>
      <c r="AF8" s="146">
        <f t="shared" si="4"/>
        <v>53.333333333333329</v>
      </c>
      <c r="AG8" s="146">
        <f t="shared" si="4"/>
        <v>55.111111111111114</v>
      </c>
      <c r="AH8" s="146">
        <f>48/0.648*AH4*24/1000</f>
        <v>55.111111111111114</v>
      </c>
      <c r="AI8" s="146">
        <v>46.9</v>
      </c>
      <c r="AJ8" s="146">
        <v>45</v>
      </c>
      <c r="AK8" s="146">
        <v>40</v>
      </c>
      <c r="AL8" s="146">
        <f>48/0.648*AL4*24/1000</f>
        <v>55.111111111111114</v>
      </c>
      <c r="AM8" s="146">
        <f>52-7</f>
        <v>45</v>
      </c>
      <c r="AN8" s="146">
        <v>48</v>
      </c>
      <c r="AO8" s="146">
        <v>55</v>
      </c>
      <c r="AP8" s="146">
        <v>53</v>
      </c>
      <c r="AQ8" s="146">
        <v>55</v>
      </c>
      <c r="AR8" s="146">
        <v>53</v>
      </c>
      <c r="AS8" s="146">
        <v>55</v>
      </c>
      <c r="AT8" s="146">
        <v>55</v>
      </c>
      <c r="AU8" s="146">
        <v>51.5</v>
      </c>
      <c r="AV8" s="146">
        <f>48*AV4/0.648/1000*24</f>
        <v>55.111111111111114</v>
      </c>
      <c r="AW8" s="146">
        <f>48*AW4/0.648/1000*24</f>
        <v>53.333333333333336</v>
      </c>
      <c r="AX8" s="146">
        <v>55</v>
      </c>
      <c r="AY8" s="146">
        <f>53+2</f>
        <v>55</v>
      </c>
      <c r="AZ8" s="146">
        <f>48/0.648*AZ4*24/1000</f>
        <v>51.555555555555564</v>
      </c>
      <c r="BA8" s="146">
        <v>43.6</v>
      </c>
      <c r="BB8" s="146">
        <v>42.2</v>
      </c>
      <c r="BC8" s="146">
        <v>42.2</v>
      </c>
      <c r="BD8" s="146">
        <f>48/0.648*BD4*24/1000</f>
        <v>53.333333333333329</v>
      </c>
      <c r="BE8" s="146">
        <v>58.857999999999997</v>
      </c>
      <c r="BF8" s="146">
        <f>48/0.648*BF4*24/1000</f>
        <v>55.111111111111114</v>
      </c>
      <c r="BG8" s="146">
        <f>38/0.648*BG4*24/1000</f>
        <v>42.222222222222221</v>
      </c>
      <c r="BH8" s="146">
        <f>38/0.648*BH4*24/1000</f>
        <v>43.629629629629626</v>
      </c>
      <c r="BI8" s="146">
        <f>(38/0.648*BI4*24/1000)-2.22</f>
        <v>40.002222222222223</v>
      </c>
      <c r="BJ8" s="146">
        <f>(38/0.648*BJ4*24/1000)-3.03+2</f>
        <v>42.599629629629625</v>
      </c>
      <c r="BK8" s="146">
        <v>45</v>
      </c>
      <c r="BL8" s="146">
        <v>39</v>
      </c>
      <c r="BM8" s="146">
        <f>38/0.648*BM4*24/1000</f>
        <v>43.629629629629626</v>
      </c>
      <c r="BN8" s="146">
        <v>43.7</v>
      </c>
      <c r="BO8" s="146">
        <f t="shared" ref="BO8:BX8" si="5">38/0.648*BO4*24/1000</f>
        <v>43.629629629629626</v>
      </c>
      <c r="BP8" s="146">
        <f t="shared" si="5"/>
        <v>42.222222222222221</v>
      </c>
      <c r="BQ8" s="146">
        <v>33</v>
      </c>
      <c r="BR8" s="147">
        <f t="shared" si="5"/>
        <v>43.629629629629626</v>
      </c>
      <c r="BS8" s="147">
        <f t="shared" si="5"/>
        <v>42.222222222222221</v>
      </c>
      <c r="BT8" s="381">
        <f>34/0.648*BT4*24/1000</f>
        <v>39.037037037037038</v>
      </c>
      <c r="BU8" s="147">
        <f t="shared" si="5"/>
        <v>42.222222222222221</v>
      </c>
      <c r="BV8" s="147">
        <f>38/0.648*BV4*24/1000</f>
        <v>43.629629629629626</v>
      </c>
      <c r="BW8" s="147">
        <f t="shared" si="5"/>
        <v>43.629629629629626</v>
      </c>
      <c r="BX8" s="147">
        <f t="shared" si="5"/>
        <v>39.407407407407412</v>
      </c>
      <c r="BY8" s="147">
        <f t="shared" ref="BY8:BZ8" si="6">38/0.648*BY4*24/1000</f>
        <v>43.629629629629626</v>
      </c>
      <c r="BZ8" s="147">
        <f t="shared" si="6"/>
        <v>42.222222222222221</v>
      </c>
      <c r="CA8" s="147">
        <f>38/0.648*CA4*24/1000</f>
        <v>42.222222222222221</v>
      </c>
      <c r="CB8" s="512" t="s">
        <v>448</v>
      </c>
      <c r="CC8" s="601" t="s">
        <v>3</v>
      </c>
      <c r="CD8" s="845" t="s">
        <v>451</v>
      </c>
      <c r="CE8" s="557" t="s">
        <v>452</v>
      </c>
      <c r="CG8" s="545"/>
      <c r="CH8" s="545"/>
      <c r="CJ8" s="545"/>
      <c r="CK8" s="554" t="s">
        <v>453</v>
      </c>
      <c r="CL8" s="545"/>
      <c r="CM8" s="664">
        <f>SUM(AM8:AX8)</f>
        <v>633.94444444444446</v>
      </c>
      <c r="CN8" s="664">
        <f>CM8*0.648</f>
        <v>410.79600000000005</v>
      </c>
      <c r="CO8" s="122">
        <f>CM8/CM6</f>
        <v>8.631083397247675</v>
      </c>
      <c r="CP8" s="379">
        <f>SUM(AY8:BJ8)</f>
        <v>570.31170370370364</v>
      </c>
      <c r="CQ8" s="380">
        <f>CP8*0.648</f>
        <v>369.561984</v>
      </c>
      <c r="CR8" s="379">
        <f>SUM(BK8:BV8)</f>
        <v>500.92222222222222</v>
      </c>
      <c r="CS8" s="380">
        <f>CR8*0.648</f>
        <v>324.5976</v>
      </c>
      <c r="CT8" s="172">
        <f>CS8*0.9</f>
        <v>292.13783999999998</v>
      </c>
    </row>
    <row r="9" spans="1:100" s="122" customFormat="1">
      <c r="A9" s="873"/>
      <c r="B9" s="347" t="s">
        <v>454</v>
      </c>
      <c r="C9" s="141">
        <v>0.78237099999999993</v>
      </c>
      <c r="D9" s="142">
        <v>0.7522279999999999</v>
      </c>
      <c r="E9" s="142">
        <v>0.775474</v>
      </c>
      <c r="F9" s="142">
        <v>0.79658699999999993</v>
      </c>
      <c r="G9" s="142">
        <v>0.84058900000000003</v>
      </c>
      <c r="H9" s="142">
        <v>0.81647700000000001</v>
      </c>
      <c r="I9" s="143">
        <v>0.8</v>
      </c>
      <c r="J9" s="144">
        <v>0.8</v>
      </c>
      <c r="K9" s="143">
        <v>0.8</v>
      </c>
      <c r="L9" s="143">
        <v>0.8</v>
      </c>
      <c r="M9" s="148">
        <v>0.8</v>
      </c>
      <c r="N9" s="143">
        <v>0.8</v>
      </c>
      <c r="O9" s="143">
        <v>0.8</v>
      </c>
      <c r="P9" s="143">
        <v>0.8</v>
      </c>
      <c r="Q9" s="144">
        <v>0.8</v>
      </c>
      <c r="R9" s="144">
        <v>0</v>
      </c>
      <c r="S9" s="144">
        <v>0</v>
      </c>
      <c r="T9" s="144">
        <v>0</v>
      </c>
      <c r="U9" s="144">
        <v>0</v>
      </c>
      <c r="V9" s="144">
        <v>0</v>
      </c>
      <c r="W9" s="144">
        <v>0</v>
      </c>
      <c r="X9" s="144"/>
      <c r="Y9" s="144"/>
      <c r="Z9" s="144">
        <v>0</v>
      </c>
      <c r="AA9" s="146"/>
      <c r="AB9" s="149"/>
      <c r="AC9" s="149">
        <v>0</v>
      </c>
      <c r="AD9" s="150">
        <v>-2.5</v>
      </c>
      <c r="AE9" s="149">
        <v>0</v>
      </c>
      <c r="AF9" s="149">
        <v>0</v>
      </c>
      <c r="AG9" s="149">
        <v>0</v>
      </c>
      <c r="AH9" s="149">
        <v>0</v>
      </c>
      <c r="AI9" s="149">
        <v>0</v>
      </c>
      <c r="AJ9" s="149">
        <v>0</v>
      </c>
      <c r="AK9" s="151"/>
      <c r="AL9" s="149"/>
      <c r="AM9" s="149"/>
      <c r="AN9" s="149">
        <v>0</v>
      </c>
      <c r="AO9" s="149"/>
      <c r="AP9" s="149"/>
      <c r="AQ9" s="149"/>
      <c r="AR9" s="149">
        <v>0</v>
      </c>
      <c r="AS9" s="149">
        <v>0</v>
      </c>
      <c r="AT9" s="149">
        <v>0</v>
      </c>
      <c r="AU9" s="149">
        <v>0</v>
      </c>
      <c r="AV9" s="149">
        <v>0</v>
      </c>
      <c r="AW9" s="149">
        <v>0</v>
      </c>
      <c r="AX9" s="149">
        <v>0</v>
      </c>
      <c r="AY9" s="149">
        <v>0</v>
      </c>
      <c r="AZ9" s="149"/>
      <c r="BA9" s="149"/>
      <c r="BB9" s="149"/>
      <c r="BC9" s="149">
        <v>0</v>
      </c>
      <c r="BD9" s="149">
        <v>0</v>
      </c>
      <c r="BE9" s="149"/>
      <c r="BF9" s="149">
        <v>0</v>
      </c>
      <c r="BG9" s="149">
        <v>0</v>
      </c>
      <c r="BH9" s="149">
        <v>0</v>
      </c>
      <c r="BI9" s="149">
        <v>0</v>
      </c>
      <c r="BJ9" s="149">
        <v>0</v>
      </c>
      <c r="BK9" s="151"/>
      <c r="BL9" s="149"/>
      <c r="BM9" s="149">
        <v>0</v>
      </c>
      <c r="BN9" s="149">
        <v>0</v>
      </c>
      <c r="BO9" s="149">
        <v>0</v>
      </c>
      <c r="BP9" s="149">
        <v>0</v>
      </c>
      <c r="BQ9" s="149"/>
      <c r="BR9" s="149">
        <v>0</v>
      </c>
      <c r="BS9" s="149">
        <v>0</v>
      </c>
      <c r="BT9" s="149">
        <v>0</v>
      </c>
      <c r="BU9" s="149">
        <v>0</v>
      </c>
      <c r="BV9" s="149">
        <v>0</v>
      </c>
      <c r="BW9" s="149">
        <v>0</v>
      </c>
      <c r="BX9" s="149">
        <v>0</v>
      </c>
      <c r="BY9" s="149">
        <v>0</v>
      </c>
      <c r="BZ9" s="149">
        <v>0</v>
      </c>
      <c r="CA9" s="149">
        <v>0</v>
      </c>
      <c r="CB9" s="512" t="s">
        <v>448</v>
      </c>
      <c r="CC9" s="604" t="s">
        <v>12</v>
      </c>
      <c r="CD9" s="845" t="s">
        <v>451</v>
      </c>
      <c r="CE9" s="565"/>
      <c r="CF9" s="546"/>
      <c r="CG9" s="546"/>
      <c r="CH9" s="546"/>
      <c r="CI9" s="546"/>
      <c r="CJ9" s="546"/>
      <c r="CK9" s="546"/>
      <c r="CL9" s="546"/>
      <c r="CM9" s="664">
        <f>SUM(AM9:BI9)</f>
        <v>0</v>
      </c>
      <c r="CN9" s="664">
        <f>CM9*0.648</f>
        <v>0</v>
      </c>
      <c r="CP9" s="172"/>
    </row>
    <row r="10" spans="1:100" s="122" customFormat="1" ht="15" thickBot="1">
      <c r="A10" s="873"/>
      <c r="B10" s="152" t="s">
        <v>455</v>
      </c>
      <c r="C10" s="153">
        <v>0</v>
      </c>
      <c r="D10" s="154">
        <v>4.7416499999999999</v>
      </c>
      <c r="E10" s="154">
        <v>0</v>
      </c>
      <c r="F10" s="154">
        <v>5.2014629999999995</v>
      </c>
      <c r="G10" s="154">
        <v>0</v>
      </c>
      <c r="H10" s="154">
        <v>0</v>
      </c>
      <c r="I10" s="155">
        <v>5</v>
      </c>
      <c r="J10" s="156">
        <v>0</v>
      </c>
      <c r="K10" s="155">
        <f>4.697+4.9</f>
        <v>9.5970000000000013</v>
      </c>
      <c r="L10" s="155">
        <v>4.524</v>
      </c>
      <c r="M10" s="157">
        <v>0</v>
      </c>
      <c r="N10" s="155">
        <f>3.85+4.8+3.7</f>
        <v>12.350000000000001</v>
      </c>
      <c r="O10" s="155">
        <v>0</v>
      </c>
      <c r="P10" s="158"/>
      <c r="Q10" s="156"/>
      <c r="R10" s="155">
        <v>5</v>
      </c>
      <c r="S10" s="159">
        <v>10</v>
      </c>
      <c r="T10" s="159">
        <f>15+2.4</f>
        <v>17.399999999999999</v>
      </c>
      <c r="U10" s="155">
        <v>0</v>
      </c>
      <c r="V10" s="155" t="s">
        <v>146</v>
      </c>
      <c r="W10" s="155">
        <v>0</v>
      </c>
      <c r="X10" s="155"/>
      <c r="Y10" s="155">
        <v>0</v>
      </c>
      <c r="Z10" s="155">
        <v>5</v>
      </c>
      <c r="AA10" s="160">
        <v>0</v>
      </c>
      <c r="AB10" s="160">
        <v>4.2</v>
      </c>
      <c r="AC10" s="160">
        <v>0</v>
      </c>
      <c r="AD10" s="160">
        <v>0</v>
      </c>
      <c r="AE10" s="161"/>
      <c r="AF10" s="160">
        <v>0</v>
      </c>
      <c r="AG10" s="162">
        <v>1.9</v>
      </c>
      <c r="AH10" s="162"/>
      <c r="AI10" s="162"/>
      <c r="AJ10" s="162">
        <v>1.9</v>
      </c>
      <c r="AK10" s="160">
        <v>1.9</v>
      </c>
      <c r="AL10" s="160">
        <v>0</v>
      </c>
      <c r="AM10" s="160"/>
      <c r="AN10" s="160"/>
      <c r="AO10" s="160"/>
      <c r="AP10" s="160"/>
      <c r="AQ10" s="160"/>
      <c r="AR10" s="160"/>
      <c r="AS10" s="160"/>
      <c r="AT10" s="160"/>
      <c r="AU10" s="160"/>
      <c r="AV10" s="160"/>
      <c r="AW10" s="160">
        <v>0</v>
      </c>
      <c r="AX10" s="160"/>
      <c r="AY10" s="160"/>
      <c r="AZ10" s="160">
        <f>0.5+0.6</f>
        <v>1.1000000000000001</v>
      </c>
      <c r="BA10" s="160">
        <f>1.9+1.2</f>
        <v>3.0999999999999996</v>
      </c>
      <c r="BB10" s="160"/>
      <c r="BC10" s="160"/>
      <c r="BD10" s="160"/>
      <c r="BE10" s="160"/>
      <c r="BF10" s="146"/>
      <c r="BG10" s="146"/>
      <c r="BH10" s="147"/>
      <c r="BI10" s="160"/>
      <c r="BJ10" s="160"/>
      <c r="BK10" s="160">
        <v>0.6</v>
      </c>
      <c r="BL10" s="160"/>
      <c r="BM10" s="160"/>
      <c r="BN10" s="160"/>
      <c r="BO10" s="160"/>
      <c r="BP10" s="160"/>
      <c r="BQ10" s="151">
        <v>1.8</v>
      </c>
      <c r="BR10" s="160"/>
      <c r="BS10" s="160"/>
      <c r="BT10" s="160"/>
      <c r="BU10" s="160"/>
      <c r="BV10" s="160"/>
      <c r="BW10" s="160"/>
      <c r="BX10" s="160"/>
      <c r="BY10" s="160"/>
      <c r="BZ10" s="160"/>
      <c r="CA10" s="160"/>
      <c r="CB10" s="512" t="s">
        <v>448</v>
      </c>
      <c r="CC10" s="601" t="s">
        <v>3</v>
      </c>
      <c r="CD10" s="845" t="s">
        <v>451</v>
      </c>
      <c r="CE10" s="565"/>
      <c r="CF10" s="546"/>
      <c r="CG10" s="546"/>
      <c r="CH10" s="546"/>
      <c r="CI10" s="546"/>
      <c r="CJ10" s="546"/>
      <c r="CK10" s="546"/>
      <c r="CL10" s="546"/>
      <c r="CM10" s="664">
        <f>SUM(AM10:BI10)</f>
        <v>4.1999999999999993</v>
      </c>
      <c r="CN10" s="664">
        <f>CM10*0.648</f>
        <v>2.7215999999999996</v>
      </c>
    </row>
    <row r="11" spans="1:100" s="122" customFormat="1" ht="15" thickBot="1">
      <c r="A11" s="874" t="s">
        <v>456</v>
      </c>
      <c r="B11" s="824" t="s">
        <v>457</v>
      </c>
      <c r="C11" s="825"/>
      <c r="D11" s="826"/>
      <c r="E11" s="826"/>
      <c r="F11" s="826"/>
      <c r="G11" s="826"/>
      <c r="H11" s="826"/>
      <c r="I11" s="826"/>
      <c r="J11" s="827"/>
      <c r="K11" s="826"/>
      <c r="L11" s="826"/>
      <c r="M11" s="828"/>
      <c r="N11" s="826"/>
      <c r="O11" s="826"/>
      <c r="P11" s="829"/>
      <c r="Q11" s="827"/>
      <c r="R11" s="826"/>
      <c r="S11" s="830"/>
      <c r="T11" s="830"/>
      <c r="U11" s="826"/>
      <c r="V11" s="826"/>
      <c r="W11" s="826"/>
      <c r="X11" s="826"/>
      <c r="Y11" s="826"/>
      <c r="Z11" s="826"/>
      <c r="AA11" s="831"/>
      <c r="AB11" s="831"/>
      <c r="AC11" s="831"/>
      <c r="AD11" s="831"/>
      <c r="AE11" s="832"/>
      <c r="AF11" s="831"/>
      <c r="AG11" s="832"/>
      <c r="AH11" s="832"/>
      <c r="AI11" s="832"/>
      <c r="AJ11" s="832"/>
      <c r="AK11" s="831"/>
      <c r="AL11" s="831"/>
      <c r="AM11" s="831"/>
      <c r="AN11" s="831"/>
      <c r="AO11" s="831"/>
      <c r="AP11" s="831"/>
      <c r="AQ11" s="831"/>
      <c r="AR11" s="831"/>
      <c r="AS11" s="831"/>
      <c r="AT11" s="831"/>
      <c r="AU11" s="831"/>
      <c r="AV11" s="831"/>
      <c r="AW11" s="831"/>
      <c r="AX11" s="831"/>
      <c r="AY11" s="831"/>
      <c r="AZ11" s="831"/>
      <c r="BA11" s="831"/>
      <c r="BB11" s="831"/>
      <c r="BC11" s="831"/>
      <c r="BD11" s="831"/>
      <c r="BE11" s="831"/>
      <c r="BF11" s="831"/>
      <c r="BG11" s="831"/>
      <c r="BH11" s="832"/>
      <c r="BI11" s="831"/>
      <c r="BJ11" s="831"/>
      <c r="BK11" s="831"/>
      <c r="BL11" s="831"/>
      <c r="BM11" s="831"/>
      <c r="BN11" s="831"/>
      <c r="BO11" s="831"/>
      <c r="BP11" s="831"/>
      <c r="BQ11" s="833"/>
      <c r="BR11" s="831"/>
      <c r="BS11" s="831"/>
      <c r="BT11" s="831"/>
      <c r="BU11" s="831">
        <v>22600</v>
      </c>
      <c r="BV11" s="831">
        <v>22600</v>
      </c>
      <c r="BW11" s="831">
        <v>22600</v>
      </c>
      <c r="BX11" s="831">
        <v>22600</v>
      </c>
      <c r="BY11" s="831">
        <v>22600</v>
      </c>
      <c r="BZ11" s="831">
        <v>22600</v>
      </c>
      <c r="CA11" s="831">
        <v>22600</v>
      </c>
      <c r="CB11" t="s">
        <v>170</v>
      </c>
      <c r="CC11" s="601" t="s">
        <v>3</v>
      </c>
      <c r="CD11" s="845"/>
      <c r="CE11" s="565"/>
      <c r="CF11" s="546"/>
      <c r="CG11" s="546"/>
      <c r="CH11" s="546"/>
      <c r="CI11" s="546"/>
      <c r="CJ11" s="546"/>
      <c r="CK11" s="546"/>
      <c r="CL11" s="546"/>
      <c r="CM11" s="664"/>
      <c r="CN11" s="664"/>
    </row>
    <row r="12" spans="1:100">
      <c r="A12" s="874"/>
      <c r="B12" s="163" t="s">
        <v>458</v>
      </c>
      <c r="C12" s="164">
        <v>12801</v>
      </c>
      <c r="D12" s="165">
        <v>11978</v>
      </c>
      <c r="E12" s="165">
        <v>11819</v>
      </c>
      <c r="F12" s="165">
        <v>12516</v>
      </c>
      <c r="G12" s="165">
        <v>15372</v>
      </c>
      <c r="H12" s="165">
        <v>14218</v>
      </c>
      <c r="I12" s="165">
        <v>15829</v>
      </c>
      <c r="J12" s="165">
        <v>16938</v>
      </c>
      <c r="K12" s="165">
        <v>12542</v>
      </c>
      <c r="L12" s="165">
        <v>14998.005565862706</v>
      </c>
      <c r="M12" s="165">
        <v>17756</v>
      </c>
      <c r="N12" s="166">
        <v>10570</v>
      </c>
      <c r="O12" s="165">
        <v>14582</v>
      </c>
      <c r="P12" s="165">
        <v>10587</v>
      </c>
      <c r="Q12" s="165">
        <v>18260</v>
      </c>
      <c r="R12" s="165">
        <v>10952</v>
      </c>
      <c r="S12" s="165">
        <v>10878</v>
      </c>
      <c r="T12" s="165">
        <v>13661</v>
      </c>
      <c r="U12" s="165">
        <v>8620</v>
      </c>
      <c r="V12" s="165">
        <v>12250</v>
      </c>
      <c r="W12" s="165">
        <v>15873</v>
      </c>
      <c r="X12" s="165">
        <v>16544</v>
      </c>
      <c r="Y12" s="165">
        <v>17135.611999511748</v>
      </c>
      <c r="Z12" s="165">
        <v>12707</v>
      </c>
      <c r="AA12" s="165">
        <v>13801</v>
      </c>
      <c r="AB12" s="165">
        <v>6198</v>
      </c>
      <c r="AC12" s="165">
        <v>9407</v>
      </c>
      <c r="AD12" s="165">
        <v>6916</v>
      </c>
      <c r="AE12" s="165">
        <v>9122.472412109375</v>
      </c>
      <c r="AF12" s="165">
        <v>9923.3910827636719</v>
      </c>
      <c r="AG12" s="165">
        <f>AF12+((AG6-AG14)*1000)</f>
        <v>5715.2799716525633</v>
      </c>
      <c r="AH12" s="165">
        <v>2608</v>
      </c>
      <c r="AI12" s="165">
        <v>5452</v>
      </c>
      <c r="AJ12" s="165">
        <v>12416</v>
      </c>
      <c r="AK12" s="165">
        <v>13315</v>
      </c>
      <c r="AL12" s="165">
        <v>8617</v>
      </c>
      <c r="AM12" s="165">
        <v>15252.196105957031</v>
      </c>
      <c r="AN12" s="165">
        <v>15784</v>
      </c>
      <c r="AO12" s="165">
        <v>14297</v>
      </c>
      <c r="AP12" s="165">
        <v>11185.101745605469</v>
      </c>
      <c r="AQ12" s="165">
        <v>10090.282043457031</v>
      </c>
      <c r="AR12" s="165">
        <v>10986</v>
      </c>
      <c r="AS12" s="165">
        <v>12870</v>
      </c>
      <c r="AT12" s="165">
        <v>9734</v>
      </c>
      <c r="AU12" s="165">
        <v>8503.5310573577881</v>
      </c>
      <c r="AV12" s="165">
        <v>7993.1530246734619</v>
      </c>
      <c r="AW12" s="165">
        <v>11222.628784179688</v>
      </c>
      <c r="AX12" s="165">
        <v>10678.500749588013</v>
      </c>
      <c r="AY12" s="165">
        <v>6267.9736328125</v>
      </c>
      <c r="AZ12" s="165">
        <v>14970.42724609375</v>
      </c>
      <c r="BA12" s="165">
        <v>10564.156494140625</v>
      </c>
      <c r="BB12" s="165">
        <v>10702</v>
      </c>
      <c r="BC12" s="165">
        <v>13927</v>
      </c>
      <c r="BD12" s="165">
        <v>16225.431045145331</v>
      </c>
      <c r="BE12" s="165">
        <v>17232.923314780463</v>
      </c>
      <c r="BF12" s="165">
        <v>15020</v>
      </c>
      <c r="BG12" s="165">
        <v>13565</v>
      </c>
      <c r="BH12" s="165">
        <v>8818</v>
      </c>
      <c r="BI12" s="165">
        <v>11744</v>
      </c>
      <c r="BJ12" s="165">
        <v>14198.392</v>
      </c>
      <c r="BK12" s="165">
        <v>12896</v>
      </c>
      <c r="BL12" s="165">
        <v>10073</v>
      </c>
      <c r="BM12" s="165">
        <v>8688.06</v>
      </c>
      <c r="BN12" s="165">
        <v>11362</v>
      </c>
      <c r="BO12" s="165">
        <f t="shared" ref="BO12:CA12" si="7">BN12+((BO6-BO14)*1000)</f>
        <v>8308.9135802469136</v>
      </c>
      <c r="BP12" s="165">
        <f t="shared" si="7"/>
        <v>10907.679012345672</v>
      </c>
      <c r="BQ12" s="165">
        <f t="shared" si="7"/>
        <v>10548.691358024687</v>
      </c>
      <c r="BR12" s="165">
        <f t="shared" si="7"/>
        <v>10172.024691358023</v>
      </c>
      <c r="BS12" s="165">
        <f t="shared" si="7"/>
        <v>10218.814814814796</v>
      </c>
      <c r="BT12" s="165">
        <f t="shared" si="7"/>
        <v>10299.132125856237</v>
      </c>
      <c r="BU12" s="165">
        <f t="shared" si="7"/>
        <v>10057.023036174247</v>
      </c>
      <c r="BV12" s="165">
        <f t="shared" si="7"/>
        <v>10331.409594024497</v>
      </c>
      <c r="BW12" s="165">
        <f t="shared" si="7"/>
        <v>10309.623312368576</v>
      </c>
      <c r="BX12" s="165">
        <f t="shared" si="7"/>
        <v>10464.178753708427</v>
      </c>
      <c r="BY12" s="165">
        <f t="shared" si="7"/>
        <v>10448.392472052506</v>
      </c>
      <c r="BZ12" s="165">
        <f t="shared" si="7"/>
        <v>10231.185118637955</v>
      </c>
      <c r="CA12" s="165">
        <f t="shared" si="7"/>
        <v>10851.201306117831</v>
      </c>
      <c r="CB12" s="710" t="s">
        <v>184</v>
      </c>
      <c r="CC12" s="601" t="s">
        <v>3</v>
      </c>
      <c r="CD12" s="845" t="s">
        <v>451</v>
      </c>
      <c r="CE12" s="558" t="s">
        <v>459</v>
      </c>
      <c r="CF12" s="547"/>
      <c r="CG12" s="547"/>
      <c r="CH12" s="547"/>
      <c r="CI12" s="547"/>
      <c r="CJ12" s="547"/>
      <c r="CK12" s="547"/>
      <c r="CL12" s="547"/>
    </row>
    <row r="13" spans="1:100" s="171" customFormat="1" ht="15" thickBot="1">
      <c r="A13" s="875"/>
      <c r="B13" s="167" t="s">
        <v>460</v>
      </c>
      <c r="C13" s="168">
        <f>C12/49624.4*100</f>
        <v>25.795777883460552</v>
      </c>
      <c r="D13" s="169">
        <f>D12/49624.4*100</f>
        <v>24.137319544417664</v>
      </c>
      <c r="E13" s="169">
        <f>E12/45790.8*100</f>
        <v>25.810861570446463</v>
      </c>
      <c r="F13" s="169">
        <f>F12/45790.8*100</f>
        <v>27.333001388925283</v>
      </c>
      <c r="G13" s="169">
        <f>G12/45790.8*100</f>
        <v>33.57006210854582</v>
      </c>
      <c r="H13" s="169">
        <f>H12/45790.8*100</f>
        <v>31.049905221136122</v>
      </c>
      <c r="I13" s="169">
        <f>I12/22600*100</f>
        <v>70.039823008849552</v>
      </c>
      <c r="J13" s="169">
        <f t="shared" ref="J13:AS13" si="8">J12/22600*100</f>
        <v>74.946902654867259</v>
      </c>
      <c r="K13" s="169">
        <f t="shared" si="8"/>
        <v>55.495575221238937</v>
      </c>
      <c r="L13" s="169">
        <f t="shared" si="8"/>
        <v>66.362856486118176</v>
      </c>
      <c r="M13" s="169">
        <f t="shared" si="8"/>
        <v>78.56637168141593</v>
      </c>
      <c r="N13" s="169">
        <f t="shared" si="8"/>
        <v>46.769911504424776</v>
      </c>
      <c r="O13" s="169">
        <f t="shared" si="8"/>
        <v>64.522123893805301</v>
      </c>
      <c r="P13" s="169">
        <f t="shared" si="8"/>
        <v>46.845132743362832</v>
      </c>
      <c r="Q13" s="169">
        <f t="shared" si="8"/>
        <v>80.796460176991147</v>
      </c>
      <c r="R13" s="169">
        <f t="shared" si="8"/>
        <v>48.460176991150448</v>
      </c>
      <c r="S13" s="169">
        <f t="shared" si="8"/>
        <v>48.13274336283186</v>
      </c>
      <c r="T13" s="169">
        <f t="shared" si="8"/>
        <v>60.446902654867252</v>
      </c>
      <c r="U13" s="169">
        <f t="shared" si="8"/>
        <v>38.141592920353986</v>
      </c>
      <c r="V13" s="169">
        <f t="shared" si="8"/>
        <v>54.203539823008853</v>
      </c>
      <c r="W13" s="169">
        <f t="shared" si="8"/>
        <v>70.23451327433628</v>
      </c>
      <c r="X13" s="169">
        <f t="shared" si="8"/>
        <v>73.203539823008839</v>
      </c>
      <c r="Y13" s="169">
        <f t="shared" si="8"/>
        <v>75.821292033237825</v>
      </c>
      <c r="Z13" s="169">
        <f t="shared" si="8"/>
        <v>56.225663716814154</v>
      </c>
      <c r="AA13" s="169">
        <f t="shared" si="8"/>
        <v>61.06637168141593</v>
      </c>
      <c r="AB13" s="169">
        <f t="shared" si="8"/>
        <v>27.424778761061948</v>
      </c>
      <c r="AC13" s="169">
        <f t="shared" si="8"/>
        <v>41.623893805309734</v>
      </c>
      <c r="AD13" s="169">
        <f t="shared" si="8"/>
        <v>30.601769911504423</v>
      </c>
      <c r="AE13" s="169">
        <f t="shared" si="8"/>
        <v>40.364922177475108</v>
      </c>
      <c r="AF13" s="169">
        <f t="shared" si="8"/>
        <v>43.90881010072421</v>
      </c>
      <c r="AG13" s="169">
        <f t="shared" si="8"/>
        <v>25.288849432090988</v>
      </c>
      <c r="AH13" s="169">
        <f t="shared" si="8"/>
        <v>11.539823008849558</v>
      </c>
      <c r="AI13" s="169">
        <f>AI12/22600*100</f>
        <v>24.123893805309734</v>
      </c>
      <c r="AJ13" s="169">
        <f t="shared" si="8"/>
        <v>54.938053097345133</v>
      </c>
      <c r="AK13" s="169">
        <f t="shared" si="8"/>
        <v>58.915929203539818</v>
      </c>
      <c r="AL13" s="169">
        <f t="shared" si="8"/>
        <v>38.128318584070797</v>
      </c>
      <c r="AM13" s="169">
        <f t="shared" si="8"/>
        <v>67.487593389190408</v>
      </c>
      <c r="AN13" s="169">
        <f t="shared" si="8"/>
        <v>69.840707964601762</v>
      </c>
      <c r="AO13" s="169">
        <f t="shared" si="8"/>
        <v>63.26106194690265</v>
      </c>
      <c r="AP13" s="169">
        <f t="shared" si="8"/>
        <v>49.49160064427199</v>
      </c>
      <c r="AQ13" s="169">
        <f t="shared" si="8"/>
        <v>44.647265679013415</v>
      </c>
      <c r="AR13" s="169">
        <f t="shared" si="8"/>
        <v>48.610619469026553</v>
      </c>
      <c r="AS13" s="169">
        <f t="shared" si="8"/>
        <v>56.946902654867259</v>
      </c>
      <c r="AT13" s="170">
        <f t="shared" ref="AT13:AY13" si="9">AT12/18350*100</f>
        <v>53.046321525885553</v>
      </c>
      <c r="AU13" s="170">
        <f t="shared" si="9"/>
        <v>46.340768704947074</v>
      </c>
      <c r="AV13" s="170">
        <f t="shared" si="9"/>
        <v>43.559417028193252</v>
      </c>
      <c r="AW13" s="170">
        <f t="shared" si="9"/>
        <v>61.158739968281672</v>
      </c>
      <c r="AX13" s="170">
        <f t="shared" si="9"/>
        <v>58.193464575411511</v>
      </c>
      <c r="AY13" s="169">
        <f t="shared" si="9"/>
        <v>34.157894456743868</v>
      </c>
      <c r="AZ13" s="274">
        <f>AZ12/22600</f>
        <v>0.66240828522538719</v>
      </c>
      <c r="BA13" s="274">
        <f t="shared" ref="BA13:BP13" si="10">BA12/22600</f>
        <v>0.46744055283808073</v>
      </c>
      <c r="BB13" s="274">
        <f t="shared" si="10"/>
        <v>0.47353982300884956</v>
      </c>
      <c r="BC13" s="274">
        <f t="shared" si="10"/>
        <v>0.61623893805309737</v>
      </c>
      <c r="BD13" s="274">
        <f t="shared" si="10"/>
        <v>0.71793942677634204</v>
      </c>
      <c r="BE13" s="274">
        <f t="shared" si="10"/>
        <v>0.76251873074249832</v>
      </c>
      <c r="BF13" s="274">
        <f t="shared" si="10"/>
        <v>0.66460176991150444</v>
      </c>
      <c r="BG13" s="274">
        <f t="shared" si="10"/>
        <v>0.60022123893805313</v>
      </c>
      <c r="BH13" s="274">
        <f t="shared" si="10"/>
        <v>0.39017699115044246</v>
      </c>
      <c r="BI13" s="274">
        <f t="shared" si="10"/>
        <v>0.519646017699115</v>
      </c>
      <c r="BJ13" s="274">
        <f t="shared" si="10"/>
        <v>0.62824743362831859</v>
      </c>
      <c r="BK13" s="274">
        <f t="shared" si="10"/>
        <v>0.5706194690265487</v>
      </c>
      <c r="BL13" s="274">
        <f t="shared" si="10"/>
        <v>0.44570796460176992</v>
      </c>
      <c r="BM13" s="274">
        <f t="shared" si="10"/>
        <v>0.38442743362831855</v>
      </c>
      <c r="BN13" s="274">
        <f t="shared" si="10"/>
        <v>0.50274336283185839</v>
      </c>
      <c r="BO13" s="274">
        <f t="shared" si="10"/>
        <v>0.36765104337375726</v>
      </c>
      <c r="BP13" s="274">
        <f t="shared" si="10"/>
        <v>0.48264066426308283</v>
      </c>
      <c r="BQ13" s="274">
        <f t="shared" ref="BQ13:BW13" si="11">BQ12/22600</f>
        <v>0.46675625477985344</v>
      </c>
      <c r="BR13" s="274">
        <f t="shared" si="11"/>
        <v>0.45008958811318689</v>
      </c>
      <c r="BS13" s="274">
        <f t="shared" si="11"/>
        <v>0.45215994755817679</v>
      </c>
      <c r="BT13" s="274">
        <f t="shared" si="11"/>
        <v>0.45571381087859453</v>
      </c>
      <c r="BU13" s="274">
        <f t="shared" si="11"/>
        <v>0.44500101929974545</v>
      </c>
      <c r="BV13" s="274">
        <f>BV12/22600</f>
        <v>0.45714201743471228</v>
      </c>
      <c r="BW13" s="274">
        <f t="shared" si="11"/>
        <v>0.45617802267117591</v>
      </c>
      <c r="BX13" s="274">
        <f t="shared" ref="BX13:BY13" si="12">BX12/22600</f>
        <v>0.46301675901364725</v>
      </c>
      <c r="BY13" s="274">
        <f t="shared" si="12"/>
        <v>0.46231825097577461</v>
      </c>
      <c r="BZ13" s="274">
        <f t="shared" ref="BZ13" si="13">BZ12/22600</f>
        <v>0.45270730613442278</v>
      </c>
      <c r="CA13" s="274">
        <f>CA12/22600</f>
        <v>0.48014165071317838</v>
      </c>
      <c r="CB13" s="577" t="s">
        <v>5</v>
      </c>
      <c r="CC13" s="601" t="s">
        <v>3</v>
      </c>
      <c r="CD13" s="607"/>
      <c r="CE13" s="559" t="s">
        <v>461</v>
      </c>
      <c r="CF13" s="548"/>
      <c r="CG13" s="548"/>
      <c r="CH13" s="548"/>
      <c r="CI13" s="548"/>
      <c r="CJ13" s="548"/>
      <c r="CK13" s="548"/>
      <c r="CL13" s="548"/>
    </row>
    <row r="14" spans="1:100" s="122" customFormat="1">
      <c r="B14" s="122" t="s">
        <v>462</v>
      </c>
      <c r="C14" s="172">
        <f t="shared" ref="C14:T14" si="14">SUM(C7:C10)</f>
        <v>85.757612000000009</v>
      </c>
      <c r="D14" s="172">
        <f t="shared" si="14"/>
        <v>81.333900999999997</v>
      </c>
      <c r="E14" s="172">
        <f t="shared" si="14"/>
        <v>79.639566000000002</v>
      </c>
      <c r="F14" s="172">
        <f t="shared" si="14"/>
        <v>86.705891000000008</v>
      </c>
      <c r="G14" s="172">
        <f t="shared" si="14"/>
        <v>82.07502199999999</v>
      </c>
      <c r="H14" s="172">
        <f t="shared" si="14"/>
        <v>84.744775000000004</v>
      </c>
      <c r="I14" s="172">
        <f t="shared" si="14"/>
        <v>90.3</v>
      </c>
      <c r="J14" s="172">
        <f t="shared" si="14"/>
        <v>86.3</v>
      </c>
      <c r="K14" s="172">
        <f t="shared" si="14"/>
        <v>92.896999999999991</v>
      </c>
      <c r="L14" s="172">
        <f t="shared" si="14"/>
        <v>90.323999999999998</v>
      </c>
      <c r="M14" s="172">
        <f t="shared" si="14"/>
        <v>83.8</v>
      </c>
      <c r="N14" s="172">
        <f t="shared" si="14"/>
        <v>97.908999999999992</v>
      </c>
      <c r="O14" s="172">
        <f t="shared" si="14"/>
        <v>81.8</v>
      </c>
      <c r="P14" s="172">
        <f t="shared" si="14"/>
        <v>82.349000000000004</v>
      </c>
      <c r="Q14" s="172">
        <f t="shared" si="14"/>
        <v>84.6</v>
      </c>
      <c r="R14" s="172">
        <f t="shared" si="14"/>
        <v>84.234000000000009</v>
      </c>
      <c r="S14" s="172">
        <f t="shared" si="14"/>
        <v>89.6</v>
      </c>
      <c r="T14" s="172">
        <f t="shared" si="14"/>
        <v>78</v>
      </c>
      <c r="U14" s="172">
        <f>SUM(U7:U10)</f>
        <v>79</v>
      </c>
      <c r="V14" s="172">
        <f>SUM(V7:V10)</f>
        <v>80</v>
      </c>
      <c r="W14" s="172">
        <f>SUM(W7:W10)</f>
        <v>75.5</v>
      </c>
      <c r="X14" s="172">
        <f>SUM(X7:X10)</f>
        <v>89.2</v>
      </c>
      <c r="Y14" s="172">
        <f>SUM(Y7:Y10)</f>
        <v>90</v>
      </c>
      <c r="Z14" s="172">
        <f t="shared" ref="Z14:BP14" si="15">SUM(Z7:Z10)</f>
        <v>95.179000000000002</v>
      </c>
      <c r="AA14" s="172">
        <f t="shared" si="15"/>
        <v>86.111111111111114</v>
      </c>
      <c r="AB14" s="172">
        <f t="shared" si="15"/>
        <v>83.37777777777778</v>
      </c>
      <c r="AC14" s="172">
        <f t="shared" si="15"/>
        <v>78.711111111111109</v>
      </c>
      <c r="AD14" s="172">
        <f t="shared" si="15"/>
        <v>78.61333333333333</v>
      </c>
      <c r="AE14" s="172">
        <f t="shared" si="15"/>
        <v>78.111111111111114</v>
      </c>
      <c r="AF14" s="172">
        <f t="shared" si="15"/>
        <v>81.893333333333331</v>
      </c>
      <c r="AG14" s="172">
        <f t="shared" si="15"/>
        <v>84.331111111111113</v>
      </c>
      <c r="AH14" s="172">
        <f t="shared" si="15"/>
        <v>77.611111111111114</v>
      </c>
      <c r="AI14" s="172">
        <f t="shared" si="15"/>
        <v>61.9</v>
      </c>
      <c r="AJ14" s="172">
        <f t="shared" si="15"/>
        <v>70.7</v>
      </c>
      <c r="AK14" s="172">
        <f t="shared" si="15"/>
        <v>77.393827160493828</v>
      </c>
      <c r="AL14" s="172">
        <f t="shared" si="15"/>
        <v>85.203703703703709</v>
      </c>
      <c r="AM14" s="172">
        <f t="shared" si="15"/>
        <v>63.518518518518519</v>
      </c>
      <c r="AN14" s="172">
        <f t="shared" si="15"/>
        <v>71.148148148148152</v>
      </c>
      <c r="AO14" s="172">
        <f>SUM(AO7:AO10)</f>
        <v>87.407407407407405</v>
      </c>
      <c r="AP14" s="172">
        <f t="shared" si="15"/>
        <v>85.407407407407405</v>
      </c>
      <c r="AQ14" s="172">
        <f t="shared" si="15"/>
        <v>81.23456790123457</v>
      </c>
      <c r="AR14" s="172">
        <f t="shared" si="15"/>
        <v>82.320987654320987</v>
      </c>
      <c r="AS14" s="172">
        <f t="shared" si="15"/>
        <v>83.549382716049379</v>
      </c>
      <c r="AT14" s="172">
        <f t="shared" si="15"/>
        <v>85.864197530864203</v>
      </c>
      <c r="AU14" s="172">
        <f t="shared" si="15"/>
        <v>80.820987654320987</v>
      </c>
      <c r="AV14" s="172">
        <f t="shared" si="15"/>
        <v>82.888888888888886</v>
      </c>
      <c r="AW14" s="172">
        <f t="shared" si="15"/>
        <v>80.339506172839506</v>
      </c>
      <c r="AX14" s="172">
        <f t="shared" si="15"/>
        <v>87.407407407407391</v>
      </c>
      <c r="AY14" s="172">
        <f t="shared" si="15"/>
        <v>84.320987654320987</v>
      </c>
      <c r="AZ14" s="172">
        <f t="shared" si="15"/>
        <v>61.606172839506179</v>
      </c>
      <c r="BA14" s="172">
        <f t="shared" si="15"/>
        <v>85.588888888888874</v>
      </c>
      <c r="BB14" s="172">
        <f t="shared" si="15"/>
        <v>65.348148148148155</v>
      </c>
      <c r="BC14" s="172">
        <f t="shared" si="15"/>
        <v>56.088888888888889</v>
      </c>
      <c r="BD14" s="172">
        <f>SUM(BD7:BD10)</f>
        <v>61.049382716049379</v>
      </c>
      <c r="BE14" s="172">
        <f>SUM(BE7:BE10)</f>
        <v>66.574049382716041</v>
      </c>
      <c r="BF14" s="172">
        <f>SUM(BF7:BF10)</f>
        <v>78.259259259259267</v>
      </c>
      <c r="BG14" s="172">
        <f>SUM(BG7:BG10)</f>
        <v>77.716049382716051</v>
      </c>
      <c r="BH14" s="172">
        <f>SUM(BH7:BH10)</f>
        <v>82.981481481481467</v>
      </c>
      <c r="BI14" s="172">
        <f t="shared" si="15"/>
        <v>70.866419753086419</v>
      </c>
      <c r="BJ14" s="172">
        <f t="shared" si="15"/>
        <v>76.550246913580239</v>
      </c>
      <c r="BK14" s="172">
        <f t="shared" si="15"/>
        <v>83.408641975308626</v>
      </c>
      <c r="BL14" s="172">
        <f t="shared" si="15"/>
        <v>76.808641975308632</v>
      </c>
      <c r="BM14" s="172">
        <f t="shared" si="15"/>
        <v>83.753086419753089</v>
      </c>
      <c r="BN14" s="172">
        <f t="shared" si="15"/>
        <v>73.02098765432099</v>
      </c>
      <c r="BO14" s="172">
        <f t="shared" si="15"/>
        <v>83.753086419753089</v>
      </c>
      <c r="BP14" s="172">
        <f t="shared" si="15"/>
        <v>75.401234567901241</v>
      </c>
      <c r="BQ14" s="172">
        <f t="shared" ref="BQ14:BW14" si="16">SUM(BQ7:BQ10)</f>
        <v>64.120987654320984</v>
      </c>
      <c r="BR14" s="172">
        <f t="shared" si="16"/>
        <v>80.666666666666657</v>
      </c>
      <c r="BS14" s="172">
        <f t="shared" si="16"/>
        <v>71.543209876543216</v>
      </c>
      <c r="BT14" s="172">
        <f t="shared" si="16"/>
        <v>64.5</v>
      </c>
      <c r="BU14" s="172">
        <f t="shared" si="16"/>
        <v>73.086419753086417</v>
      </c>
      <c r="BV14" s="172">
        <f t="shared" si="16"/>
        <v>74.493827160493822</v>
      </c>
      <c r="BW14" s="172">
        <f t="shared" si="16"/>
        <v>73.722222222222214</v>
      </c>
      <c r="BX14" s="172">
        <f t="shared" ref="BX14:BY14" si="17">SUM(BX7:BX10)</f>
        <v>66.413580246913583</v>
      </c>
      <c r="BY14" s="172">
        <f t="shared" si="17"/>
        <v>73.722222222222214</v>
      </c>
      <c r="BZ14" s="172">
        <f t="shared" ref="BZ14" si="18">SUM(BZ7:BZ10)</f>
        <v>71.543209876543216</v>
      </c>
      <c r="CA14" s="172">
        <f>SUM(CA7:CA10)</f>
        <v>73.086419753086417</v>
      </c>
      <c r="CB14" s="577" t="s">
        <v>5</v>
      </c>
      <c r="CC14" s="601" t="s">
        <v>3</v>
      </c>
      <c r="CD14" s="608"/>
      <c r="CE14" s="560" t="s">
        <v>463</v>
      </c>
      <c r="CF14" s="172"/>
      <c r="CG14" s="172"/>
      <c r="CH14" s="172"/>
      <c r="CI14" s="172"/>
      <c r="CJ14" s="172"/>
      <c r="CK14" s="172"/>
      <c r="CL14" s="172"/>
      <c r="CM14" s="173" t="s">
        <v>464</v>
      </c>
      <c r="CS14" s="172"/>
    </row>
    <row r="15" spans="1:100" s="122" customFormat="1">
      <c r="B15" s="122" t="s">
        <v>465</v>
      </c>
      <c r="C15" s="172">
        <f t="shared" ref="C15:BN15" si="19">C6-C14</f>
        <v>-85.757612000000009</v>
      </c>
      <c r="D15" s="172">
        <f t="shared" si="19"/>
        <v>6.9172829000009983E-2</v>
      </c>
      <c r="E15" s="172">
        <f t="shared" si="19"/>
        <v>3.2836695919999954</v>
      </c>
      <c r="F15" s="172">
        <f t="shared" si="19"/>
        <v>1.4400650609999843</v>
      </c>
      <c r="G15" s="172">
        <f t="shared" si="19"/>
        <v>4.7921075090000045</v>
      </c>
      <c r="H15" s="172">
        <f t="shared" si="19"/>
        <v>1.0508554790000062</v>
      </c>
      <c r="I15" s="172">
        <f t="shared" si="19"/>
        <v>-0.11999999999999034</v>
      </c>
      <c r="J15" s="172">
        <f t="shared" si="19"/>
        <v>-5.7999999999992724E-2</v>
      </c>
      <c r="K15" s="172">
        <f t="shared" si="19"/>
        <v>-5.5529999999999973</v>
      </c>
      <c r="L15" s="172">
        <f t="shared" si="19"/>
        <v>1.4759999999999991</v>
      </c>
      <c r="M15" s="172">
        <f t="shared" si="19"/>
        <v>3.375</v>
      </c>
      <c r="N15" s="172">
        <f t="shared" si="19"/>
        <v>-9.5089999999999861</v>
      </c>
      <c r="O15" s="172">
        <f t="shared" si="19"/>
        <v>5.2580000000000098</v>
      </c>
      <c r="P15" s="172">
        <f t="shared" si="19"/>
        <v>-1.3560000000000088</v>
      </c>
      <c r="Q15" s="172">
        <f t="shared" si="19"/>
        <v>6</v>
      </c>
      <c r="R15" s="172">
        <f t="shared" si="19"/>
        <v>-7.4340000000000117</v>
      </c>
      <c r="S15" s="172">
        <f t="shared" si="19"/>
        <v>-2.6699999999999875</v>
      </c>
      <c r="T15" s="172">
        <f t="shared" si="19"/>
        <v>1.8610000000000042</v>
      </c>
      <c r="U15" s="172">
        <f t="shared" si="19"/>
        <v>-2.6460000000000008</v>
      </c>
      <c r="V15" s="172">
        <f t="shared" si="19"/>
        <v>2.4159999999999968</v>
      </c>
      <c r="W15" s="172">
        <f t="shared" si="19"/>
        <v>1.5900000000000034</v>
      </c>
      <c r="X15" s="172">
        <f t="shared" si="19"/>
        <v>-1.1270000000000095</v>
      </c>
      <c r="Y15" s="172">
        <f t="shared" si="19"/>
        <v>0.5</v>
      </c>
      <c r="Z15" s="172">
        <f t="shared" si="19"/>
        <v>-5.9630000000000081</v>
      </c>
      <c r="AA15" s="172">
        <f t="shared" si="19"/>
        <v>0.38888888888888573</v>
      </c>
      <c r="AB15" s="172">
        <f t="shared" si="19"/>
        <v>-8.1097777777777793</v>
      </c>
      <c r="AC15" s="172">
        <f t="shared" si="19"/>
        <v>3.2888888888888914</v>
      </c>
      <c r="AD15" s="172">
        <f t="shared" si="19"/>
        <v>-1.318333333333328</v>
      </c>
      <c r="AE15" s="172">
        <f t="shared" si="19"/>
        <v>4.637888888888881</v>
      </c>
      <c r="AF15" s="172">
        <f t="shared" si="19"/>
        <v>-2.3333333333326323E-2</v>
      </c>
      <c r="AG15" s="172">
        <f t="shared" si="19"/>
        <v>-4.2081111111111085</v>
      </c>
      <c r="AH15" s="172">
        <f t="shared" si="19"/>
        <v>4.8888888888888857</v>
      </c>
      <c r="AI15" s="172">
        <f t="shared" si="19"/>
        <v>11.07109090909092</v>
      </c>
      <c r="AJ15" s="172">
        <f t="shared" si="19"/>
        <v>11.819000000000003</v>
      </c>
      <c r="AK15" s="172">
        <f t="shared" si="19"/>
        <v>0.80617283950617491</v>
      </c>
      <c r="AL15" s="172">
        <f t="shared" si="19"/>
        <v>-5.2537037037037067</v>
      </c>
      <c r="AM15" s="172">
        <f t="shared" si="19"/>
        <v>6.4114814814814878</v>
      </c>
      <c r="AN15" s="172">
        <f t="shared" si="19"/>
        <v>-0.80414814814815827</v>
      </c>
      <c r="AO15" s="172">
        <f t="shared" si="19"/>
        <v>-3.4074074074074048</v>
      </c>
      <c r="AP15" s="172">
        <f t="shared" si="19"/>
        <v>-4.4074074074074048</v>
      </c>
      <c r="AQ15" s="172">
        <f t="shared" si="19"/>
        <v>-0.59756790123456938</v>
      </c>
      <c r="AR15" s="172">
        <f t="shared" si="19"/>
        <v>-4.3209876543209873</v>
      </c>
      <c r="AS15" s="172">
        <f t="shared" si="19"/>
        <v>0.8506172839506263</v>
      </c>
      <c r="AT15" s="172">
        <f t="shared" si="19"/>
        <v>-1.9701975308641977</v>
      </c>
      <c r="AU15" s="172">
        <f t="shared" si="19"/>
        <v>-0.1369876543209898</v>
      </c>
      <c r="AV15" s="172">
        <f t="shared" si="19"/>
        <v>-1.5888888888888886</v>
      </c>
      <c r="AW15" s="172">
        <f t="shared" si="19"/>
        <v>2.6604938271604937</v>
      </c>
      <c r="AX15" s="172">
        <f t="shared" si="19"/>
        <v>-1.8074074074073962</v>
      </c>
      <c r="AY15" s="172">
        <f t="shared" si="19"/>
        <v>-3.8209876543209873</v>
      </c>
      <c r="AZ15" s="172">
        <f t="shared" si="19"/>
        <v>8.193827160493818</v>
      </c>
      <c r="BA15" s="172">
        <f t="shared" si="19"/>
        <v>-4.7888888888888772</v>
      </c>
      <c r="BB15" s="172">
        <f t="shared" si="19"/>
        <v>-0.8481481481481552</v>
      </c>
      <c r="BC15" s="172">
        <f t="shared" si="19"/>
        <v>1.0751111111111129</v>
      </c>
      <c r="BD15" s="172">
        <f>BD6-BD14</f>
        <v>0.15061728395062346</v>
      </c>
      <c r="BE15" s="172">
        <f>BE6-BE14</f>
        <v>-0.37404938271603783</v>
      </c>
      <c r="BF15" s="172">
        <f>BF6-BF14</f>
        <v>-3.8002592592592634</v>
      </c>
      <c r="BG15" s="172">
        <f>BG6-BG14</f>
        <v>-1.1160493827160565</v>
      </c>
      <c r="BH15" s="172">
        <f>BH6-BH14</f>
        <v>-4.9104814814814688</v>
      </c>
      <c r="BI15" s="172">
        <f t="shared" si="19"/>
        <v>1.2125802469135749</v>
      </c>
      <c r="BJ15" s="172">
        <f t="shared" si="19"/>
        <v>2.4497530864197614</v>
      </c>
      <c r="BK15" s="172">
        <f t="shared" si="19"/>
        <v>-1.5240584122132077</v>
      </c>
      <c r="BL15" s="172">
        <f t="shared" si="19"/>
        <v>-2.7143003911368737</v>
      </c>
      <c r="BM15" s="172">
        <f t="shared" si="19"/>
        <v>-1.8064352279570812</v>
      </c>
      <c r="BN15" s="172">
        <f t="shared" si="19"/>
        <v>1.2990549808193066</v>
      </c>
      <c r="BO15" s="172">
        <f t="shared" ref="BO15:BW15" si="20">BO6-BO14</f>
        <v>-3.053086419753086</v>
      </c>
      <c r="BP15" s="172">
        <f t="shared" si="20"/>
        <v>2.5987654320987588</v>
      </c>
      <c r="BQ15" s="172">
        <f t="shared" si="20"/>
        <v>-0.35898765432098401</v>
      </c>
      <c r="BR15" s="172">
        <f t="shared" si="20"/>
        <v>-0.37666666666666515</v>
      </c>
      <c r="BS15" s="172">
        <f t="shared" si="20"/>
        <v>4.6790123456773358E-2</v>
      </c>
      <c r="BT15" s="172">
        <f t="shared" si="20"/>
        <v>8.0317311041440576E-2</v>
      </c>
      <c r="BU15" s="172">
        <f t="shared" si="20"/>
        <v>-0.24210908968198908</v>
      </c>
      <c r="BV15" s="172">
        <f t="shared" si="20"/>
        <v>0.27438655785024935</v>
      </c>
      <c r="BW15" s="172">
        <f t="shared" si="20"/>
        <v>-2.1786281655920448E-2</v>
      </c>
      <c r="BX15" s="172">
        <f t="shared" ref="BX15:BY15" si="21">BX6-BX14</f>
        <v>0.154555441339852</v>
      </c>
      <c r="BY15" s="172">
        <f t="shared" si="21"/>
        <v>-1.578628165592022E-2</v>
      </c>
      <c r="BZ15" s="172">
        <f t="shared" ref="BZ15" si="22">BZ6-BZ14</f>
        <v>-0.21720735341455111</v>
      </c>
      <c r="CA15" s="172">
        <f>CA6-CA14</f>
        <v>0.62001618747987663</v>
      </c>
      <c r="CB15" s="577" t="s">
        <v>5</v>
      </c>
      <c r="CC15" s="601" t="s">
        <v>3</v>
      </c>
      <c r="CD15" s="608"/>
      <c r="CE15" s="560" t="s">
        <v>466</v>
      </c>
      <c r="CF15" s="172"/>
      <c r="CG15" s="172"/>
      <c r="CH15" s="172"/>
      <c r="CI15" s="172"/>
      <c r="CJ15" s="172"/>
      <c r="CK15" s="172"/>
      <c r="CL15" s="172"/>
    </row>
    <row r="16" spans="1:100">
      <c r="B16" s="101" t="s">
        <v>467</v>
      </c>
      <c r="C16" s="290">
        <f t="shared" ref="C16:BN16" si="23">C17+C18</f>
        <v>85.757612000000009</v>
      </c>
      <c r="D16" s="290">
        <f t="shared" si="23"/>
        <v>81.333900999999997</v>
      </c>
      <c r="E16" s="290">
        <f t="shared" si="23"/>
        <v>79.639566000000002</v>
      </c>
      <c r="F16" s="290">
        <f t="shared" si="23"/>
        <v>86.705891000000008</v>
      </c>
      <c r="G16" s="290">
        <f t="shared" si="23"/>
        <v>82.075022000000004</v>
      </c>
      <c r="H16" s="290">
        <f t="shared" si="23"/>
        <v>84.744775000000004</v>
      </c>
      <c r="I16" s="290">
        <f t="shared" si="23"/>
        <v>85.3</v>
      </c>
      <c r="J16" s="290">
        <f t="shared" si="23"/>
        <v>86.3</v>
      </c>
      <c r="K16" s="290">
        <f t="shared" si="23"/>
        <v>92.897000000000006</v>
      </c>
      <c r="L16" s="290">
        <f t="shared" si="23"/>
        <v>90.323999999999998</v>
      </c>
      <c r="M16" s="290">
        <f t="shared" si="23"/>
        <v>83.8</v>
      </c>
      <c r="N16" s="290">
        <f t="shared" si="23"/>
        <v>97.909000000000006</v>
      </c>
      <c r="O16" s="290">
        <f>O17+O18</f>
        <v>81.8</v>
      </c>
      <c r="P16" s="290">
        <f t="shared" si="23"/>
        <v>82.34899999999999</v>
      </c>
      <c r="Q16" s="290">
        <f t="shared" si="23"/>
        <v>84.6</v>
      </c>
      <c r="R16" s="290">
        <f t="shared" si="23"/>
        <v>84.234000000000009</v>
      </c>
      <c r="S16" s="290">
        <f t="shared" si="23"/>
        <v>89.6</v>
      </c>
      <c r="T16" s="290">
        <f t="shared" si="23"/>
        <v>78</v>
      </c>
      <c r="U16" s="290">
        <f t="shared" si="23"/>
        <v>79</v>
      </c>
      <c r="V16" s="290" t="e">
        <f t="shared" si="23"/>
        <v>#VALUE!</v>
      </c>
      <c r="W16" s="290">
        <f t="shared" si="23"/>
        <v>75.5</v>
      </c>
      <c r="X16" s="290">
        <f t="shared" si="23"/>
        <v>89.2</v>
      </c>
      <c r="Y16" s="290">
        <f t="shared" si="23"/>
        <v>90</v>
      </c>
      <c r="Z16" s="290">
        <f t="shared" si="23"/>
        <v>95.179000000000002</v>
      </c>
      <c r="AA16" s="290">
        <f>AA17+AA18</f>
        <v>86.111111111111114</v>
      </c>
      <c r="AB16" s="290">
        <f t="shared" ref="AB16:AR16" si="24">AB17+AB18</f>
        <v>83.377777777777766</v>
      </c>
      <c r="AC16" s="290">
        <f t="shared" si="24"/>
        <v>78.711111111111109</v>
      </c>
      <c r="AD16" s="290">
        <f t="shared" si="24"/>
        <v>78.61333333333333</v>
      </c>
      <c r="AE16" s="290">
        <f t="shared" si="24"/>
        <v>78.111111111111114</v>
      </c>
      <c r="AF16" s="290">
        <f t="shared" si="24"/>
        <v>81.893333333333331</v>
      </c>
      <c r="AG16" s="290">
        <f t="shared" si="24"/>
        <v>82.431111111111107</v>
      </c>
      <c r="AH16" s="290">
        <f t="shared" si="24"/>
        <v>77.611111111111114</v>
      </c>
      <c r="AI16" s="290">
        <f t="shared" si="24"/>
        <v>61.9</v>
      </c>
      <c r="AJ16" s="290">
        <f t="shared" si="24"/>
        <v>68.8</v>
      </c>
      <c r="AK16" s="290">
        <f t="shared" si="24"/>
        <v>75.493827160493822</v>
      </c>
      <c r="AL16" s="290">
        <f t="shared" si="24"/>
        <v>85.203703703703709</v>
      </c>
      <c r="AM16" s="290">
        <f t="shared" si="24"/>
        <v>63.518518518518519</v>
      </c>
      <c r="AN16" s="290">
        <f t="shared" si="24"/>
        <v>71.148148148148152</v>
      </c>
      <c r="AO16" s="290">
        <f t="shared" si="24"/>
        <v>87.407407407407405</v>
      </c>
      <c r="AP16" s="290">
        <f t="shared" si="24"/>
        <v>85.407407407407405</v>
      </c>
      <c r="AQ16" s="290">
        <f t="shared" si="24"/>
        <v>81.23456790123457</v>
      </c>
      <c r="AR16" s="290">
        <f t="shared" si="24"/>
        <v>82.320987654320987</v>
      </c>
      <c r="AS16" s="290">
        <f t="shared" si="23"/>
        <v>83.549382716049379</v>
      </c>
      <c r="AT16" s="290">
        <f t="shared" si="23"/>
        <v>85.864197530864203</v>
      </c>
      <c r="AU16" s="290">
        <f t="shared" si="23"/>
        <v>80.820987654320987</v>
      </c>
      <c r="AV16" s="290">
        <f t="shared" si="23"/>
        <v>82.888888888888886</v>
      </c>
      <c r="AW16" s="290">
        <f t="shared" si="23"/>
        <v>80.339506172839506</v>
      </c>
      <c r="AX16" s="290">
        <f t="shared" si="23"/>
        <v>87.407407407407391</v>
      </c>
      <c r="AY16" s="290">
        <f t="shared" si="23"/>
        <v>84.320987654320987</v>
      </c>
      <c r="AZ16" s="290">
        <f t="shared" si="23"/>
        <v>60.506172839506178</v>
      </c>
      <c r="BA16" s="290">
        <f t="shared" si="23"/>
        <v>82.48888888888888</v>
      </c>
      <c r="BB16" s="290">
        <f t="shared" si="23"/>
        <v>65.348148148148155</v>
      </c>
      <c r="BC16" s="290">
        <f t="shared" si="23"/>
        <v>56.088888888888889</v>
      </c>
      <c r="BD16" s="290">
        <f>BD17+BD18</f>
        <v>61.049382716049379</v>
      </c>
      <c r="BE16" s="290">
        <f>BE17+BE18</f>
        <v>66.574049382716041</v>
      </c>
      <c r="BF16" s="290">
        <f>BF17+BF18</f>
        <v>78.259259259259267</v>
      </c>
      <c r="BG16" s="290">
        <f>BG17+BG18</f>
        <v>77.716049382716051</v>
      </c>
      <c r="BH16" s="290">
        <f>BH17+BH18</f>
        <v>82.981481481481467</v>
      </c>
      <c r="BI16" s="290">
        <f t="shared" si="23"/>
        <v>70.866419753086419</v>
      </c>
      <c r="BJ16" s="290">
        <f t="shared" si="23"/>
        <v>76.550246913580239</v>
      </c>
      <c r="BK16" s="290">
        <f t="shared" si="23"/>
        <v>82.808641975308632</v>
      </c>
      <c r="BL16" s="290">
        <f t="shared" si="23"/>
        <v>76.808641975308632</v>
      </c>
      <c r="BM16" s="290">
        <f t="shared" si="23"/>
        <v>83.753086419753089</v>
      </c>
      <c r="BN16" s="290">
        <f t="shared" si="23"/>
        <v>73.02098765432099</v>
      </c>
      <c r="BO16" s="290">
        <f t="shared" ref="BO16:BW16" si="25">BO17+BO18</f>
        <v>83.753086419753089</v>
      </c>
      <c r="BP16" s="290">
        <f t="shared" si="25"/>
        <v>75.401234567901241</v>
      </c>
      <c r="BQ16" s="290">
        <f t="shared" si="25"/>
        <v>62.320987654320987</v>
      </c>
      <c r="BR16" s="290">
        <f t="shared" si="25"/>
        <v>80.666666666666657</v>
      </c>
      <c r="BS16" s="290">
        <f t="shared" si="25"/>
        <v>71.543209876543216</v>
      </c>
      <c r="BT16" s="290">
        <f t="shared" si="25"/>
        <v>64.5</v>
      </c>
      <c r="BU16" s="290">
        <f t="shared" si="25"/>
        <v>73.086419753086417</v>
      </c>
      <c r="BV16" s="290">
        <f t="shared" si="25"/>
        <v>74.493827160493822</v>
      </c>
      <c r="BW16" s="290">
        <f t="shared" si="25"/>
        <v>73.722222222222214</v>
      </c>
      <c r="BX16" s="290">
        <f t="shared" ref="BX16:BY16" si="26">BX17+BX18</f>
        <v>66.413580246913583</v>
      </c>
      <c r="BY16" s="290">
        <f t="shared" si="26"/>
        <v>73.722222222222214</v>
      </c>
      <c r="BZ16" s="290">
        <f t="shared" ref="BZ16:CA16" si="27">BZ17+BZ18</f>
        <v>71.543209876543216</v>
      </c>
      <c r="CA16" s="290">
        <f t="shared" si="27"/>
        <v>73.086419753086417</v>
      </c>
      <c r="CB16" s="577" t="s">
        <v>5</v>
      </c>
      <c r="CC16" s="601" t="s">
        <v>3</v>
      </c>
      <c r="CD16" s="599"/>
      <c r="CE16" s="569" t="s">
        <v>468</v>
      </c>
      <c r="CF16" s="290"/>
      <c r="CG16" s="290"/>
      <c r="CH16" s="290"/>
      <c r="CI16" s="290"/>
      <c r="CJ16" s="290"/>
      <c r="CK16" s="290"/>
      <c r="CL16" s="290"/>
    </row>
    <row r="17" spans="1:139">
      <c r="B17" s="101" t="s">
        <v>280</v>
      </c>
      <c r="C17" s="290">
        <f t="shared" ref="C17:Z17" si="28">C7</f>
        <v>53.985610000000001</v>
      </c>
      <c r="D17" s="290">
        <f t="shared" si="28"/>
        <v>45.941310999999999</v>
      </c>
      <c r="E17" s="290">
        <f t="shared" si="28"/>
        <v>46.670610000000003</v>
      </c>
      <c r="F17" s="290">
        <f t="shared" si="28"/>
        <v>49.345337000000001</v>
      </c>
      <c r="G17" s="290">
        <f t="shared" si="28"/>
        <v>50.110622999999997</v>
      </c>
      <c r="H17" s="290">
        <f t="shared" si="28"/>
        <v>50.597169999999998</v>
      </c>
      <c r="I17" s="290">
        <f t="shared" si="28"/>
        <v>52.5</v>
      </c>
      <c r="J17" s="290">
        <f t="shared" si="28"/>
        <v>52.5</v>
      </c>
      <c r="K17" s="290">
        <f t="shared" si="28"/>
        <v>52.5</v>
      </c>
      <c r="L17" s="290">
        <f t="shared" si="28"/>
        <v>55</v>
      </c>
      <c r="M17" s="290">
        <f t="shared" si="28"/>
        <v>58</v>
      </c>
      <c r="N17" s="290">
        <f t="shared" si="28"/>
        <v>55.648000000000003</v>
      </c>
      <c r="O17" s="290">
        <f>O7</f>
        <v>31</v>
      </c>
      <c r="P17" s="290">
        <f t="shared" si="28"/>
        <v>28.548999999999999</v>
      </c>
      <c r="Q17" s="290">
        <f t="shared" si="28"/>
        <v>30</v>
      </c>
      <c r="R17" s="290">
        <f t="shared" si="28"/>
        <v>26.234000000000002</v>
      </c>
      <c r="S17" s="290">
        <f t="shared" si="28"/>
        <v>21.6</v>
      </c>
      <c r="T17" s="290">
        <f t="shared" si="28"/>
        <v>4.5999999999999996</v>
      </c>
      <c r="U17" s="290">
        <f t="shared" si="28"/>
        <v>23</v>
      </c>
      <c r="V17" s="290">
        <f t="shared" si="28"/>
        <v>25</v>
      </c>
      <c r="W17" s="290">
        <f t="shared" si="28"/>
        <v>21.5</v>
      </c>
      <c r="X17" s="290">
        <f t="shared" si="28"/>
        <v>31.2</v>
      </c>
      <c r="Y17" s="290">
        <f t="shared" si="28"/>
        <v>34</v>
      </c>
      <c r="Z17" s="290">
        <f t="shared" si="28"/>
        <v>35.179000000000002</v>
      </c>
      <c r="AA17" s="290">
        <f>AA7</f>
        <v>31</v>
      </c>
      <c r="AB17" s="290">
        <f>AB7</f>
        <v>29.4</v>
      </c>
      <c r="AC17" s="290">
        <f>AC7+AC8</f>
        <v>78.711111111111109</v>
      </c>
      <c r="AD17" s="290">
        <f t="shared" ref="AD17:BP17" si="29">AD7+AD8</f>
        <v>81.11333333333333</v>
      </c>
      <c r="AE17" s="290">
        <f t="shared" si="29"/>
        <v>78.111111111111114</v>
      </c>
      <c r="AF17" s="290">
        <f t="shared" si="29"/>
        <v>81.893333333333331</v>
      </c>
      <c r="AG17" s="290">
        <f t="shared" si="29"/>
        <v>82.431111111111107</v>
      </c>
      <c r="AH17" s="290">
        <f t="shared" si="29"/>
        <v>77.611111111111114</v>
      </c>
      <c r="AI17" s="290">
        <f t="shared" si="29"/>
        <v>61.9</v>
      </c>
      <c r="AJ17" s="290">
        <f t="shared" si="29"/>
        <v>68.8</v>
      </c>
      <c r="AK17" s="290">
        <f t="shared" si="29"/>
        <v>75.493827160493822</v>
      </c>
      <c r="AL17" s="290">
        <f t="shared" si="29"/>
        <v>85.203703703703709</v>
      </c>
      <c r="AM17" s="290">
        <f t="shared" si="29"/>
        <v>63.518518518518519</v>
      </c>
      <c r="AN17" s="290">
        <f t="shared" si="29"/>
        <v>71.148148148148152</v>
      </c>
      <c r="AO17" s="290">
        <f>AO7+AO8</f>
        <v>87.407407407407405</v>
      </c>
      <c r="AP17" s="290">
        <f>AP7+AP8</f>
        <v>85.407407407407405</v>
      </c>
      <c r="AQ17" s="290">
        <f>AQ7+AQ8</f>
        <v>81.23456790123457</v>
      </c>
      <c r="AR17" s="290">
        <f>AR7+AR8</f>
        <v>82.320987654320987</v>
      </c>
      <c r="AS17" s="290">
        <f t="shared" si="29"/>
        <v>83.549382716049379</v>
      </c>
      <c r="AT17" s="290">
        <f t="shared" si="29"/>
        <v>85.864197530864203</v>
      </c>
      <c r="AU17" s="290">
        <f t="shared" si="29"/>
        <v>80.820987654320987</v>
      </c>
      <c r="AV17" s="290">
        <f t="shared" si="29"/>
        <v>82.888888888888886</v>
      </c>
      <c r="AW17" s="290">
        <f t="shared" si="29"/>
        <v>80.339506172839506</v>
      </c>
      <c r="AX17" s="290">
        <f t="shared" si="29"/>
        <v>87.407407407407391</v>
      </c>
      <c r="AY17" s="290">
        <f t="shared" si="29"/>
        <v>84.320987654320987</v>
      </c>
      <c r="AZ17" s="290">
        <f t="shared" si="29"/>
        <v>60.506172839506178</v>
      </c>
      <c r="BA17" s="290">
        <f t="shared" si="29"/>
        <v>82.48888888888888</v>
      </c>
      <c r="BB17" s="290">
        <f t="shared" si="29"/>
        <v>65.348148148148155</v>
      </c>
      <c r="BC17" s="290">
        <f t="shared" si="29"/>
        <v>56.088888888888889</v>
      </c>
      <c r="BD17" s="290">
        <f>BD7+BD8</f>
        <v>61.049382716049379</v>
      </c>
      <c r="BE17" s="290">
        <f>BE7+BE8</f>
        <v>66.574049382716041</v>
      </c>
      <c r="BF17" s="290">
        <f>BF7+BF8</f>
        <v>78.259259259259267</v>
      </c>
      <c r="BG17" s="290">
        <f>BG7+BG8</f>
        <v>77.716049382716051</v>
      </c>
      <c r="BH17" s="290">
        <f>BH7+BH8</f>
        <v>82.981481481481467</v>
      </c>
      <c r="BI17" s="290">
        <f t="shared" si="29"/>
        <v>70.866419753086419</v>
      </c>
      <c r="BJ17" s="290">
        <f t="shared" si="29"/>
        <v>76.550246913580239</v>
      </c>
      <c r="BK17" s="290">
        <f t="shared" si="29"/>
        <v>82.808641975308632</v>
      </c>
      <c r="BL17" s="290">
        <f t="shared" si="29"/>
        <v>76.808641975308632</v>
      </c>
      <c r="BM17" s="290">
        <f t="shared" si="29"/>
        <v>83.753086419753089</v>
      </c>
      <c r="BN17" s="290">
        <f t="shared" si="29"/>
        <v>73.02098765432099</v>
      </c>
      <c r="BO17" s="290">
        <f t="shared" si="29"/>
        <v>83.753086419753089</v>
      </c>
      <c r="BP17" s="290">
        <f t="shared" si="29"/>
        <v>75.401234567901241</v>
      </c>
      <c r="BQ17" s="290">
        <f t="shared" ref="BQ17:BW17" si="30">BQ7+BQ8</f>
        <v>62.320987654320987</v>
      </c>
      <c r="BR17" s="290">
        <f t="shared" si="30"/>
        <v>80.666666666666657</v>
      </c>
      <c r="BS17" s="290">
        <f t="shared" si="30"/>
        <v>71.543209876543216</v>
      </c>
      <c r="BT17" s="290">
        <f t="shared" si="30"/>
        <v>64.5</v>
      </c>
      <c r="BU17" s="290">
        <f t="shared" si="30"/>
        <v>73.086419753086417</v>
      </c>
      <c r="BV17" s="290">
        <f t="shared" si="30"/>
        <v>74.493827160493822</v>
      </c>
      <c r="BW17" s="290">
        <f t="shared" si="30"/>
        <v>73.722222222222214</v>
      </c>
      <c r="BX17" s="290">
        <f t="shared" ref="BX17:BY17" si="31">BX7+BX8</f>
        <v>66.413580246913583</v>
      </c>
      <c r="BY17" s="290">
        <f t="shared" si="31"/>
        <v>73.722222222222214</v>
      </c>
      <c r="BZ17" s="290">
        <f t="shared" ref="BZ17" si="32">BZ7+BZ8</f>
        <v>71.543209876543216</v>
      </c>
      <c r="CA17" s="290">
        <f>CA7+CA8</f>
        <v>73.086419753086417</v>
      </c>
      <c r="CB17" s="577" t="s">
        <v>5</v>
      </c>
      <c r="CC17" s="601" t="s">
        <v>3</v>
      </c>
      <c r="CD17" s="599"/>
      <c r="CE17" s="569" t="s">
        <v>469</v>
      </c>
      <c r="CF17" s="290"/>
      <c r="CG17" s="290"/>
      <c r="CH17" s="290"/>
      <c r="CI17" s="290"/>
      <c r="CJ17" s="290"/>
      <c r="CK17" s="290"/>
      <c r="CL17" s="290"/>
    </row>
    <row r="18" spans="1:139" ht="15" thickBot="1">
      <c r="B18" s="101" t="s">
        <v>470</v>
      </c>
      <c r="C18" s="290">
        <f t="shared" ref="C18:Z18" si="33">C8+C9+C10</f>
        <v>31.772002000000004</v>
      </c>
      <c r="D18" s="290">
        <f t="shared" si="33"/>
        <v>35.392589999999998</v>
      </c>
      <c r="E18" s="290">
        <f t="shared" si="33"/>
        <v>32.968956000000006</v>
      </c>
      <c r="F18" s="290">
        <f t="shared" si="33"/>
        <v>37.360554</v>
      </c>
      <c r="G18" s="290">
        <f t="shared" si="33"/>
        <v>31.964399000000004</v>
      </c>
      <c r="H18" s="290">
        <f t="shared" si="33"/>
        <v>34.147604999999999</v>
      </c>
      <c r="I18" s="290">
        <f>I8+I9</f>
        <v>32.799999999999997</v>
      </c>
      <c r="J18" s="290">
        <f t="shared" si="33"/>
        <v>33.799999999999997</v>
      </c>
      <c r="K18" s="290">
        <f t="shared" si="33"/>
        <v>40.397000000000006</v>
      </c>
      <c r="L18" s="290">
        <f t="shared" si="33"/>
        <v>35.323999999999998</v>
      </c>
      <c r="M18" s="290">
        <f t="shared" si="33"/>
        <v>25.8</v>
      </c>
      <c r="N18" s="290">
        <f t="shared" si="33"/>
        <v>42.261000000000003</v>
      </c>
      <c r="O18" s="290">
        <f>O8+O9+O10</f>
        <v>50.8</v>
      </c>
      <c r="P18" s="290">
        <f t="shared" si="33"/>
        <v>53.8</v>
      </c>
      <c r="Q18" s="290">
        <f t="shared" si="33"/>
        <v>54.599999999999994</v>
      </c>
      <c r="R18" s="290">
        <f t="shared" si="33"/>
        <v>58</v>
      </c>
      <c r="S18" s="290">
        <f t="shared" si="33"/>
        <v>68</v>
      </c>
      <c r="T18" s="290">
        <f t="shared" si="33"/>
        <v>73.400000000000006</v>
      </c>
      <c r="U18" s="290">
        <f t="shared" si="33"/>
        <v>56</v>
      </c>
      <c r="V18" s="290" t="e">
        <f t="shared" si="33"/>
        <v>#VALUE!</v>
      </c>
      <c r="W18" s="290">
        <f t="shared" si="33"/>
        <v>54</v>
      </c>
      <c r="X18" s="290">
        <f t="shared" si="33"/>
        <v>58</v>
      </c>
      <c r="Y18" s="290">
        <f t="shared" si="33"/>
        <v>56</v>
      </c>
      <c r="Z18" s="290">
        <f t="shared" si="33"/>
        <v>60</v>
      </c>
      <c r="AA18" s="290">
        <f>AA8+AA9+AA10</f>
        <v>55.111111111111114</v>
      </c>
      <c r="AB18" s="290">
        <f>AB8+AB9+AB10</f>
        <v>53.977777777777774</v>
      </c>
      <c r="AC18" s="290">
        <f>AC9</f>
        <v>0</v>
      </c>
      <c r="AD18" s="290">
        <f t="shared" ref="AD18:BP18" si="34">AD9</f>
        <v>-2.5</v>
      </c>
      <c r="AE18" s="290">
        <f t="shared" si="34"/>
        <v>0</v>
      </c>
      <c r="AF18" s="290">
        <f t="shared" si="34"/>
        <v>0</v>
      </c>
      <c r="AG18" s="290">
        <f t="shared" si="34"/>
        <v>0</v>
      </c>
      <c r="AH18" s="290">
        <f t="shared" si="34"/>
        <v>0</v>
      </c>
      <c r="AI18" s="290">
        <f t="shared" si="34"/>
        <v>0</v>
      </c>
      <c r="AJ18" s="290">
        <f t="shared" si="34"/>
        <v>0</v>
      </c>
      <c r="AK18" s="290">
        <f t="shared" si="34"/>
        <v>0</v>
      </c>
      <c r="AL18" s="290">
        <f t="shared" si="34"/>
        <v>0</v>
      </c>
      <c r="AM18" s="290">
        <f t="shared" si="34"/>
        <v>0</v>
      </c>
      <c r="AN18" s="290">
        <f t="shared" si="34"/>
        <v>0</v>
      </c>
      <c r="AO18" s="290">
        <f>AO9</f>
        <v>0</v>
      </c>
      <c r="AP18" s="290">
        <f>AP9</f>
        <v>0</v>
      </c>
      <c r="AQ18" s="290">
        <f>AQ9</f>
        <v>0</v>
      </c>
      <c r="AR18" s="290">
        <f>AR9</f>
        <v>0</v>
      </c>
      <c r="AS18" s="290">
        <f t="shared" si="34"/>
        <v>0</v>
      </c>
      <c r="AT18" s="290">
        <f t="shared" si="34"/>
        <v>0</v>
      </c>
      <c r="AU18" s="290">
        <f t="shared" si="34"/>
        <v>0</v>
      </c>
      <c r="AV18" s="290">
        <f t="shared" si="34"/>
        <v>0</v>
      </c>
      <c r="AW18" s="290">
        <f t="shared" si="34"/>
        <v>0</v>
      </c>
      <c r="AX18" s="290">
        <f t="shared" si="34"/>
        <v>0</v>
      </c>
      <c r="AY18" s="290">
        <f t="shared" si="34"/>
        <v>0</v>
      </c>
      <c r="AZ18" s="290">
        <f t="shared" si="34"/>
        <v>0</v>
      </c>
      <c r="BA18" s="290">
        <f t="shared" si="34"/>
        <v>0</v>
      </c>
      <c r="BB18" s="290">
        <f t="shared" si="34"/>
        <v>0</v>
      </c>
      <c r="BC18" s="290">
        <f t="shared" si="34"/>
        <v>0</v>
      </c>
      <c r="BD18" s="290">
        <f>BD9</f>
        <v>0</v>
      </c>
      <c r="BE18" s="290">
        <f>BE9</f>
        <v>0</v>
      </c>
      <c r="BF18" s="290">
        <f>BF9</f>
        <v>0</v>
      </c>
      <c r="BG18" s="290">
        <f>BG9</f>
        <v>0</v>
      </c>
      <c r="BH18" s="290">
        <f>BH9</f>
        <v>0</v>
      </c>
      <c r="BI18" s="290">
        <f t="shared" si="34"/>
        <v>0</v>
      </c>
      <c r="BJ18" s="290">
        <f t="shared" si="34"/>
        <v>0</v>
      </c>
      <c r="BK18" s="290">
        <f>BK9</f>
        <v>0</v>
      </c>
      <c r="BL18" s="290">
        <f t="shared" si="34"/>
        <v>0</v>
      </c>
      <c r="BM18" s="290">
        <f t="shared" si="34"/>
        <v>0</v>
      </c>
      <c r="BN18" s="290">
        <f t="shared" si="34"/>
        <v>0</v>
      </c>
      <c r="BO18" s="290">
        <f t="shared" si="34"/>
        <v>0</v>
      </c>
      <c r="BP18" s="290">
        <f t="shared" si="34"/>
        <v>0</v>
      </c>
      <c r="BQ18" s="290">
        <f t="shared" ref="BQ18:BW18" si="35">BQ9</f>
        <v>0</v>
      </c>
      <c r="BR18" s="290">
        <f t="shared" si="35"/>
        <v>0</v>
      </c>
      <c r="BS18" s="290">
        <f t="shared" si="35"/>
        <v>0</v>
      </c>
      <c r="BT18" s="290">
        <f t="shared" si="35"/>
        <v>0</v>
      </c>
      <c r="BU18" s="290">
        <f t="shared" si="35"/>
        <v>0</v>
      </c>
      <c r="BV18" s="290">
        <f t="shared" si="35"/>
        <v>0</v>
      </c>
      <c r="BW18" s="290">
        <f t="shared" si="35"/>
        <v>0</v>
      </c>
      <c r="BX18" s="290">
        <f t="shared" ref="BX18:BY18" si="36">BX9</f>
        <v>0</v>
      </c>
      <c r="BY18" s="290">
        <f t="shared" si="36"/>
        <v>0</v>
      </c>
      <c r="BZ18" s="290">
        <f t="shared" ref="BZ18" si="37">BZ9</f>
        <v>0</v>
      </c>
      <c r="CA18" s="290">
        <f>CA9</f>
        <v>0</v>
      </c>
      <c r="CB18" s="577" t="s">
        <v>5</v>
      </c>
      <c r="CC18" s="601" t="s">
        <v>3</v>
      </c>
      <c r="CD18" s="599"/>
      <c r="CE18" s="569" t="s">
        <v>471</v>
      </c>
      <c r="CF18" s="290"/>
      <c r="CG18" s="290"/>
      <c r="CH18" s="290"/>
      <c r="CI18" s="290"/>
      <c r="CJ18" s="290"/>
      <c r="CK18" s="290"/>
      <c r="CL18" s="290"/>
    </row>
    <row r="19" spans="1:139" ht="15" thickBot="1">
      <c r="C19" s="290"/>
      <c r="D19" s="290"/>
      <c r="E19" s="290"/>
      <c r="F19" s="290"/>
      <c r="G19" s="290"/>
      <c r="H19" s="290"/>
      <c r="I19" s="290"/>
      <c r="J19" s="290"/>
      <c r="K19" s="290"/>
      <c r="L19" s="290"/>
      <c r="M19" s="290"/>
      <c r="N19" s="290"/>
      <c r="O19" s="290"/>
      <c r="P19" s="290"/>
      <c r="Q19" s="290"/>
      <c r="R19" s="290"/>
      <c r="S19" s="290"/>
      <c r="T19" s="290"/>
      <c r="U19" s="290"/>
      <c r="V19" s="290"/>
      <c r="W19" s="290"/>
      <c r="X19" s="290"/>
      <c r="Y19" s="290"/>
      <c r="Z19" s="290"/>
      <c r="AA19" s="290"/>
      <c r="AB19" s="290"/>
      <c r="AC19" s="290"/>
      <c r="AD19" s="290"/>
      <c r="AE19" s="290"/>
      <c r="AF19" s="290"/>
      <c r="AG19" s="290"/>
      <c r="AH19" s="290"/>
      <c r="AI19" s="290"/>
      <c r="AJ19" s="290"/>
      <c r="AK19" s="290"/>
      <c r="AL19" s="290"/>
      <c r="AM19" s="290"/>
      <c r="AN19" s="290"/>
      <c r="AO19" s="290"/>
      <c r="AP19" s="290"/>
      <c r="AQ19" s="290"/>
      <c r="AR19" s="290"/>
      <c r="AS19" s="290"/>
      <c r="AT19" s="290"/>
      <c r="AU19" s="290"/>
      <c r="AV19" s="290"/>
      <c r="AW19" s="290"/>
      <c r="AX19" s="290"/>
      <c r="AY19" s="290"/>
      <c r="AZ19" s="290"/>
      <c r="BA19" s="290"/>
      <c r="BB19" s="290"/>
      <c r="BC19" s="176">
        <f t="shared" ref="BC19:BD21" si="38">BC6*0.648</f>
        <v>37.042272000000004</v>
      </c>
      <c r="BD19" s="176">
        <f t="shared" si="38"/>
        <v>39.657600000000002</v>
      </c>
      <c r="BE19" s="290"/>
      <c r="BF19" s="290"/>
      <c r="BG19" s="290"/>
      <c r="BH19" s="290"/>
      <c r="BI19" s="290"/>
      <c r="BJ19" s="290"/>
      <c r="BK19" s="290"/>
      <c r="BL19" s="290"/>
      <c r="BM19" s="290"/>
      <c r="BN19" s="290"/>
      <c r="BO19" s="290"/>
      <c r="BP19" s="290"/>
      <c r="BQ19" s="290"/>
      <c r="BR19" s="290"/>
      <c r="BS19" s="290"/>
      <c r="BT19" s="290"/>
      <c r="BU19" s="290"/>
      <c r="BV19" s="290"/>
      <c r="BW19" s="290"/>
      <c r="BX19" s="290"/>
      <c r="BY19" s="290"/>
      <c r="BZ19" s="290"/>
      <c r="CA19" s="290"/>
      <c r="CB19" s="599"/>
      <c r="CC19" s="599"/>
      <c r="CD19" s="605" t="s">
        <v>442</v>
      </c>
      <c r="CE19" s="566"/>
      <c r="CF19" s="290"/>
      <c r="CG19" s="290"/>
      <c r="CH19" s="290"/>
      <c r="CI19" s="290"/>
      <c r="CJ19" s="290"/>
      <c r="CK19" s="290"/>
      <c r="CL19" s="290"/>
    </row>
    <row r="20" spans="1:139" ht="15" thickBot="1">
      <c r="A20" s="174" t="s">
        <v>446</v>
      </c>
      <c r="B20" s="174" t="s">
        <v>472</v>
      </c>
      <c r="C20" s="175">
        <f t="shared" ref="C20:AH20" si="39">C7*0.648</f>
        <v>34.982675280000002</v>
      </c>
      <c r="D20" s="175">
        <f t="shared" si="39"/>
        <v>29.769969528000001</v>
      </c>
      <c r="E20" s="175">
        <f t="shared" si="39"/>
        <v>30.242555280000005</v>
      </c>
      <c r="F20" s="175">
        <f t="shared" si="39"/>
        <v>31.975778376000001</v>
      </c>
      <c r="G20" s="175">
        <f t="shared" si="39"/>
        <v>32.471683704</v>
      </c>
      <c r="H20" s="175">
        <f t="shared" si="39"/>
        <v>32.786966159999999</v>
      </c>
      <c r="I20" s="176">
        <f t="shared" si="39"/>
        <v>34.020000000000003</v>
      </c>
      <c r="J20" s="176">
        <f t="shared" si="39"/>
        <v>34.020000000000003</v>
      </c>
      <c r="K20" s="176">
        <f t="shared" si="39"/>
        <v>34.020000000000003</v>
      </c>
      <c r="L20" s="176">
        <f t="shared" si="39"/>
        <v>35.64</v>
      </c>
      <c r="M20" s="176">
        <f t="shared" si="39"/>
        <v>37.584000000000003</v>
      </c>
      <c r="N20" s="176">
        <f t="shared" si="39"/>
        <v>36.059904000000003</v>
      </c>
      <c r="O20" s="176">
        <f t="shared" si="39"/>
        <v>20.088000000000001</v>
      </c>
      <c r="P20" s="176">
        <f t="shared" si="39"/>
        <v>18.499752000000001</v>
      </c>
      <c r="Q20" s="176">
        <f t="shared" si="39"/>
        <v>19.440000000000001</v>
      </c>
      <c r="R20" s="176">
        <f t="shared" si="39"/>
        <v>16.999632000000002</v>
      </c>
      <c r="S20" s="176">
        <f t="shared" si="39"/>
        <v>13.996800000000002</v>
      </c>
      <c r="T20" s="176">
        <f t="shared" si="39"/>
        <v>2.9807999999999999</v>
      </c>
      <c r="U20" s="176">
        <f t="shared" si="39"/>
        <v>14.904</v>
      </c>
      <c r="V20" s="176">
        <f t="shared" si="39"/>
        <v>16.2</v>
      </c>
      <c r="W20" s="176">
        <f t="shared" si="39"/>
        <v>13.932</v>
      </c>
      <c r="X20" s="176">
        <f t="shared" si="39"/>
        <v>20.217600000000001</v>
      </c>
      <c r="Y20" s="176">
        <f t="shared" si="39"/>
        <v>22.032</v>
      </c>
      <c r="Z20" s="176">
        <f t="shared" si="39"/>
        <v>22.795992000000002</v>
      </c>
      <c r="AA20" s="176">
        <f t="shared" si="39"/>
        <v>20.088000000000001</v>
      </c>
      <c r="AB20" s="176">
        <f t="shared" si="39"/>
        <v>19.051199999999998</v>
      </c>
      <c r="AC20" s="176">
        <f t="shared" si="39"/>
        <v>15.292800000000002</v>
      </c>
      <c r="AD20" s="176">
        <f t="shared" si="39"/>
        <v>18.001440000000002</v>
      </c>
      <c r="AE20" s="176">
        <f t="shared" si="39"/>
        <v>14.904</v>
      </c>
      <c r="AF20" s="176">
        <f t="shared" si="39"/>
        <v>18.506879999999999</v>
      </c>
      <c r="AG20" s="176">
        <f t="shared" si="39"/>
        <v>17.70336</v>
      </c>
      <c r="AH20" s="176">
        <f t="shared" si="39"/>
        <v>14.58</v>
      </c>
      <c r="AI20" s="176">
        <f t="shared" ref="AI20:BB20" si="40">AI7*0.648</f>
        <v>9.7200000000000006</v>
      </c>
      <c r="AJ20" s="176">
        <f t="shared" si="40"/>
        <v>15.422400000000001</v>
      </c>
      <c r="AK20" s="176">
        <f t="shared" si="40"/>
        <v>23.000000000000004</v>
      </c>
      <c r="AL20" s="176">
        <f t="shared" si="40"/>
        <v>19.5</v>
      </c>
      <c r="AM20" s="176">
        <f t="shared" si="40"/>
        <v>12</v>
      </c>
      <c r="AN20" s="176">
        <f t="shared" si="40"/>
        <v>15.000000000000002</v>
      </c>
      <c r="AO20" s="176">
        <f t="shared" si="40"/>
        <v>21</v>
      </c>
      <c r="AP20" s="176">
        <f t="shared" si="40"/>
        <v>21</v>
      </c>
      <c r="AQ20" s="176">
        <f t="shared" si="40"/>
        <v>17</v>
      </c>
      <c r="AR20" s="176">
        <f t="shared" si="40"/>
        <v>19</v>
      </c>
      <c r="AS20" s="176">
        <f t="shared" si="40"/>
        <v>18.5</v>
      </c>
      <c r="AT20" s="176">
        <f t="shared" si="40"/>
        <v>20</v>
      </c>
      <c r="AU20" s="176">
        <f t="shared" si="40"/>
        <v>19</v>
      </c>
      <c r="AV20" s="176">
        <f t="shared" si="40"/>
        <v>18</v>
      </c>
      <c r="AW20" s="176">
        <f t="shared" si="40"/>
        <v>17.5</v>
      </c>
      <c r="AX20" s="176">
        <f t="shared" si="40"/>
        <v>20.999999999999993</v>
      </c>
      <c r="AY20" s="193">
        <f t="shared" si="40"/>
        <v>19</v>
      </c>
      <c r="AZ20" s="193">
        <f t="shared" si="40"/>
        <v>5.8</v>
      </c>
      <c r="BA20" s="176">
        <f t="shared" si="40"/>
        <v>25.2</v>
      </c>
      <c r="BB20" s="176">
        <f t="shared" si="40"/>
        <v>15.000000000000002</v>
      </c>
      <c r="BC20" s="176">
        <f t="shared" si="38"/>
        <v>9</v>
      </c>
      <c r="BD20" s="176">
        <f t="shared" si="38"/>
        <v>5</v>
      </c>
      <c r="BE20" s="176">
        <f t="shared" ref="BE20:BP20" si="41">BE7*0.648</f>
        <v>5</v>
      </c>
      <c r="BF20" s="176">
        <f t="shared" si="41"/>
        <v>15.000000000000002</v>
      </c>
      <c r="BG20" s="176">
        <f t="shared" si="41"/>
        <v>23.000000000000004</v>
      </c>
      <c r="BH20" s="176">
        <f t="shared" si="41"/>
        <v>25.499999999999996</v>
      </c>
      <c r="BI20" s="176">
        <f t="shared" si="41"/>
        <v>20</v>
      </c>
      <c r="BJ20" s="176">
        <f t="shared" si="41"/>
        <v>22</v>
      </c>
      <c r="BK20" s="176">
        <f t="shared" si="41"/>
        <v>24.5</v>
      </c>
      <c r="BL20" s="176">
        <f t="shared" si="41"/>
        <v>24.5</v>
      </c>
      <c r="BM20" s="176">
        <f t="shared" si="41"/>
        <v>26</v>
      </c>
      <c r="BN20" s="498">
        <f t="shared" si="41"/>
        <v>19</v>
      </c>
      <c r="BO20" s="498">
        <f t="shared" si="41"/>
        <v>26</v>
      </c>
      <c r="BP20" s="498">
        <f t="shared" si="41"/>
        <v>21.5</v>
      </c>
      <c r="BQ20" s="498">
        <f t="shared" ref="BQ20:BW20" si="42">BQ7*0.648</f>
        <v>19</v>
      </c>
      <c r="BR20" s="498">
        <f t="shared" si="42"/>
        <v>24</v>
      </c>
      <c r="BS20" s="498">
        <f t="shared" si="42"/>
        <v>19</v>
      </c>
      <c r="BT20" s="498">
        <f t="shared" si="42"/>
        <v>16.5</v>
      </c>
      <c r="BU20" s="498">
        <f t="shared" si="42"/>
        <v>20</v>
      </c>
      <c r="BV20" s="498">
        <f t="shared" si="42"/>
        <v>20</v>
      </c>
      <c r="BW20" s="498">
        <f t="shared" si="42"/>
        <v>19.5</v>
      </c>
      <c r="BX20" s="498">
        <f t="shared" ref="BX20:BY20" si="43">BX7*0.648</f>
        <v>17.5</v>
      </c>
      <c r="BY20" s="498">
        <f t="shared" si="43"/>
        <v>19.5</v>
      </c>
      <c r="BZ20" s="498">
        <f t="shared" ref="BZ20" si="44">BZ7*0.648</f>
        <v>19</v>
      </c>
      <c r="CA20" s="498">
        <f>CA7*0.648</f>
        <v>20</v>
      </c>
      <c r="CB20" s="577" t="s">
        <v>5</v>
      </c>
      <c r="CC20" s="601" t="s">
        <v>3</v>
      </c>
      <c r="CD20" s="598" t="s">
        <v>473</v>
      </c>
      <c r="CE20" s="570" t="s">
        <v>474</v>
      </c>
      <c r="CF20" s="544"/>
      <c r="CG20" s="544"/>
      <c r="CH20" s="544"/>
      <c r="CI20" s="544"/>
      <c r="CJ20" s="544"/>
      <c r="CK20" s="544"/>
      <c r="CL20" s="544"/>
    </row>
    <row r="21" spans="1:139" ht="15" thickBot="1">
      <c r="H21" s="290"/>
      <c r="I21" s="290"/>
      <c r="J21" s="290"/>
      <c r="K21" s="290"/>
      <c r="L21" s="290"/>
      <c r="M21" s="290"/>
      <c r="N21" s="290"/>
      <c r="O21" s="290"/>
      <c r="P21" s="290">
        <v>2500</v>
      </c>
      <c r="Q21" s="290">
        <v>1500</v>
      </c>
      <c r="R21" s="290"/>
      <c r="S21" s="290"/>
      <c r="T21" s="290"/>
      <c r="U21" s="290"/>
      <c r="V21" s="290"/>
      <c r="W21" s="290"/>
      <c r="X21" s="290"/>
      <c r="Y21" s="290"/>
      <c r="Z21" s="290"/>
      <c r="AA21" s="290"/>
      <c r="AB21" s="290"/>
      <c r="AC21" s="290"/>
      <c r="AD21" s="290"/>
      <c r="AE21" s="290"/>
      <c r="AF21" s="290"/>
      <c r="AG21" s="290"/>
      <c r="AH21" s="290"/>
      <c r="AI21" s="290"/>
      <c r="AJ21" s="290"/>
      <c r="AK21" s="290"/>
      <c r="AL21" s="290"/>
      <c r="AM21" s="290"/>
      <c r="AN21" s="290"/>
      <c r="AO21" s="290"/>
      <c r="AP21" s="290"/>
      <c r="AQ21" s="290"/>
      <c r="AR21" s="290"/>
      <c r="AS21" s="290"/>
      <c r="AT21" s="290"/>
      <c r="AU21" s="290"/>
      <c r="AV21" s="290"/>
      <c r="AW21" s="290"/>
      <c r="AX21" s="290"/>
      <c r="AY21" s="194" t="s">
        <v>475</v>
      </c>
      <c r="AZ21" s="194" t="s">
        <v>476</v>
      </c>
      <c r="BA21" s="290"/>
      <c r="BB21" s="290"/>
      <c r="BC21" s="176">
        <f t="shared" si="38"/>
        <v>27.345600000000001</v>
      </c>
      <c r="BD21" s="176">
        <f t="shared" si="38"/>
        <v>34.559999999999995</v>
      </c>
      <c r="BE21" s="176">
        <f t="shared" ref="BE21:BP21" si="45">BE8*0.648</f>
        <v>38.139983999999998</v>
      </c>
      <c r="BF21" s="176">
        <f t="shared" si="45"/>
        <v>35.712000000000003</v>
      </c>
      <c r="BG21" s="176">
        <f t="shared" si="45"/>
        <v>27.36</v>
      </c>
      <c r="BH21" s="176">
        <f t="shared" si="45"/>
        <v>28.271999999999998</v>
      </c>
      <c r="BI21" s="176">
        <f t="shared" si="45"/>
        <v>25.92144</v>
      </c>
      <c r="BJ21" s="176">
        <f t="shared" si="45"/>
        <v>27.604559999999999</v>
      </c>
      <c r="BK21" s="176">
        <f t="shared" si="45"/>
        <v>29.16</v>
      </c>
      <c r="BL21" s="176">
        <f t="shared" si="45"/>
        <v>25.272000000000002</v>
      </c>
      <c r="BM21" s="176">
        <f t="shared" si="45"/>
        <v>28.271999999999998</v>
      </c>
      <c r="BN21" s="498">
        <f t="shared" si="45"/>
        <v>28.317600000000002</v>
      </c>
      <c r="BO21" s="498">
        <f t="shared" si="45"/>
        <v>28.271999999999998</v>
      </c>
      <c r="BP21" s="498">
        <f t="shared" si="45"/>
        <v>27.36</v>
      </c>
      <c r="BQ21" s="498">
        <f t="shared" ref="BQ21:BZ21" si="46">BQ8*0.648</f>
        <v>21.384</v>
      </c>
      <c r="BR21" s="498">
        <f t="shared" si="46"/>
        <v>28.271999999999998</v>
      </c>
      <c r="BS21" s="498">
        <f t="shared" si="46"/>
        <v>27.36</v>
      </c>
      <c r="BT21" s="498">
        <f t="shared" si="46"/>
        <v>25.296000000000003</v>
      </c>
      <c r="BU21" s="498">
        <f t="shared" si="46"/>
        <v>27.36</v>
      </c>
      <c r="BV21" s="498">
        <f t="shared" si="46"/>
        <v>28.271999999999998</v>
      </c>
      <c r="BW21" s="498">
        <f t="shared" si="46"/>
        <v>28.271999999999998</v>
      </c>
      <c r="BX21" s="498">
        <f t="shared" si="46"/>
        <v>25.536000000000005</v>
      </c>
      <c r="BY21" s="498">
        <f t="shared" si="46"/>
        <v>28.271999999999998</v>
      </c>
      <c r="BZ21" s="498">
        <f t="shared" si="46"/>
        <v>27.36</v>
      </c>
      <c r="CA21" s="498">
        <f>CA8*0.648</f>
        <v>27.36</v>
      </c>
      <c r="CB21" s="577" t="s">
        <v>5</v>
      </c>
      <c r="CC21" s="601" t="s">
        <v>3</v>
      </c>
      <c r="CD21" s="598" t="s">
        <v>477</v>
      </c>
      <c r="CE21" s="571" t="s">
        <v>478</v>
      </c>
      <c r="CF21" s="544"/>
      <c r="CG21" s="544"/>
      <c r="CH21" s="544"/>
      <c r="CI21" s="544"/>
      <c r="CJ21" s="544"/>
      <c r="CK21" s="544"/>
      <c r="CL21" s="544"/>
    </row>
    <row r="22" spans="1:139">
      <c r="AI22" s="101">
        <v>8.8000000000000007</v>
      </c>
      <c r="AN22" s="101" t="s">
        <v>33</v>
      </c>
      <c r="AQ22" s="101" t="s">
        <v>1</v>
      </c>
      <c r="BL22" s="290"/>
      <c r="BM22" s="290"/>
      <c r="BN22" s="290"/>
      <c r="BO22" s="290"/>
      <c r="BP22" s="290"/>
      <c r="BQ22" s="290"/>
      <c r="BR22" s="290"/>
      <c r="BS22" s="290"/>
      <c r="BT22" s="290"/>
      <c r="BU22" s="290"/>
      <c r="BV22" s="290"/>
    </row>
    <row r="23" spans="1:139">
      <c r="BL23" s="290"/>
      <c r="BM23" s="290"/>
      <c r="BN23" s="290"/>
      <c r="BO23" s="290"/>
      <c r="BP23" s="290"/>
      <c r="BQ23" s="290"/>
      <c r="BR23" s="290"/>
      <c r="BS23" s="290"/>
      <c r="BT23" s="290"/>
      <c r="BU23" s="290"/>
      <c r="BV23" s="290"/>
    </row>
    <row r="24" spans="1:139">
      <c r="BL24" s="290"/>
      <c r="BM24" s="290"/>
      <c r="BN24" s="290"/>
      <c r="BO24" s="290"/>
      <c r="BP24" s="290"/>
      <c r="BQ24" s="290"/>
      <c r="BR24" s="290"/>
      <c r="BS24" s="290"/>
      <c r="BT24" s="290"/>
      <c r="BU24" s="290"/>
      <c r="BV24" s="290"/>
    </row>
    <row r="25" spans="1:139">
      <c r="BL25" s="290"/>
      <c r="BM25" s="290"/>
      <c r="BN25" s="290"/>
      <c r="BO25" s="290"/>
      <c r="BP25" s="290"/>
      <c r="BQ25" s="290"/>
      <c r="BR25" s="290"/>
      <c r="BS25" s="290"/>
      <c r="BT25" s="290"/>
      <c r="BU25" s="290"/>
      <c r="BV25" s="290"/>
    </row>
    <row r="26" spans="1:139">
      <c r="BL26" s="290"/>
      <c r="BM26" s="290"/>
      <c r="BN26" s="290"/>
      <c r="BO26" s="290"/>
      <c r="BP26" s="290"/>
      <c r="BQ26" s="290"/>
      <c r="BR26" s="290"/>
      <c r="BS26" s="290"/>
      <c r="BT26" s="290"/>
      <c r="BU26" s="290"/>
      <c r="BV26" s="290"/>
    </row>
    <row r="27" spans="1:139">
      <c r="BL27" s="290"/>
      <c r="BM27" s="290"/>
      <c r="BN27" s="290"/>
      <c r="BO27" s="290"/>
      <c r="BP27" s="290"/>
      <c r="BQ27" s="290"/>
      <c r="BR27" s="290"/>
      <c r="BS27" s="290"/>
      <c r="BT27" s="290"/>
      <c r="BU27" s="290"/>
      <c r="BV27" s="290"/>
    </row>
    <row r="28" spans="1:139">
      <c r="BL28" s="290"/>
      <c r="BM28" s="290"/>
      <c r="BN28" s="290"/>
      <c r="BO28" s="290"/>
      <c r="BP28" s="290"/>
      <c r="BQ28" s="290"/>
      <c r="BR28" s="290"/>
      <c r="BS28" s="290"/>
      <c r="BT28" s="290"/>
      <c r="BU28" s="290"/>
      <c r="BV28" s="290"/>
    </row>
    <row r="29" spans="1:139">
      <c r="BL29" s="290"/>
      <c r="BM29" s="290"/>
      <c r="BN29" s="290"/>
      <c r="BO29" s="290"/>
      <c r="BP29" s="290"/>
      <c r="BQ29" s="290"/>
      <c r="BR29" s="290"/>
      <c r="BS29" s="290"/>
      <c r="BT29" s="290"/>
      <c r="BU29" s="290"/>
      <c r="BV29" s="290"/>
    </row>
    <row r="30" spans="1:139">
      <c r="BL30" s="290"/>
      <c r="BM30" s="290"/>
      <c r="BN30" s="290"/>
      <c r="BO30" s="290"/>
      <c r="BP30" s="290"/>
      <c r="BQ30" s="290"/>
      <c r="BR30" s="290"/>
      <c r="BS30" s="290"/>
      <c r="BT30" s="290"/>
      <c r="BU30" s="290"/>
      <c r="BV30" s="290"/>
    </row>
    <row r="31" spans="1:139" customFormat="1" ht="20.25">
      <c r="A31" s="583" t="s">
        <v>479</v>
      </c>
      <c r="B31" s="583"/>
      <c r="C31" s="584">
        <f t="shared" ref="C31:AH31" si="47">C3</f>
        <v>42370</v>
      </c>
      <c r="D31" s="584">
        <f t="shared" si="47"/>
        <v>42401</v>
      </c>
      <c r="E31" s="584">
        <f t="shared" si="47"/>
        <v>42430</v>
      </c>
      <c r="F31" s="584">
        <f t="shared" si="47"/>
        <v>42461</v>
      </c>
      <c r="G31" s="584">
        <f t="shared" si="47"/>
        <v>42491</v>
      </c>
      <c r="H31" s="584">
        <f t="shared" si="47"/>
        <v>42522</v>
      </c>
      <c r="I31" s="584">
        <f t="shared" si="47"/>
        <v>42552</v>
      </c>
      <c r="J31" s="584">
        <f t="shared" si="47"/>
        <v>42583</v>
      </c>
      <c r="K31" s="584">
        <f t="shared" si="47"/>
        <v>42614</v>
      </c>
      <c r="L31" s="584">
        <f t="shared" si="47"/>
        <v>42644</v>
      </c>
      <c r="M31" s="584">
        <f t="shared" si="47"/>
        <v>42675</v>
      </c>
      <c r="N31" s="584">
        <f t="shared" si="47"/>
        <v>42705</v>
      </c>
      <c r="O31" s="584">
        <f t="shared" si="47"/>
        <v>42736</v>
      </c>
      <c r="P31" s="584">
        <f t="shared" si="47"/>
        <v>42767</v>
      </c>
      <c r="Q31" s="584">
        <f t="shared" si="47"/>
        <v>42795</v>
      </c>
      <c r="R31" s="584">
        <f t="shared" si="47"/>
        <v>42826</v>
      </c>
      <c r="S31" s="584">
        <f t="shared" si="47"/>
        <v>42856</v>
      </c>
      <c r="T31" s="584">
        <f t="shared" si="47"/>
        <v>42887</v>
      </c>
      <c r="U31" s="584">
        <f t="shared" si="47"/>
        <v>42917</v>
      </c>
      <c r="V31" s="584">
        <f t="shared" si="47"/>
        <v>42948</v>
      </c>
      <c r="W31" s="584">
        <f t="shared" si="47"/>
        <v>42979</v>
      </c>
      <c r="X31" s="584">
        <f t="shared" si="47"/>
        <v>43009</v>
      </c>
      <c r="Y31" s="584">
        <f t="shared" si="47"/>
        <v>43040</v>
      </c>
      <c r="Z31" s="584">
        <f t="shared" si="47"/>
        <v>43070</v>
      </c>
      <c r="AA31" s="584">
        <f t="shared" si="47"/>
        <v>43101</v>
      </c>
      <c r="AB31" s="584">
        <f t="shared" si="47"/>
        <v>43132</v>
      </c>
      <c r="AC31" s="584">
        <f t="shared" si="47"/>
        <v>43160</v>
      </c>
      <c r="AD31" s="584">
        <f t="shared" si="47"/>
        <v>43191</v>
      </c>
      <c r="AE31" s="584">
        <f t="shared" si="47"/>
        <v>43221</v>
      </c>
      <c r="AF31" s="584">
        <f t="shared" si="47"/>
        <v>43252</v>
      </c>
      <c r="AG31" s="584">
        <f t="shared" si="47"/>
        <v>43282</v>
      </c>
      <c r="AH31" s="584">
        <f t="shared" si="47"/>
        <v>43313</v>
      </c>
      <c r="AI31" s="584">
        <f t="shared" ref="AI31:BJ31" si="48">AI3</f>
        <v>43344</v>
      </c>
      <c r="AJ31" s="584">
        <f t="shared" si="48"/>
        <v>43374</v>
      </c>
      <c r="AK31" s="584">
        <f t="shared" si="48"/>
        <v>43405</v>
      </c>
      <c r="AL31" s="584">
        <f t="shared" si="48"/>
        <v>43435</v>
      </c>
      <c r="AM31" s="584">
        <f t="shared" si="48"/>
        <v>43466</v>
      </c>
      <c r="AN31" s="584">
        <f t="shared" si="48"/>
        <v>43497</v>
      </c>
      <c r="AO31" s="584">
        <f t="shared" si="48"/>
        <v>43525</v>
      </c>
      <c r="AP31" s="584">
        <f t="shared" si="48"/>
        <v>43556</v>
      </c>
      <c r="AQ31" s="584">
        <f t="shared" si="48"/>
        <v>43586</v>
      </c>
      <c r="AR31" s="584">
        <f t="shared" si="48"/>
        <v>43617</v>
      </c>
      <c r="AS31" s="584">
        <f t="shared" si="48"/>
        <v>43647</v>
      </c>
      <c r="AT31" s="584">
        <f t="shared" si="48"/>
        <v>43678</v>
      </c>
      <c r="AU31" s="584">
        <f t="shared" si="48"/>
        <v>43709</v>
      </c>
      <c r="AV31" s="584">
        <f t="shared" si="48"/>
        <v>43739</v>
      </c>
      <c r="AW31" s="584">
        <f t="shared" si="48"/>
        <v>43770</v>
      </c>
      <c r="AX31" s="584">
        <f t="shared" si="48"/>
        <v>43800</v>
      </c>
      <c r="AY31" s="584">
        <f t="shared" si="48"/>
        <v>43831</v>
      </c>
      <c r="AZ31" s="584">
        <f t="shared" si="48"/>
        <v>43862</v>
      </c>
      <c r="BA31" s="584">
        <f t="shared" si="48"/>
        <v>43891</v>
      </c>
      <c r="BB31" s="584">
        <f t="shared" si="48"/>
        <v>43922</v>
      </c>
      <c r="BC31" s="584">
        <f t="shared" si="48"/>
        <v>43952</v>
      </c>
      <c r="BD31" s="584">
        <f t="shared" si="48"/>
        <v>43983</v>
      </c>
      <c r="BE31" s="584">
        <f t="shared" si="48"/>
        <v>44013</v>
      </c>
      <c r="BF31" s="584">
        <f t="shared" si="48"/>
        <v>44044</v>
      </c>
      <c r="BG31" s="584">
        <f t="shared" si="48"/>
        <v>44075</v>
      </c>
      <c r="BH31" s="584">
        <f t="shared" si="48"/>
        <v>44105</v>
      </c>
      <c r="BI31" s="584">
        <f t="shared" si="48"/>
        <v>44136</v>
      </c>
      <c r="BJ31" s="584">
        <f t="shared" si="48"/>
        <v>44166</v>
      </c>
      <c r="BK31" s="584">
        <v>23377</v>
      </c>
      <c r="BL31" s="584">
        <v>23408</v>
      </c>
      <c r="BM31" s="584">
        <v>23437</v>
      </c>
      <c r="BN31" s="584">
        <v>23468</v>
      </c>
      <c r="BO31" s="584">
        <v>23498</v>
      </c>
      <c r="BP31" s="584">
        <v>23529</v>
      </c>
      <c r="BQ31" s="584">
        <v>23559</v>
      </c>
      <c r="BR31" s="584">
        <v>23590</v>
      </c>
      <c r="BS31" s="584">
        <v>23621</v>
      </c>
      <c r="BT31" s="584">
        <v>23651</v>
      </c>
      <c r="BU31" s="584">
        <v>23682</v>
      </c>
      <c r="BV31" s="584">
        <v>23712</v>
      </c>
      <c r="BW31" s="584">
        <v>23743</v>
      </c>
      <c r="BX31" s="584">
        <v>23774</v>
      </c>
      <c r="BY31" s="584">
        <v>23802</v>
      </c>
      <c r="BZ31" s="584">
        <v>23833</v>
      </c>
      <c r="CA31" s="584">
        <v>23863</v>
      </c>
      <c r="CB31" s="609"/>
      <c r="CC31" s="609"/>
      <c r="CD31" s="609"/>
      <c r="CE31" s="590" t="s">
        <v>480</v>
      </c>
      <c r="DY31" s="591" t="s">
        <v>481</v>
      </c>
      <c r="DZ31" s="592">
        <f>BB16</f>
        <v>65.348148148148155</v>
      </c>
      <c r="EA31" s="592">
        <f>DU16</f>
        <v>0</v>
      </c>
      <c r="EB31" s="593">
        <f t="shared" ref="EB31:EB37" si="49">EA31-DZ31</f>
        <v>-65.348148148148155</v>
      </c>
      <c r="EC31" s="594">
        <f t="shared" ref="EC31:EC37" si="50">EB31/DZ31</f>
        <v>-1</v>
      </c>
      <c r="ED31" s="595"/>
      <c r="EE31" s="595"/>
      <c r="EF31" s="595"/>
      <c r="EG31" s="595"/>
      <c r="EH31" s="595"/>
      <c r="EI31" s="595"/>
    </row>
    <row r="32" spans="1:139" customFormat="1" ht="20.25">
      <c r="A32" s="585" t="s">
        <v>482</v>
      </c>
      <c r="B32" s="586" t="s">
        <v>483</v>
      </c>
      <c r="C32" s="587">
        <f>[8]Ability!C55</f>
        <v>7.84</v>
      </c>
      <c r="D32" s="587">
        <f>[8]Ability!D55</f>
        <v>14</v>
      </c>
      <c r="E32" s="587">
        <f>[8]Ability!E55</f>
        <v>15.81</v>
      </c>
      <c r="F32" s="587">
        <f>[8]Ability!F55</f>
        <v>15.15</v>
      </c>
      <c r="G32" s="587">
        <f>[8]Ability!G55</f>
        <v>15.654999999999999</v>
      </c>
      <c r="H32" s="587">
        <f>[8]Ability!H55</f>
        <v>15</v>
      </c>
      <c r="I32" s="587">
        <f>[8]Ability!I55</f>
        <v>13.02</v>
      </c>
      <c r="J32" s="587">
        <f>[8]Ability!J55</f>
        <v>13.02</v>
      </c>
      <c r="K32" s="587">
        <f>[8]Ability!K55</f>
        <v>12.6</v>
      </c>
      <c r="L32" s="587">
        <f>[8]Ability!L55</f>
        <v>4.2</v>
      </c>
      <c r="M32" s="587">
        <f>[8]Ability!M55</f>
        <v>12.6</v>
      </c>
      <c r="N32" s="587">
        <f>[8]Ability!N55</f>
        <v>13.02</v>
      </c>
      <c r="O32" s="587">
        <f>[8]Ability!O55</f>
        <v>14.414999999999999</v>
      </c>
      <c r="P32" s="587">
        <f>[8]Ability!P55</f>
        <v>13.02</v>
      </c>
      <c r="Q32" s="587">
        <f>[8]Ability!Q55</f>
        <v>18.538</v>
      </c>
      <c r="R32" s="587">
        <f>[8]Ability!R55</f>
        <v>17.940000000000001</v>
      </c>
      <c r="S32" s="587">
        <f>[8]Ability!S55</f>
        <v>4.7119999999999997</v>
      </c>
      <c r="T32" s="587">
        <f>[8]Ability!T55</f>
        <v>5.22</v>
      </c>
      <c r="U32" s="587">
        <f>[8]Ability!U55</f>
        <v>16.957000000000001</v>
      </c>
      <c r="V32" s="587">
        <f>[8]Ability!V55</f>
        <v>18.196999999999999</v>
      </c>
      <c r="W32" s="587">
        <f>[8]Ability!W55</f>
        <v>17.37</v>
      </c>
      <c r="X32" s="587">
        <f>[8]Ability!X55</f>
        <v>17.856000000000002</v>
      </c>
      <c r="Y32" s="587">
        <f>[8]Ability!Y55</f>
        <v>13.5</v>
      </c>
      <c r="Z32" s="587">
        <f>[8]Ability!Z55</f>
        <v>13.95</v>
      </c>
      <c r="AA32" s="587">
        <f>[8]Ability!AA55</f>
        <v>15.5</v>
      </c>
      <c r="AB32" s="587">
        <f>[8]Ability!AB55</f>
        <v>14.28</v>
      </c>
      <c r="AC32" s="587">
        <f>[8]Ability!AC55</f>
        <v>16.027000000000001</v>
      </c>
      <c r="AD32" s="587">
        <f>[8]Ability!AD55</f>
        <v>15.6</v>
      </c>
      <c r="AE32" s="587">
        <f>[8]Ability!AE55</f>
        <v>16.12</v>
      </c>
      <c r="AF32" s="587">
        <f>[8]Ability!AF55</f>
        <v>15.42</v>
      </c>
      <c r="AG32" s="587">
        <f>[8]Ability!AG55</f>
        <v>16.027000000000001</v>
      </c>
      <c r="AH32" s="587">
        <f>[8]Ability!AH55</f>
        <v>15.933999999999999</v>
      </c>
      <c r="AI32" s="587">
        <f>[8]Ability!AI55</f>
        <v>15.45</v>
      </c>
      <c r="AJ32" s="587">
        <f>[8]Ability!AJ55</f>
        <v>10.85</v>
      </c>
      <c r="AK32" s="587">
        <f>[8]Ability!AK55</f>
        <v>10.5</v>
      </c>
      <c r="AL32" s="587">
        <f>[8]Ability!AL55</f>
        <v>13.26</v>
      </c>
      <c r="AM32" s="587">
        <f>[8]Ability!AM55</f>
        <v>14.281000000000001</v>
      </c>
      <c r="AN32" s="587">
        <f>[8]Ability!AN55</f>
        <v>13.484999999999999</v>
      </c>
      <c r="AO32" s="587">
        <f>[8]Ability!AO55</f>
        <v>17</v>
      </c>
      <c r="AP32" s="587">
        <f>[8]Ability!AP55</f>
        <v>15.6</v>
      </c>
      <c r="AQ32" s="587">
        <f>[8]Ability!AQ55</f>
        <v>17.05</v>
      </c>
      <c r="AR32" s="587">
        <f>[8]Ability!AR55</f>
        <v>15.6</v>
      </c>
      <c r="AS32" s="587">
        <f>[8]Ability!AS55</f>
        <v>14.589</v>
      </c>
      <c r="AT32" s="587">
        <f>[8]Ability!AT55</f>
        <v>13.04</v>
      </c>
      <c r="AU32" s="587">
        <f>[8]Ability!AU55</f>
        <v>15.6</v>
      </c>
      <c r="AV32" s="587">
        <f>[8]Ability!AV55</f>
        <v>16.739999999999998</v>
      </c>
      <c r="AW32" s="587">
        <f>[8]Ability!AW55</f>
        <v>16.2</v>
      </c>
      <c r="AX32" s="587">
        <f>[8]Ability!AX55</f>
        <v>16.12</v>
      </c>
      <c r="AY32" s="587">
        <f>[8]Ability!AY55</f>
        <v>13.12</v>
      </c>
      <c r="AZ32" s="587">
        <f>[8]Ability!AZ55</f>
        <v>6.72</v>
      </c>
      <c r="BA32" s="587">
        <f>[8]Ability!BA55</f>
        <v>15.56</v>
      </c>
      <c r="BB32" s="587">
        <f>[8]Ability!BB55</f>
        <v>15</v>
      </c>
      <c r="BC32" s="587">
        <f>[8]Ability!BC55</f>
        <v>15.5</v>
      </c>
      <c r="BD32" s="587">
        <f>[8]Ability!BD55</f>
        <v>13.95</v>
      </c>
      <c r="BE32" s="587">
        <f>[8]Ability!BE55</f>
        <v>8.99</v>
      </c>
      <c r="BF32" s="587">
        <f>[8]Ability!BF55</f>
        <v>14.66</v>
      </c>
      <c r="BG32" s="587">
        <f>[8]Ability!BG55</f>
        <v>15</v>
      </c>
      <c r="BH32" s="587">
        <f>[8]Ability!BH55</f>
        <v>15.5</v>
      </c>
      <c r="BI32" s="587">
        <f>[8]Ability!BI55</f>
        <v>15</v>
      </c>
      <c r="BJ32" s="587">
        <f>[8]Ability!BJ55</f>
        <v>15.08</v>
      </c>
      <c r="BK32" s="587">
        <v>4.1449999999999996</v>
      </c>
      <c r="BL32" s="587">
        <v>2.1</v>
      </c>
      <c r="BM32" s="587">
        <v>4.8449999999999998</v>
      </c>
      <c r="BN32" s="587">
        <v>4.6500000000000004</v>
      </c>
      <c r="BO32" s="587">
        <v>4.8049999999999997</v>
      </c>
      <c r="BP32" s="587">
        <v>4.3</v>
      </c>
      <c r="BQ32" s="587">
        <v>2.6349999999999998</v>
      </c>
      <c r="BR32" s="587">
        <v>4.5250000000000004</v>
      </c>
      <c r="BS32" s="587">
        <v>4.6500000000000004</v>
      </c>
      <c r="BT32" s="587">
        <v>4.8049999999999997</v>
      </c>
      <c r="BU32" s="587">
        <v>4.6500000000000004</v>
      </c>
      <c r="BV32" s="587">
        <v>4.665</v>
      </c>
      <c r="BW32" s="587">
        <v>4.5949999999999998</v>
      </c>
      <c r="BX32" s="587">
        <v>4.34</v>
      </c>
      <c r="BY32" s="587">
        <v>4.8049999999999997</v>
      </c>
      <c r="BZ32" s="587">
        <v>4.6500000000000004</v>
      </c>
      <c r="CA32" s="587">
        <v>4.8049999999999997</v>
      </c>
      <c r="CB32" t="s">
        <v>170</v>
      </c>
      <c r="CC32" s="601" t="s">
        <v>3</v>
      </c>
      <c r="CD32" s="180"/>
      <c r="CE32" s="596" t="s">
        <v>484</v>
      </c>
      <c r="CF32" s="101"/>
      <c r="CG32" s="101"/>
      <c r="CH32" s="101"/>
      <c r="CI32" s="101"/>
      <c r="CJ32" s="101"/>
      <c r="CK32" s="101"/>
      <c r="CL32" s="101"/>
      <c r="CM32" s="101"/>
      <c r="CN32" s="101"/>
      <c r="CO32" s="101"/>
      <c r="CP32" s="101"/>
      <c r="CQ32" s="101"/>
      <c r="CR32" s="101"/>
      <c r="CS32" s="101"/>
      <c r="CT32" s="101"/>
      <c r="CU32" s="101"/>
      <c r="CV32" s="101"/>
      <c r="CW32" s="101"/>
      <c r="CX32" s="101"/>
      <c r="CY32" s="101"/>
      <c r="CZ32" s="101"/>
      <c r="DA32" s="101"/>
      <c r="DB32" s="101"/>
      <c r="DC32" s="101"/>
      <c r="DD32" s="101"/>
      <c r="DE32" s="101"/>
      <c r="DF32" s="101"/>
      <c r="DG32" s="101"/>
      <c r="DH32" s="101"/>
      <c r="DI32" s="101"/>
      <c r="DJ32" s="101"/>
      <c r="DK32" s="101"/>
      <c r="DL32" s="101"/>
      <c r="DM32" s="101"/>
      <c r="DN32" s="101"/>
      <c r="DO32" s="101"/>
      <c r="DP32" s="101"/>
      <c r="DQ32" s="101"/>
      <c r="DR32" s="101"/>
      <c r="DS32" s="101"/>
      <c r="DT32" s="101"/>
      <c r="DU32" s="101"/>
      <c r="DV32" s="101"/>
      <c r="DW32" s="101"/>
      <c r="DY32" s="591" t="s">
        <v>485</v>
      </c>
      <c r="DZ32" s="592">
        <f>BB17</f>
        <v>65.348148148148155</v>
      </c>
      <c r="EA32" s="592">
        <f>DU17</f>
        <v>0</v>
      </c>
      <c r="EB32" s="593">
        <f t="shared" si="49"/>
        <v>-65.348148148148155</v>
      </c>
      <c r="EC32" s="594">
        <f t="shared" si="50"/>
        <v>-1</v>
      </c>
      <c r="ED32" s="595"/>
      <c r="EE32" s="595"/>
      <c r="EF32" s="595"/>
      <c r="EG32" s="595"/>
      <c r="EH32" s="595"/>
      <c r="EI32" s="595"/>
    </row>
    <row r="33" spans="1:139" customFormat="1" ht="20.25">
      <c r="A33" s="588" t="s">
        <v>101</v>
      </c>
      <c r="B33" s="588"/>
      <c r="C33" s="589">
        <f t="shared" ref="C33:AH33" si="51">C3</f>
        <v>42370</v>
      </c>
      <c r="D33" s="589">
        <f t="shared" si="51"/>
        <v>42401</v>
      </c>
      <c r="E33" s="589">
        <f t="shared" si="51"/>
        <v>42430</v>
      </c>
      <c r="F33" s="589">
        <f t="shared" si="51"/>
        <v>42461</v>
      </c>
      <c r="G33" s="589">
        <f t="shared" si="51"/>
        <v>42491</v>
      </c>
      <c r="H33" s="589">
        <f t="shared" si="51"/>
        <v>42522</v>
      </c>
      <c r="I33" s="589">
        <f t="shared" si="51"/>
        <v>42552</v>
      </c>
      <c r="J33" s="589">
        <f t="shared" si="51"/>
        <v>42583</v>
      </c>
      <c r="K33" s="589">
        <f t="shared" si="51"/>
        <v>42614</v>
      </c>
      <c r="L33" s="589">
        <f t="shared" si="51"/>
        <v>42644</v>
      </c>
      <c r="M33" s="589">
        <f t="shared" si="51"/>
        <v>42675</v>
      </c>
      <c r="N33" s="589">
        <f t="shared" si="51"/>
        <v>42705</v>
      </c>
      <c r="O33" s="589">
        <f t="shared" si="51"/>
        <v>42736</v>
      </c>
      <c r="P33" s="589">
        <f t="shared" si="51"/>
        <v>42767</v>
      </c>
      <c r="Q33" s="589">
        <f t="shared" si="51"/>
        <v>42795</v>
      </c>
      <c r="R33" s="589">
        <f t="shared" si="51"/>
        <v>42826</v>
      </c>
      <c r="S33" s="589">
        <f t="shared" si="51"/>
        <v>42856</v>
      </c>
      <c r="T33" s="589">
        <f t="shared" si="51"/>
        <v>42887</v>
      </c>
      <c r="U33" s="589">
        <f t="shared" si="51"/>
        <v>42917</v>
      </c>
      <c r="V33" s="589">
        <f t="shared" si="51"/>
        <v>42948</v>
      </c>
      <c r="W33" s="589">
        <f t="shared" si="51"/>
        <v>42979</v>
      </c>
      <c r="X33" s="589">
        <f t="shared" si="51"/>
        <v>43009</v>
      </c>
      <c r="Y33" s="589">
        <f t="shared" si="51"/>
        <v>43040</v>
      </c>
      <c r="Z33" s="589">
        <f t="shared" si="51"/>
        <v>43070</v>
      </c>
      <c r="AA33" s="589">
        <f t="shared" si="51"/>
        <v>43101</v>
      </c>
      <c r="AB33" s="589">
        <f t="shared" si="51"/>
        <v>43132</v>
      </c>
      <c r="AC33" s="589">
        <f t="shared" si="51"/>
        <v>43160</v>
      </c>
      <c r="AD33" s="589">
        <f t="shared" si="51"/>
        <v>43191</v>
      </c>
      <c r="AE33" s="589">
        <f t="shared" si="51"/>
        <v>43221</v>
      </c>
      <c r="AF33" s="589">
        <f t="shared" si="51"/>
        <v>43252</v>
      </c>
      <c r="AG33" s="589">
        <f t="shared" si="51"/>
        <v>43282</v>
      </c>
      <c r="AH33" s="589">
        <f t="shared" si="51"/>
        <v>43313</v>
      </c>
      <c r="AI33" s="589">
        <f t="shared" ref="AI33:BJ33" si="52">AI3</f>
        <v>43344</v>
      </c>
      <c r="AJ33" s="589">
        <f t="shared" si="52"/>
        <v>43374</v>
      </c>
      <c r="AK33" s="589">
        <f t="shared" si="52"/>
        <v>43405</v>
      </c>
      <c r="AL33" s="589">
        <f t="shared" si="52"/>
        <v>43435</v>
      </c>
      <c r="AM33" s="589">
        <f t="shared" si="52"/>
        <v>43466</v>
      </c>
      <c r="AN33" s="589">
        <f t="shared" si="52"/>
        <v>43497</v>
      </c>
      <c r="AO33" s="589">
        <f t="shared" si="52"/>
        <v>43525</v>
      </c>
      <c r="AP33" s="589">
        <f t="shared" si="52"/>
        <v>43556</v>
      </c>
      <c r="AQ33" s="589">
        <f t="shared" si="52"/>
        <v>43586</v>
      </c>
      <c r="AR33" s="589">
        <f t="shared" si="52"/>
        <v>43617</v>
      </c>
      <c r="AS33" s="589">
        <f t="shared" si="52"/>
        <v>43647</v>
      </c>
      <c r="AT33" s="589">
        <f t="shared" si="52"/>
        <v>43678</v>
      </c>
      <c r="AU33" s="589">
        <f t="shared" si="52"/>
        <v>43709</v>
      </c>
      <c r="AV33" s="589">
        <f t="shared" si="52"/>
        <v>43739</v>
      </c>
      <c r="AW33" s="589">
        <f t="shared" si="52"/>
        <v>43770</v>
      </c>
      <c r="AX33" s="589">
        <f t="shared" si="52"/>
        <v>43800</v>
      </c>
      <c r="AY33" s="589">
        <f t="shared" si="52"/>
        <v>43831</v>
      </c>
      <c r="AZ33" s="589">
        <f t="shared" si="52"/>
        <v>43862</v>
      </c>
      <c r="BA33" s="589">
        <f t="shared" si="52"/>
        <v>43891</v>
      </c>
      <c r="BB33" s="589">
        <f t="shared" si="52"/>
        <v>43922</v>
      </c>
      <c r="BC33" s="589">
        <f t="shared" si="52"/>
        <v>43952</v>
      </c>
      <c r="BD33" s="589">
        <f t="shared" si="52"/>
        <v>43983</v>
      </c>
      <c r="BE33" s="589">
        <f t="shared" si="52"/>
        <v>44013</v>
      </c>
      <c r="BF33" s="589">
        <f t="shared" si="52"/>
        <v>44044</v>
      </c>
      <c r="BG33" s="589">
        <f t="shared" si="52"/>
        <v>44075</v>
      </c>
      <c r="BH33" s="589">
        <f t="shared" si="52"/>
        <v>44105</v>
      </c>
      <c r="BI33" s="589">
        <f t="shared" si="52"/>
        <v>44136</v>
      </c>
      <c r="BJ33" s="589">
        <f t="shared" si="52"/>
        <v>44166</v>
      </c>
      <c r="BK33" s="589">
        <v>23377</v>
      </c>
      <c r="BL33" s="589">
        <v>23408</v>
      </c>
      <c r="BM33" s="589">
        <v>23437</v>
      </c>
      <c r="BN33" s="589">
        <v>23468</v>
      </c>
      <c r="BO33" s="589">
        <v>23498</v>
      </c>
      <c r="BP33" s="589">
        <v>23529</v>
      </c>
      <c r="BQ33" s="589">
        <v>23559</v>
      </c>
      <c r="BR33" s="589">
        <v>23590</v>
      </c>
      <c r="BS33" s="589">
        <v>23621</v>
      </c>
      <c r="BT33" s="589">
        <v>23651</v>
      </c>
      <c r="BU33" s="589">
        <v>23682</v>
      </c>
      <c r="BV33" s="589">
        <v>23712</v>
      </c>
      <c r="BW33" s="589">
        <v>23743</v>
      </c>
      <c r="BX33" s="589">
        <v>23774</v>
      </c>
      <c r="BY33" s="589">
        <v>23802</v>
      </c>
      <c r="BZ33" s="589">
        <v>23833</v>
      </c>
      <c r="CA33" s="589">
        <v>23863</v>
      </c>
      <c r="CB33" s="180"/>
      <c r="CC33" s="180"/>
      <c r="CD33" s="180"/>
      <c r="CE33" s="596"/>
      <c r="CF33" s="101"/>
      <c r="CG33" s="101"/>
      <c r="CH33" s="101"/>
      <c r="CI33" s="101"/>
      <c r="CJ33" s="101"/>
      <c r="CK33" s="101"/>
      <c r="CL33" s="101"/>
      <c r="CM33" s="101"/>
      <c r="CN33" s="101"/>
      <c r="CO33" s="101"/>
      <c r="CP33" s="101"/>
      <c r="CQ33" s="101"/>
      <c r="CR33" s="101"/>
      <c r="CS33" s="101"/>
      <c r="CT33" s="101"/>
      <c r="CU33" s="101"/>
      <c r="CV33" s="101"/>
      <c r="CW33" s="101"/>
      <c r="CX33" s="101"/>
      <c r="CY33" s="101"/>
      <c r="CZ33" s="101"/>
      <c r="DA33" s="101"/>
      <c r="DB33" s="101"/>
      <c r="DC33" s="101"/>
      <c r="DD33" s="101"/>
      <c r="DE33" s="101"/>
      <c r="DF33" s="101"/>
      <c r="DG33" s="101"/>
      <c r="DH33" s="101"/>
      <c r="DI33" s="101"/>
      <c r="DJ33" s="101"/>
      <c r="DK33" s="101"/>
      <c r="DL33" s="101"/>
      <c r="DM33" s="101"/>
      <c r="DN33" s="101"/>
      <c r="DO33" s="101"/>
      <c r="DP33" s="101"/>
      <c r="DQ33" s="101"/>
      <c r="DR33" s="101"/>
      <c r="DS33" s="101"/>
      <c r="DT33" s="101"/>
      <c r="DU33" s="101"/>
      <c r="DV33" s="101"/>
      <c r="DW33" s="101"/>
      <c r="DY33" s="591" t="s">
        <v>486</v>
      </c>
      <c r="DZ33" s="592">
        <f>BB18</f>
        <v>0</v>
      </c>
      <c r="EA33" s="592">
        <f>DU18</f>
        <v>0</v>
      </c>
      <c r="EB33" s="593">
        <f t="shared" si="49"/>
        <v>0</v>
      </c>
      <c r="EC33" s="594" t="e">
        <f t="shared" si="50"/>
        <v>#DIV/0!</v>
      </c>
      <c r="ED33" s="595"/>
      <c r="EE33" s="595"/>
      <c r="EF33" s="595"/>
      <c r="EG33" s="595"/>
      <c r="EH33" s="595"/>
      <c r="EI33" s="595"/>
    </row>
    <row r="34" spans="1:139" customFormat="1" ht="20.25">
      <c r="A34" s="838" t="s">
        <v>482</v>
      </c>
      <c r="B34" s="839" t="s">
        <v>36</v>
      </c>
      <c r="C34" s="840"/>
      <c r="D34" s="840"/>
      <c r="E34" s="840"/>
      <c r="F34" s="840"/>
      <c r="G34" s="840"/>
      <c r="H34" s="840"/>
      <c r="I34" s="840"/>
      <c r="J34" s="840"/>
      <c r="K34" s="840"/>
      <c r="L34" s="840"/>
      <c r="M34" s="840"/>
      <c r="N34" s="840"/>
      <c r="O34" s="840"/>
      <c r="P34" s="840"/>
      <c r="Q34" s="840"/>
      <c r="R34" s="840"/>
      <c r="S34" s="840"/>
      <c r="T34" s="840"/>
      <c r="U34" s="840"/>
      <c r="V34" s="840"/>
      <c r="W34" s="840"/>
      <c r="X34" s="840"/>
      <c r="Y34" s="840"/>
      <c r="Z34" s="840"/>
      <c r="AA34" s="840"/>
      <c r="AB34" s="840"/>
      <c r="AC34" s="840"/>
      <c r="AD34" s="840"/>
      <c r="AE34" s="840"/>
      <c r="AF34" s="840"/>
      <c r="AG34" s="840"/>
      <c r="AH34" s="840"/>
      <c r="AI34" s="840"/>
      <c r="AJ34" s="840"/>
      <c r="AK34" s="840"/>
      <c r="AL34" s="840"/>
      <c r="AM34" s="840"/>
      <c r="AN34" s="840"/>
      <c r="AO34" s="840"/>
      <c r="AP34" s="840"/>
      <c r="AQ34" s="840"/>
      <c r="AR34" s="840"/>
      <c r="AS34" s="840"/>
      <c r="AT34" s="840"/>
      <c r="AU34" s="840"/>
      <c r="AV34" s="840"/>
      <c r="AW34" s="840"/>
      <c r="AX34" s="840"/>
      <c r="AY34" s="840"/>
      <c r="AZ34" s="840"/>
      <c r="BA34" s="840"/>
      <c r="BB34" s="840"/>
      <c r="BC34" s="840"/>
      <c r="BD34" s="840"/>
      <c r="BE34" s="840"/>
      <c r="BF34" s="840"/>
      <c r="BG34" s="840"/>
      <c r="BH34" s="840"/>
      <c r="BI34" s="840"/>
      <c r="BJ34" s="840"/>
      <c r="BK34" s="840"/>
      <c r="BL34" s="840"/>
      <c r="BM34" s="840"/>
      <c r="BN34" s="840"/>
      <c r="BO34" s="840"/>
      <c r="BP34" s="840"/>
      <c r="BQ34" s="840"/>
      <c r="BR34" s="840"/>
      <c r="BS34" s="840"/>
      <c r="BT34" s="840"/>
      <c r="BU34" s="840"/>
      <c r="BV34" s="840"/>
      <c r="BW34" s="840"/>
      <c r="BX34" s="840"/>
      <c r="BY34" s="840"/>
      <c r="BZ34" s="840"/>
      <c r="CA34" s="840"/>
      <c r="CB34" s="764" t="s">
        <v>272</v>
      </c>
      <c r="CC34" s="601" t="s">
        <v>3</v>
      </c>
      <c r="CD34" s="842" t="s">
        <v>487</v>
      </c>
      <c r="CE34" s="596"/>
      <c r="CF34" s="101"/>
      <c r="CG34" s="101"/>
      <c r="CH34" s="101"/>
      <c r="CI34" s="101"/>
      <c r="CJ34" s="101"/>
      <c r="CK34" s="101"/>
      <c r="CL34" s="101"/>
      <c r="CM34" s="101"/>
      <c r="CN34" s="101"/>
      <c r="CO34" s="101"/>
      <c r="CP34" s="101"/>
      <c r="CQ34" s="101"/>
      <c r="CR34" s="101"/>
      <c r="CS34" s="101"/>
      <c r="CT34" s="101"/>
      <c r="CU34" s="101"/>
      <c r="CV34" s="101"/>
      <c r="CW34" s="101"/>
      <c r="CX34" s="101"/>
      <c r="CY34" s="101"/>
      <c r="CZ34" s="101"/>
      <c r="DA34" s="101"/>
      <c r="DB34" s="101"/>
      <c r="DC34" s="101"/>
      <c r="DD34" s="101"/>
      <c r="DE34" s="101"/>
      <c r="DF34" s="101"/>
      <c r="DG34" s="101"/>
      <c r="DH34" s="101"/>
      <c r="DI34" s="101"/>
      <c r="DJ34" s="101"/>
      <c r="DK34" s="101"/>
      <c r="DL34" s="101"/>
      <c r="DM34" s="101"/>
      <c r="DN34" s="101"/>
      <c r="DO34" s="101"/>
      <c r="DP34" s="101"/>
      <c r="DQ34" s="101"/>
      <c r="DR34" s="101"/>
      <c r="DS34" s="101"/>
      <c r="DT34" s="101"/>
      <c r="DU34" s="101"/>
      <c r="DV34" s="101"/>
      <c r="DW34" s="101"/>
      <c r="DY34" s="591"/>
      <c r="DZ34" s="834"/>
      <c r="EA34" s="834"/>
      <c r="EB34" s="835"/>
      <c r="EC34" s="836"/>
      <c r="ED34" s="837"/>
      <c r="EE34" s="837"/>
      <c r="EF34" s="837"/>
      <c r="EG34" s="837"/>
      <c r="EH34" s="837"/>
      <c r="EI34" s="837"/>
    </row>
    <row r="35" spans="1:139" customFormat="1" ht="20.25">
      <c r="A35" s="843"/>
      <c r="B35" s="839" t="s">
        <v>228</v>
      </c>
      <c r="C35" s="840">
        <f>C30-C34</f>
        <v>0</v>
      </c>
      <c r="D35" s="840">
        <f t="shared" ref="D35:P35" si="53">D30-D34</f>
        <v>0</v>
      </c>
      <c r="E35" s="840">
        <f t="shared" si="53"/>
        <v>0</v>
      </c>
      <c r="F35" s="840">
        <f t="shared" si="53"/>
        <v>0</v>
      </c>
      <c r="G35" s="840">
        <f t="shared" si="53"/>
        <v>0</v>
      </c>
      <c r="H35" s="840">
        <f t="shared" si="53"/>
        <v>0</v>
      </c>
      <c r="I35" s="840">
        <f t="shared" si="53"/>
        <v>0</v>
      </c>
      <c r="J35" s="840">
        <f t="shared" si="53"/>
        <v>0</v>
      </c>
      <c r="K35" s="840">
        <f t="shared" si="53"/>
        <v>0</v>
      </c>
      <c r="L35" s="840">
        <v>0</v>
      </c>
      <c r="M35" s="840">
        <v>0</v>
      </c>
      <c r="N35" s="840">
        <v>1.8</v>
      </c>
      <c r="O35" s="840">
        <f t="shared" si="53"/>
        <v>0</v>
      </c>
      <c r="P35" s="840">
        <f t="shared" si="53"/>
        <v>0</v>
      </c>
      <c r="Q35" s="840">
        <v>1.8</v>
      </c>
      <c r="R35" s="840">
        <v>3.6</v>
      </c>
      <c r="S35" s="840">
        <v>1.8</v>
      </c>
      <c r="T35" s="840">
        <v>0</v>
      </c>
      <c r="U35" s="840">
        <v>1.8</v>
      </c>
      <c r="V35" s="840">
        <v>1.8</v>
      </c>
      <c r="W35" s="840">
        <v>3.6</v>
      </c>
      <c r="X35" s="840">
        <v>1.8</v>
      </c>
      <c r="Y35" s="840">
        <v>1.8</v>
      </c>
      <c r="Z35" s="840">
        <v>1.8</v>
      </c>
      <c r="AA35" s="840">
        <v>0</v>
      </c>
      <c r="AB35" s="840">
        <v>0</v>
      </c>
      <c r="AC35" s="840">
        <v>0</v>
      </c>
      <c r="AD35" s="840">
        <v>0</v>
      </c>
      <c r="AE35" s="840">
        <v>0</v>
      </c>
      <c r="AF35" s="840">
        <v>0</v>
      </c>
      <c r="AG35" s="840">
        <v>0</v>
      </c>
      <c r="AH35" s="840">
        <v>0</v>
      </c>
      <c r="AI35" s="840">
        <v>0</v>
      </c>
      <c r="AJ35" s="840">
        <v>0</v>
      </c>
      <c r="AK35" s="840">
        <v>0</v>
      </c>
      <c r="AL35" s="840">
        <v>0</v>
      </c>
      <c r="AM35" s="840">
        <v>0</v>
      </c>
      <c r="AN35" s="840">
        <v>0</v>
      </c>
      <c r="AO35" s="840">
        <v>0</v>
      </c>
      <c r="AP35" s="840">
        <v>0</v>
      </c>
      <c r="AQ35" s="840">
        <v>0</v>
      </c>
      <c r="AR35" s="840">
        <v>0</v>
      </c>
      <c r="AS35" s="840">
        <v>0</v>
      </c>
      <c r="AT35" s="840">
        <v>0</v>
      </c>
      <c r="AU35" s="840">
        <v>0</v>
      </c>
      <c r="AV35" s="840">
        <v>0</v>
      </c>
      <c r="AW35" s="840">
        <v>0</v>
      </c>
      <c r="AX35" s="840">
        <v>1.9</v>
      </c>
      <c r="AY35" s="840">
        <v>1.9</v>
      </c>
      <c r="AZ35" s="840">
        <v>1.9</v>
      </c>
      <c r="BA35" s="840">
        <f>1.9*2</f>
        <v>3.8</v>
      </c>
      <c r="BB35" s="840">
        <v>1.9</v>
      </c>
      <c r="BC35" s="840">
        <f>1.9*2</f>
        <v>3.8</v>
      </c>
      <c r="BD35" s="840">
        <v>1.9</v>
      </c>
      <c r="BE35" s="840">
        <v>1.9</v>
      </c>
      <c r="BF35" s="840">
        <v>1.9</v>
      </c>
      <c r="BG35" s="840">
        <f t="shared" ref="BG35:BI35" si="54">1.9*2</f>
        <v>3.8</v>
      </c>
      <c r="BH35" s="840">
        <v>1.9</v>
      </c>
      <c r="BI35" s="840">
        <f t="shared" si="54"/>
        <v>3.8</v>
      </c>
      <c r="BJ35" s="840">
        <v>1.9</v>
      </c>
      <c r="BK35" s="840">
        <v>1.9</v>
      </c>
      <c r="BL35" s="840">
        <v>1.9</v>
      </c>
      <c r="BM35" s="840">
        <v>3.8</v>
      </c>
      <c r="BN35" s="840">
        <v>1.9</v>
      </c>
      <c r="BO35" s="840">
        <v>3.8</v>
      </c>
      <c r="BP35" s="840">
        <v>1.9</v>
      </c>
      <c r="BQ35" s="840">
        <v>1.9</v>
      </c>
      <c r="BR35" s="840">
        <v>1.9</v>
      </c>
      <c r="BS35" s="840">
        <v>3.8</v>
      </c>
      <c r="BT35" s="840">
        <v>1.9</v>
      </c>
      <c r="BU35" s="840">
        <v>3.8</v>
      </c>
      <c r="BV35" s="840">
        <v>1.9</v>
      </c>
      <c r="BW35" s="840">
        <v>3.8</v>
      </c>
      <c r="BX35" s="840">
        <v>1.9</v>
      </c>
      <c r="BY35" s="840">
        <v>3.8</v>
      </c>
      <c r="BZ35" s="840">
        <v>1.9</v>
      </c>
      <c r="CA35" s="840">
        <v>3.8</v>
      </c>
      <c r="CB35" s="764" t="s">
        <v>272</v>
      </c>
      <c r="CC35" s="601" t="s">
        <v>3</v>
      </c>
      <c r="CD35" s="180"/>
      <c r="CE35" s="596" t="s">
        <v>488</v>
      </c>
      <c r="CF35" s="101"/>
      <c r="CG35" s="101"/>
      <c r="CH35" s="101"/>
      <c r="CI35" s="101"/>
      <c r="CJ35" s="101"/>
      <c r="CK35" s="101"/>
      <c r="CL35" s="101"/>
      <c r="CM35" s="101"/>
      <c r="CN35" s="101"/>
      <c r="CO35" s="101"/>
      <c r="CP35" s="101"/>
      <c r="CQ35" s="101"/>
      <c r="CR35" s="101"/>
      <c r="CS35" s="101"/>
      <c r="CT35" s="101"/>
      <c r="CU35" s="101"/>
      <c r="CV35" s="101"/>
      <c r="CW35" s="101"/>
      <c r="CX35" s="101"/>
      <c r="CY35" s="101"/>
      <c r="CZ35" s="101"/>
      <c r="DA35" s="101"/>
      <c r="DB35" s="101"/>
      <c r="DC35" s="101"/>
      <c r="DD35" s="101"/>
      <c r="DE35" s="101"/>
      <c r="DF35" s="101"/>
      <c r="DG35" s="101"/>
      <c r="DH35" s="101"/>
      <c r="DI35" s="101"/>
      <c r="DJ35" s="101"/>
      <c r="DK35" s="101"/>
      <c r="DL35" s="101"/>
      <c r="DM35" s="101"/>
      <c r="DN35" s="101"/>
      <c r="DO35" s="101"/>
      <c r="DP35" s="101"/>
      <c r="DQ35" s="101"/>
      <c r="DR35" s="101"/>
      <c r="DS35" s="101"/>
      <c r="DT35" s="101"/>
      <c r="DU35" s="101"/>
      <c r="DV35" s="101"/>
      <c r="DW35" s="101"/>
      <c r="DY35" s="591" t="s">
        <v>489</v>
      </c>
      <c r="DZ35" s="592">
        <f>BB34</f>
        <v>0</v>
      </c>
      <c r="EA35" s="592" t="e">
        <f>#REF!</f>
        <v>#REF!</v>
      </c>
      <c r="EB35" s="593" t="e">
        <f t="shared" ref="EB35" si="55">EA35-DZ35</f>
        <v>#REF!</v>
      </c>
      <c r="EC35" s="594" t="e">
        <f t="shared" ref="EC35" si="56">EB35/DZ35</f>
        <v>#REF!</v>
      </c>
      <c r="ED35" s="597"/>
      <c r="EE35" s="597"/>
      <c r="EF35" s="597"/>
      <c r="EG35" s="597"/>
      <c r="EH35" s="597"/>
      <c r="EI35" s="597"/>
    </row>
    <row r="36" spans="1:139" customFormat="1" ht="20.25">
      <c r="A36" s="844"/>
      <c r="B36" s="839" t="s">
        <v>490</v>
      </c>
      <c r="C36" s="841">
        <v>2.1</v>
      </c>
      <c r="D36" s="841">
        <v>2.1</v>
      </c>
      <c r="E36" s="841">
        <v>2.1</v>
      </c>
      <c r="F36" s="841">
        <v>2.1</v>
      </c>
      <c r="G36" s="841">
        <v>3.7</v>
      </c>
      <c r="H36" s="841">
        <v>3.6</v>
      </c>
      <c r="I36" s="841">
        <v>0</v>
      </c>
      <c r="J36" s="841">
        <v>1.8</v>
      </c>
      <c r="K36" s="841">
        <v>1.8</v>
      </c>
      <c r="L36" s="841">
        <v>0</v>
      </c>
      <c r="M36" s="841">
        <v>3.6</v>
      </c>
      <c r="N36" s="841" t="e">
        <f>N32-#REF!</f>
        <v>#REF!</v>
      </c>
      <c r="O36" s="841">
        <v>1.8</v>
      </c>
      <c r="P36" s="841">
        <v>1.8</v>
      </c>
      <c r="Q36" s="841">
        <v>1.9</v>
      </c>
      <c r="R36" s="841">
        <v>1.9</v>
      </c>
      <c r="S36" s="841">
        <v>0</v>
      </c>
      <c r="T36" s="841">
        <v>3.8</v>
      </c>
      <c r="U36" s="841">
        <v>1.9</v>
      </c>
      <c r="V36" s="841">
        <f>1.9*2</f>
        <v>3.8</v>
      </c>
      <c r="W36" s="841">
        <v>1.9</v>
      </c>
      <c r="X36" s="841">
        <v>1.9</v>
      </c>
      <c r="Y36" s="841">
        <v>1.9</v>
      </c>
      <c r="Z36" s="841">
        <f>1.9*2</f>
        <v>3.8</v>
      </c>
      <c r="AA36" s="841">
        <f>1.9*2</f>
        <v>3.8</v>
      </c>
      <c r="AB36" s="841">
        <f>1.9*3</f>
        <v>5.6999999999999993</v>
      </c>
      <c r="AC36" s="841">
        <f>1.9*4</f>
        <v>7.6</v>
      </c>
      <c r="AD36" s="841">
        <f t="shared" ref="AD36:AI36" si="57">1.9*3</f>
        <v>5.6999999999999993</v>
      </c>
      <c r="AE36" s="841">
        <f t="shared" si="57"/>
        <v>5.6999999999999993</v>
      </c>
      <c r="AF36" s="841">
        <f t="shared" si="57"/>
        <v>5.6999999999999993</v>
      </c>
      <c r="AG36" s="841">
        <f t="shared" si="57"/>
        <v>5.6999999999999993</v>
      </c>
      <c r="AH36" s="841">
        <f t="shared" si="57"/>
        <v>5.6999999999999993</v>
      </c>
      <c r="AI36" s="841">
        <f t="shared" si="57"/>
        <v>5.6999999999999993</v>
      </c>
      <c r="AJ36" s="841">
        <f>1.9*2</f>
        <v>3.8</v>
      </c>
      <c r="AK36" s="841">
        <f>1.9*2</f>
        <v>3.8</v>
      </c>
      <c r="AL36" s="841">
        <f t="shared" ref="AL36:AW36" si="58">1.9*3</f>
        <v>5.6999999999999993</v>
      </c>
      <c r="AM36" s="841">
        <f t="shared" si="58"/>
        <v>5.6999999999999993</v>
      </c>
      <c r="AN36" s="841">
        <f t="shared" si="58"/>
        <v>5.6999999999999993</v>
      </c>
      <c r="AO36" s="841">
        <f t="shared" si="58"/>
        <v>5.6999999999999993</v>
      </c>
      <c r="AP36" s="841">
        <f t="shared" si="58"/>
        <v>5.6999999999999993</v>
      </c>
      <c r="AQ36" s="841">
        <f t="shared" si="58"/>
        <v>5.6999999999999993</v>
      </c>
      <c r="AR36" s="841">
        <f>1.9*2</f>
        <v>3.8</v>
      </c>
      <c r="AS36" s="841">
        <f t="shared" si="58"/>
        <v>5.6999999999999993</v>
      </c>
      <c r="AT36" s="841">
        <f t="shared" si="58"/>
        <v>5.6999999999999993</v>
      </c>
      <c r="AU36" s="841">
        <f t="shared" si="58"/>
        <v>5.6999999999999993</v>
      </c>
      <c r="AV36" s="841">
        <f t="shared" si="58"/>
        <v>5.6999999999999993</v>
      </c>
      <c r="AW36" s="841">
        <f t="shared" si="58"/>
        <v>5.6999999999999993</v>
      </c>
      <c r="AX36" s="841">
        <f>1.9*2</f>
        <v>3.8</v>
      </c>
      <c r="AY36" s="841">
        <v>1.9</v>
      </c>
      <c r="AZ36" s="841"/>
      <c r="BA36" s="841">
        <v>1.9</v>
      </c>
      <c r="BB36" s="841">
        <v>1.9</v>
      </c>
      <c r="BC36" s="841">
        <v>1.9</v>
      </c>
      <c r="BD36" s="841">
        <v>1.9</v>
      </c>
      <c r="BE36" s="841"/>
      <c r="BF36" s="841">
        <v>1.9</v>
      </c>
      <c r="BG36" s="841">
        <v>1.9</v>
      </c>
      <c r="BH36" s="841">
        <v>1.9</v>
      </c>
      <c r="BI36" s="841">
        <v>1.9</v>
      </c>
      <c r="BJ36" s="841">
        <v>1.9</v>
      </c>
      <c r="BK36" s="841">
        <v>1.9</v>
      </c>
      <c r="BL36" s="841"/>
      <c r="BM36" s="841">
        <v>1.9</v>
      </c>
      <c r="BN36" s="841">
        <v>1.9</v>
      </c>
      <c r="BO36" s="841">
        <v>1.9</v>
      </c>
      <c r="BP36" s="841">
        <v>1.9</v>
      </c>
      <c r="BQ36" s="841"/>
      <c r="BR36" s="841">
        <v>1.9</v>
      </c>
      <c r="BS36" s="841">
        <v>1.9</v>
      </c>
      <c r="BT36" s="841">
        <v>1.9</v>
      </c>
      <c r="BU36" s="841">
        <v>1.9</v>
      </c>
      <c r="BV36" s="841">
        <v>1.9</v>
      </c>
      <c r="BW36" s="841">
        <v>1.9</v>
      </c>
      <c r="BX36" s="841">
        <v>1.9</v>
      </c>
      <c r="BY36" s="841">
        <v>1.9</v>
      </c>
      <c r="BZ36" s="841">
        <v>1.9</v>
      </c>
      <c r="CA36" s="841">
        <v>1.9</v>
      </c>
      <c r="CB36" s="764" t="s">
        <v>272</v>
      </c>
      <c r="CC36" s="601" t="s">
        <v>3</v>
      </c>
      <c r="CD36" s="180"/>
      <c r="CE36" s="596" t="s">
        <v>488</v>
      </c>
      <c r="CF36" s="101"/>
      <c r="CG36" s="101"/>
      <c r="CH36" s="101"/>
      <c r="CI36" s="101"/>
      <c r="CJ36" s="101"/>
      <c r="CK36" s="101"/>
      <c r="CL36" s="101"/>
      <c r="CM36" s="101"/>
      <c r="CN36" s="101"/>
      <c r="CO36" s="101"/>
      <c r="CP36" s="101"/>
      <c r="CQ36" s="101"/>
      <c r="CR36" s="101"/>
      <c r="CS36" s="101"/>
      <c r="CT36" s="101"/>
      <c r="CU36" s="101"/>
      <c r="CV36" s="101"/>
      <c r="CW36" s="101"/>
      <c r="CX36" s="101"/>
      <c r="CY36" s="101"/>
      <c r="CZ36" s="101"/>
      <c r="DA36" s="101"/>
      <c r="DB36" s="101"/>
      <c r="DC36" s="101"/>
      <c r="DD36" s="101"/>
      <c r="DE36" s="101"/>
      <c r="DF36" s="101"/>
      <c r="DG36" s="101"/>
      <c r="DH36" s="101"/>
      <c r="DI36" s="101"/>
      <c r="DJ36" s="101"/>
      <c r="DK36" s="101"/>
      <c r="DL36" s="101"/>
      <c r="DM36" s="101"/>
      <c r="DN36" s="101"/>
      <c r="DO36" s="101"/>
      <c r="DP36" s="101"/>
      <c r="DQ36" s="101"/>
      <c r="DR36" s="101"/>
      <c r="DS36" s="101"/>
      <c r="DT36" s="101"/>
      <c r="DU36" s="101"/>
      <c r="DV36" s="101"/>
      <c r="DW36" s="101"/>
      <c r="DY36" s="591" t="s">
        <v>491</v>
      </c>
      <c r="DZ36" s="592">
        <f>BB19</f>
        <v>0</v>
      </c>
      <c r="EA36" s="592">
        <f>DU19</f>
        <v>0</v>
      </c>
      <c r="EB36" s="593">
        <f t="shared" si="49"/>
        <v>0</v>
      </c>
      <c r="EC36" s="594" t="e">
        <f t="shared" si="50"/>
        <v>#DIV/0!</v>
      </c>
      <c r="ED36" s="595"/>
      <c r="EE36" s="595"/>
      <c r="EF36" s="595"/>
      <c r="EG36" s="595"/>
      <c r="EH36" s="595"/>
      <c r="EI36" s="595"/>
    </row>
    <row r="37" spans="1:139" customFormat="1" ht="20.25">
      <c r="B37" s="838" t="s">
        <v>492</v>
      </c>
      <c r="C37" s="572"/>
      <c r="D37" s="572"/>
      <c r="E37" s="572"/>
      <c r="F37" s="572"/>
      <c r="G37" s="572"/>
      <c r="H37" s="572"/>
      <c r="I37" s="572"/>
      <c r="J37" s="572"/>
      <c r="K37" s="572"/>
      <c r="L37" s="572"/>
      <c r="M37" s="572"/>
      <c r="N37" s="572"/>
      <c r="O37" s="572"/>
      <c r="P37" s="572"/>
      <c r="Q37" s="572"/>
      <c r="R37" s="572"/>
      <c r="S37" s="572"/>
      <c r="T37" s="572"/>
      <c r="U37" s="572"/>
      <c r="V37" s="572"/>
      <c r="W37" s="572"/>
      <c r="X37" s="572"/>
      <c r="Y37" s="572"/>
      <c r="Z37" s="572"/>
      <c r="AA37" s="572"/>
      <c r="AB37" s="572"/>
      <c r="AC37" s="572"/>
      <c r="AD37" s="572"/>
      <c r="AE37" s="572"/>
      <c r="AF37" s="572"/>
      <c r="AG37" s="572"/>
      <c r="AH37" s="572"/>
      <c r="AI37" s="572"/>
      <c r="AJ37" s="572"/>
      <c r="AK37" s="572"/>
      <c r="AL37" s="572"/>
      <c r="AM37" s="572"/>
      <c r="AN37" s="572"/>
      <c r="AO37" s="572"/>
      <c r="AP37" s="572"/>
      <c r="AQ37" s="572"/>
      <c r="AR37" s="572"/>
      <c r="AS37" s="572"/>
      <c r="AT37" s="572"/>
      <c r="AU37" s="572"/>
      <c r="AV37" s="572"/>
      <c r="AW37" s="572"/>
      <c r="AX37" s="574">
        <f t="shared" ref="AX37:BJ37" si="59">SUM(AX36:AX36)</f>
        <v>3.8</v>
      </c>
      <c r="AY37" s="574">
        <f t="shared" si="59"/>
        <v>1.9</v>
      </c>
      <c r="AZ37" s="574">
        <f t="shared" si="59"/>
        <v>0</v>
      </c>
      <c r="BA37" s="574">
        <f t="shared" si="59"/>
        <v>1.9</v>
      </c>
      <c r="BB37" s="574">
        <f t="shared" si="59"/>
        <v>1.9</v>
      </c>
      <c r="BC37" s="574">
        <f t="shared" si="59"/>
        <v>1.9</v>
      </c>
      <c r="BD37" s="574">
        <f t="shared" si="59"/>
        <v>1.9</v>
      </c>
      <c r="BE37" s="574">
        <f t="shared" si="59"/>
        <v>0</v>
      </c>
      <c r="BF37" s="574">
        <f t="shared" si="59"/>
        <v>1.9</v>
      </c>
      <c r="BG37" s="574">
        <f t="shared" si="59"/>
        <v>1.9</v>
      </c>
      <c r="BH37" s="574">
        <f t="shared" si="59"/>
        <v>1.9</v>
      </c>
      <c r="BI37" s="574">
        <f t="shared" si="59"/>
        <v>1.9</v>
      </c>
      <c r="BJ37" s="574">
        <f t="shared" si="59"/>
        <v>1.9</v>
      </c>
      <c r="BK37" s="574">
        <v>3.8</v>
      </c>
      <c r="BL37" s="574">
        <v>1.9</v>
      </c>
      <c r="BM37" s="574">
        <v>5.6999999999999993</v>
      </c>
      <c r="BN37" s="574">
        <v>3.8</v>
      </c>
      <c r="BO37" s="574">
        <v>5.6999999999999993</v>
      </c>
      <c r="BP37" s="574">
        <v>3.8</v>
      </c>
      <c r="BQ37" s="574">
        <v>1.9</v>
      </c>
      <c r="BR37" s="574">
        <v>3.8</v>
      </c>
      <c r="BS37" s="574">
        <v>5.6999999999999993</v>
      </c>
      <c r="BT37" s="574">
        <v>3.8</v>
      </c>
      <c r="BU37" s="574">
        <v>5.6999999999999993</v>
      </c>
      <c r="BV37" s="574">
        <v>3.8</v>
      </c>
      <c r="BW37" s="574">
        <v>5.6999999999999993</v>
      </c>
      <c r="BX37" s="574">
        <v>3.8</v>
      </c>
      <c r="BY37" s="574">
        <v>5.6999999999999993</v>
      </c>
      <c r="BZ37" s="574">
        <v>3.8</v>
      </c>
      <c r="CA37" s="574">
        <v>5.6999999999999993</v>
      </c>
      <c r="CB37" s="577" t="s">
        <v>5</v>
      </c>
      <c r="CC37" s="180"/>
      <c r="CD37" s="180"/>
      <c r="CE37" s="596" t="s">
        <v>493</v>
      </c>
      <c r="CF37" s="101"/>
      <c r="CG37" s="101"/>
      <c r="CH37" s="101"/>
      <c r="CI37" s="101"/>
      <c r="CJ37" s="101"/>
      <c r="CK37" s="101"/>
      <c r="CL37" s="101"/>
      <c r="CM37" s="101"/>
      <c r="CN37" s="101"/>
      <c r="CO37" s="101"/>
      <c r="CP37" s="101"/>
      <c r="CQ37" s="101"/>
      <c r="CR37" s="101"/>
      <c r="CS37" s="101"/>
      <c r="CT37" s="101"/>
      <c r="CU37" s="101"/>
      <c r="CV37" s="101"/>
      <c r="CW37" s="101"/>
      <c r="CX37" s="101"/>
      <c r="CY37" s="101"/>
      <c r="CZ37" s="101"/>
      <c r="DA37" s="101"/>
      <c r="DB37" s="101"/>
      <c r="DC37" s="101"/>
      <c r="DD37" s="101"/>
      <c r="DE37" s="101"/>
      <c r="DF37" s="101"/>
      <c r="DG37" s="101"/>
      <c r="DH37" s="101"/>
      <c r="DI37" s="101"/>
      <c r="DJ37" s="101"/>
      <c r="DK37" s="101"/>
      <c r="DL37" s="101"/>
      <c r="DM37" s="101"/>
      <c r="DN37" s="101"/>
      <c r="DO37" s="101"/>
      <c r="DP37" s="101"/>
      <c r="DQ37" s="101"/>
      <c r="DR37" s="101"/>
      <c r="DS37" s="101"/>
      <c r="DT37" s="101"/>
      <c r="DU37" s="101"/>
      <c r="DV37" s="101"/>
      <c r="DW37" s="101"/>
      <c r="DY37" s="591" t="s">
        <v>494</v>
      </c>
      <c r="DZ37" s="592" t="e">
        <f>#REF!</f>
        <v>#REF!</v>
      </c>
      <c r="EA37" s="592" t="e">
        <f>#REF!</f>
        <v>#REF!</v>
      </c>
      <c r="EB37" s="593" t="e">
        <f t="shared" si="49"/>
        <v>#REF!</v>
      </c>
      <c r="EC37" s="594" t="e">
        <f t="shared" si="50"/>
        <v>#REF!</v>
      </c>
      <c r="ED37" s="595"/>
      <c r="EE37" s="595"/>
      <c r="EF37" s="595"/>
      <c r="EG37" s="595"/>
      <c r="EH37" s="595"/>
      <c r="EI37" s="595"/>
    </row>
    <row r="38" spans="1:139">
      <c r="BL38" s="290"/>
      <c r="BM38" s="290"/>
      <c r="BN38" s="290"/>
      <c r="BO38" s="290"/>
      <c r="BP38" s="290"/>
      <c r="BQ38" s="290"/>
      <c r="BR38" s="290"/>
      <c r="BS38" s="290"/>
      <c r="BT38" s="290"/>
      <c r="BU38" s="290"/>
      <c r="BV38" s="290"/>
      <c r="CE38" s="101"/>
    </row>
    <row r="39" spans="1:139">
      <c r="BL39" s="290"/>
      <c r="BM39" s="290"/>
      <c r="BN39" s="290"/>
      <c r="BO39" s="290"/>
      <c r="BP39" s="290"/>
      <c r="BQ39" s="290"/>
      <c r="BR39" s="290"/>
      <c r="BS39" s="290"/>
      <c r="BT39" s="290"/>
      <c r="BU39" s="290"/>
      <c r="BV39" s="290"/>
      <c r="BW39" s="499" t="s">
        <v>495</v>
      </c>
      <c r="CE39" s="101"/>
    </row>
    <row r="40" spans="1:139">
      <c r="BL40" s="290"/>
      <c r="BM40" s="290"/>
      <c r="BN40" s="290"/>
      <c r="BO40" s="290"/>
      <c r="BP40" s="290"/>
      <c r="BQ40" s="290"/>
      <c r="BR40" s="290"/>
      <c r="BS40" s="290"/>
      <c r="BT40" s="290"/>
      <c r="BU40" s="290"/>
      <c r="BV40" s="290"/>
      <c r="BX40" s="180" t="s">
        <v>496</v>
      </c>
      <c r="CE40" s="101"/>
    </row>
    <row r="41" spans="1:139">
      <c r="BL41" s="290"/>
      <c r="BM41" s="290"/>
      <c r="BN41" s="290"/>
      <c r="BO41" s="290"/>
      <c r="BP41" s="290"/>
      <c r="BQ41" s="290"/>
      <c r="BR41" s="290"/>
      <c r="BS41" s="290"/>
      <c r="BT41" s="290"/>
      <c r="BU41" s="290"/>
      <c r="BV41" s="290"/>
      <c r="BW41" s="499"/>
      <c r="BX41" s="842" t="s">
        <v>497</v>
      </c>
      <c r="CE41" s="101"/>
    </row>
    <row r="42" spans="1:139">
      <c r="BL42" s="290"/>
      <c r="BM42" s="290"/>
      <c r="BN42" s="290"/>
      <c r="BO42" s="290"/>
      <c r="BP42" s="290"/>
      <c r="BQ42" s="290"/>
      <c r="BR42" s="290"/>
      <c r="BS42" s="290"/>
      <c r="BT42" s="290"/>
      <c r="BU42" s="290"/>
      <c r="BV42" s="290"/>
      <c r="BW42" s="499"/>
      <c r="BX42" s="842" t="s">
        <v>498</v>
      </c>
      <c r="CE42" s="101"/>
    </row>
    <row r="43" spans="1:139">
      <c r="BL43" s="290"/>
      <c r="BM43" s="290"/>
      <c r="BN43" s="290"/>
      <c r="BO43" s="290"/>
      <c r="BP43" s="290"/>
      <c r="BQ43" s="290"/>
      <c r="BR43" s="290"/>
      <c r="BS43" s="290"/>
      <c r="BT43" s="290"/>
      <c r="BU43" s="290"/>
      <c r="BV43" s="290"/>
      <c r="BX43" s="180" t="s">
        <v>499</v>
      </c>
      <c r="CE43" s="101"/>
    </row>
    <row r="44" spans="1:139">
      <c r="BL44" s="290"/>
      <c r="BM44" s="290"/>
      <c r="BN44" s="290"/>
      <c r="BO44" s="290"/>
      <c r="BP44" s="290"/>
      <c r="BQ44" s="290"/>
      <c r="BR44" s="290"/>
      <c r="BS44" s="290"/>
      <c r="BT44" s="290"/>
      <c r="BU44" s="290"/>
      <c r="BV44" s="290"/>
      <c r="CE44" s="101"/>
    </row>
    <row r="45" spans="1:139">
      <c r="BL45" s="290"/>
      <c r="BM45" s="290"/>
      <c r="BN45" s="290"/>
      <c r="BO45" s="290"/>
      <c r="BP45" s="290"/>
      <c r="BQ45" s="290"/>
      <c r="BR45" s="290"/>
      <c r="BS45" s="290"/>
      <c r="BT45" s="290"/>
      <c r="BU45" s="290"/>
      <c r="BV45" s="290"/>
      <c r="CE45" s="101"/>
    </row>
    <row r="46" spans="1:139">
      <c r="BL46" s="290"/>
      <c r="BM46" s="290"/>
      <c r="BN46" s="290"/>
      <c r="BO46" s="290"/>
      <c r="BP46" s="290"/>
      <c r="BQ46" s="290"/>
      <c r="BR46" s="290"/>
      <c r="BT46" s="101">
        <f>SUM(BT47:BT48)</f>
        <v>78.629629629629619</v>
      </c>
      <c r="BU46" s="181">
        <f>BT46-BT50</f>
        <v>16.667629629629616</v>
      </c>
      <c r="BX46" s="180" t="s">
        <v>500</v>
      </c>
    </row>
    <row r="47" spans="1:139">
      <c r="BL47" s="290"/>
      <c r="BM47" s="290"/>
      <c r="BN47" s="290"/>
      <c r="BO47" s="290"/>
      <c r="BP47" s="290"/>
      <c r="BQ47" s="290"/>
      <c r="BR47" s="290"/>
      <c r="BS47" s="101">
        <f>BR52*0.648</f>
        <v>18.049586776859506</v>
      </c>
      <c r="BT47" s="101">
        <v>35</v>
      </c>
      <c r="BU47" s="181">
        <f>BT47/BT46*BU46</f>
        <v>7.4191756947715444</v>
      </c>
      <c r="BV47" s="101">
        <f>BT47-BU47</f>
        <v>27.580824305228454</v>
      </c>
      <c r="BX47" s="530" t="s">
        <v>501</v>
      </c>
      <c r="BY47" s="530">
        <v>1.9</v>
      </c>
      <c r="BZ47" s="530" t="s">
        <v>502</v>
      </c>
      <c r="CA47" s="530"/>
      <c r="CB47"/>
    </row>
    <row r="48" spans="1:139">
      <c r="BL48" s="290"/>
      <c r="BM48" s="290"/>
      <c r="BN48" s="290"/>
      <c r="BO48" s="290"/>
      <c r="BP48" s="290"/>
      <c r="BQ48" s="290"/>
      <c r="BR48" s="290"/>
      <c r="BT48" s="101">
        <v>43.629629629629626</v>
      </c>
      <c r="BU48" s="181">
        <f>BT48/BT46*BU46</f>
        <v>9.2484539348580732</v>
      </c>
      <c r="BV48" s="101">
        <f>BT48-BU48</f>
        <v>34.381175694771557</v>
      </c>
      <c r="BX48" s="530" t="s">
        <v>503</v>
      </c>
      <c r="BY48" s="530">
        <v>3.8</v>
      </c>
      <c r="BZ48" s="530" t="s">
        <v>504</v>
      </c>
      <c r="CA48" s="530"/>
      <c r="CB48"/>
    </row>
    <row r="49" spans="1:91">
      <c r="BL49" s="290"/>
      <c r="BM49" s="290"/>
      <c r="BN49" s="290"/>
      <c r="BO49" s="290"/>
      <c r="BP49" s="290"/>
      <c r="BQ49" s="290"/>
      <c r="BR49" s="290"/>
      <c r="BT49" s="101">
        <v>1.8</v>
      </c>
      <c r="BX49" s="530" t="s">
        <v>505</v>
      </c>
      <c r="BY49" s="530">
        <v>5.7</v>
      </c>
      <c r="BZ49" s="530" t="s">
        <v>506</v>
      </c>
      <c r="CA49" s="530"/>
      <c r="CB49"/>
    </row>
    <row r="50" spans="1:91">
      <c r="BL50" s="290"/>
      <c r="BM50" s="290"/>
      <c r="BN50" s="290"/>
      <c r="BO50" s="290"/>
      <c r="BP50" s="290"/>
      <c r="BQ50" s="290"/>
      <c r="BR50" s="290"/>
      <c r="BS50" s="179"/>
      <c r="BT50" s="179">
        <f>BQ6-1.8</f>
        <v>61.962000000000003</v>
      </c>
      <c r="BU50" s="179"/>
      <c r="BV50" s="179"/>
      <c r="BW50" s="179"/>
      <c r="BX50" s="179"/>
      <c r="BY50" s="179"/>
      <c r="BZ50" s="179"/>
      <c r="CA50" s="179"/>
      <c r="CB50" s="610"/>
      <c r="CC50" s="610"/>
      <c r="CD50" s="610"/>
      <c r="CE50" s="568"/>
      <c r="CF50" s="549"/>
      <c r="CG50" s="549"/>
      <c r="CH50" s="549"/>
      <c r="CI50" s="549"/>
      <c r="CJ50" s="549"/>
      <c r="CK50" s="549"/>
      <c r="CL50" s="549"/>
    </row>
    <row r="51" spans="1:91">
      <c r="A51" s="183" t="s">
        <v>507</v>
      </c>
      <c r="B51" s="180" t="s">
        <v>508</v>
      </c>
      <c r="AM51" s="101">
        <v>79.371857142857138</v>
      </c>
      <c r="AN51" s="101" t="s">
        <v>509</v>
      </c>
      <c r="AO51" s="101">
        <v>1</v>
      </c>
      <c r="AP51" s="101">
        <v>4</v>
      </c>
      <c r="AQ51" s="101" t="s">
        <v>441</v>
      </c>
    </row>
    <row r="52" spans="1:91">
      <c r="A52" s="499" t="s">
        <v>510</v>
      </c>
      <c r="B52" s="180" t="s">
        <v>511</v>
      </c>
      <c r="AI52" s="101">
        <f>5000/0.648</f>
        <v>7716.049382716049</v>
      </c>
      <c r="AM52" s="290">
        <v>77.8</v>
      </c>
      <c r="AO52" s="290"/>
      <c r="AP52" s="290"/>
      <c r="AQ52" s="290"/>
      <c r="AY52" s="290">
        <f t="shared" ref="AY52:BH52" si="60">AY8+AY7</f>
        <v>84.320987654320987</v>
      </c>
      <c r="AZ52" s="290">
        <f t="shared" si="60"/>
        <v>60.506172839506178</v>
      </c>
      <c r="BA52" s="290">
        <f t="shared" si="60"/>
        <v>82.48888888888888</v>
      </c>
      <c r="BB52" s="290">
        <f t="shared" si="60"/>
        <v>65.348148148148155</v>
      </c>
      <c r="BC52" s="290">
        <f t="shared" si="60"/>
        <v>56.088888888888889</v>
      </c>
      <c r="BD52" s="290">
        <f t="shared" si="60"/>
        <v>61.049382716049379</v>
      </c>
      <c r="BE52" s="290">
        <f t="shared" si="60"/>
        <v>66.574049382716041</v>
      </c>
      <c r="BF52" s="290">
        <f t="shared" si="60"/>
        <v>78.259259259259267</v>
      </c>
      <c r="BG52" s="290">
        <f t="shared" si="60"/>
        <v>77.716049382716051</v>
      </c>
      <c r="BH52" s="290">
        <f t="shared" si="60"/>
        <v>82.981481481481467</v>
      </c>
      <c r="BI52" s="290">
        <v>37.037037037037038</v>
      </c>
      <c r="BJ52" s="290">
        <f>4/$BI$54*BI52</f>
        <v>1.8365472910927461</v>
      </c>
      <c r="BK52" s="290">
        <f>BI52-BJ52</f>
        <v>35.200489745944289</v>
      </c>
      <c r="BL52" s="290">
        <f>BK52*0.648</f>
        <v>22.809917355371901</v>
      </c>
      <c r="BP52" s="101">
        <v>37.037037037037038</v>
      </c>
      <c r="BQ52" s="101">
        <f>BP52*-20/$BP$54</f>
        <v>-9.1827364554637292</v>
      </c>
      <c r="BR52" s="101">
        <f>BP52+BQ52</f>
        <v>27.854300581573309</v>
      </c>
    </row>
    <row r="53" spans="1:91">
      <c r="BF53" s="290">
        <f>BF6*0.648</f>
        <v>48.249432000000006</v>
      </c>
      <c r="BI53" s="101">
        <v>43.629629629629626</v>
      </c>
      <c r="BJ53" s="290">
        <f>4/$BI$54*BI53</f>
        <v>2.1634527089072546</v>
      </c>
      <c r="BK53" s="290">
        <f>BI53-BJ53</f>
        <v>41.466176920722368</v>
      </c>
      <c r="BL53" s="290"/>
      <c r="BN53" s="101">
        <f>38.1*0.648</f>
        <v>24.688800000000001</v>
      </c>
      <c r="BP53" s="101">
        <v>43.629629629629626</v>
      </c>
      <c r="BQ53" s="101">
        <f>BP53*-20/$BP$54</f>
        <v>-10.817263544536273</v>
      </c>
      <c r="BR53" s="101">
        <f>BP53+BQ53</f>
        <v>32.812366085093352</v>
      </c>
      <c r="BW53" s="290"/>
      <c r="BX53" s="290"/>
      <c r="BY53" s="290"/>
      <c r="BZ53" s="290"/>
      <c r="CA53" s="290"/>
      <c r="CB53" s="599"/>
      <c r="CC53" s="599"/>
      <c r="CD53" s="599"/>
      <c r="CE53" s="566"/>
      <c r="CF53" s="290"/>
      <c r="CG53" s="290"/>
      <c r="CH53" s="290"/>
      <c r="CI53" s="290"/>
      <c r="CJ53" s="290"/>
      <c r="CK53" s="290"/>
      <c r="CL53" s="290"/>
    </row>
    <row r="54" spans="1:91">
      <c r="Z54" s="101">
        <v>31</v>
      </c>
      <c r="AA54" s="101">
        <v>30</v>
      </c>
      <c r="AB54" s="101">
        <v>31</v>
      </c>
      <c r="AC54" s="101">
        <v>31</v>
      </c>
      <c r="AD54" s="101">
        <v>28</v>
      </c>
      <c r="AE54" s="101">
        <v>31</v>
      </c>
      <c r="AW54" s="171" t="s">
        <v>512</v>
      </c>
      <c r="AX54" s="171"/>
      <c r="AY54" s="171"/>
      <c r="AZ54" s="171"/>
      <c r="BB54" s="171" t="s">
        <v>513</v>
      </c>
      <c r="BF54" s="290">
        <f>BF20+BF21</f>
        <v>50.712000000000003</v>
      </c>
      <c r="BG54" s="290">
        <f>BG20+BG21</f>
        <v>50.36</v>
      </c>
      <c r="BH54" s="290">
        <f>BH20+BH21</f>
        <v>53.771999999999991</v>
      </c>
      <c r="BI54" s="290">
        <f>SUM(BI52:BI53)</f>
        <v>80.666666666666657</v>
      </c>
      <c r="BJ54" s="290"/>
      <c r="BL54" s="101">
        <f>2*0.648</f>
        <v>1.296</v>
      </c>
      <c r="BP54" s="101">
        <f>SUM(BP52:BP53)</f>
        <v>80.666666666666657</v>
      </c>
      <c r="BS54" s="102">
        <v>81.632019420294853</v>
      </c>
      <c r="BT54" s="102">
        <v>81.632019420294853</v>
      </c>
      <c r="BU54" s="102">
        <v>81.632019420294853</v>
      </c>
      <c r="BV54" s="102">
        <v>81.632019420294853</v>
      </c>
      <c r="BW54" s="102">
        <v>81.632019420294853</v>
      </c>
      <c r="BX54" s="102">
        <v>81.632019420294853</v>
      </c>
      <c r="BY54" s="102">
        <v>81.632019420294853</v>
      </c>
      <c r="BZ54" s="102">
        <v>81.632019420294853</v>
      </c>
      <c r="CA54" s="102">
        <v>81.632019420294853</v>
      </c>
      <c r="CB54" s="600"/>
      <c r="CC54" s="600"/>
      <c r="CD54" s="600"/>
      <c r="CE54" s="561"/>
      <c r="CF54" s="540"/>
      <c r="CG54" s="540"/>
      <c r="CH54" s="540"/>
      <c r="CI54" s="540"/>
      <c r="CJ54" s="540"/>
      <c r="CK54" s="540"/>
      <c r="CL54" s="540"/>
    </row>
    <row r="55" spans="1:91">
      <c r="Z55" s="101">
        <v>80</v>
      </c>
      <c r="AA55" s="101">
        <v>68</v>
      </c>
      <c r="AB55" s="101">
        <v>72</v>
      </c>
      <c r="AC55" s="101">
        <v>72</v>
      </c>
      <c r="AD55" s="101">
        <v>65</v>
      </c>
      <c r="AE55" s="101">
        <v>73</v>
      </c>
      <c r="AW55" s="171" t="s">
        <v>33</v>
      </c>
      <c r="AX55" s="177">
        <v>200</v>
      </c>
      <c r="AY55" s="177" t="s">
        <v>1</v>
      </c>
      <c r="AZ55" s="178" t="s">
        <v>514</v>
      </c>
      <c r="BB55" s="171" t="s">
        <v>33</v>
      </c>
      <c r="BC55" s="177">
        <v>250</v>
      </c>
      <c r="BD55" s="177" t="s">
        <v>1</v>
      </c>
      <c r="BE55" s="178" t="s">
        <v>515</v>
      </c>
      <c r="BK55" s="179"/>
      <c r="BL55" s="179"/>
      <c r="BM55" s="179"/>
      <c r="BN55" s="179"/>
      <c r="BO55" s="179"/>
      <c r="BP55" s="179"/>
      <c r="BQ55" s="179"/>
      <c r="BR55" s="179"/>
      <c r="BS55" s="102">
        <f t="shared" ref="BS55:CA55" si="61">BS54-(50*BS4/1000)</f>
        <v>80.132019420294853</v>
      </c>
      <c r="BT55" s="102">
        <f t="shared" si="61"/>
        <v>80.082019420294856</v>
      </c>
      <c r="BU55" s="102">
        <f t="shared" si="61"/>
        <v>80.132019420294853</v>
      </c>
      <c r="BV55" s="102">
        <f t="shared" si="61"/>
        <v>80.082019420294856</v>
      </c>
      <c r="BW55" s="102">
        <f t="shared" si="61"/>
        <v>80.082019420294856</v>
      </c>
      <c r="BX55" s="102">
        <f t="shared" si="61"/>
        <v>80.232019420294847</v>
      </c>
      <c r="BY55" s="102">
        <f t="shared" si="61"/>
        <v>80.082019420294856</v>
      </c>
      <c r="BZ55" s="102">
        <f t="shared" si="61"/>
        <v>80.132019420294853</v>
      </c>
      <c r="CA55" s="102">
        <f t="shared" si="61"/>
        <v>80.132019420294853</v>
      </c>
      <c r="CB55" s="600"/>
      <c r="CC55" s="600"/>
      <c r="CD55" s="600"/>
      <c r="CE55" s="561"/>
      <c r="CF55" s="540"/>
      <c r="CG55" s="540"/>
      <c r="CH55" s="540"/>
      <c r="CI55" s="540"/>
      <c r="CJ55" s="540"/>
      <c r="CK55" s="540"/>
      <c r="CL55" s="540"/>
      <c r="CM55" s="181"/>
    </row>
    <row r="56" spans="1:91">
      <c r="B56" s="389" t="s">
        <v>33</v>
      </c>
      <c r="Z56" s="101">
        <f t="shared" ref="Z56:AE56" si="62">Z55*1000</f>
        <v>80000</v>
      </c>
      <c r="AA56" s="101">
        <f t="shared" si="62"/>
        <v>68000</v>
      </c>
      <c r="AB56" s="101">
        <f t="shared" si="62"/>
        <v>72000</v>
      </c>
      <c r="AC56" s="101">
        <f t="shared" si="62"/>
        <v>72000</v>
      </c>
      <c r="AD56" s="101">
        <f t="shared" si="62"/>
        <v>65000</v>
      </c>
      <c r="AE56" s="101">
        <f t="shared" si="62"/>
        <v>73000</v>
      </c>
      <c r="AW56" s="171" t="s">
        <v>509</v>
      </c>
      <c r="AX56" s="177">
        <v>640</v>
      </c>
      <c r="AY56" s="177" t="s">
        <v>441</v>
      </c>
      <c r="AZ56" s="178" t="s">
        <v>516</v>
      </c>
      <c r="BB56" s="171" t="s">
        <v>509</v>
      </c>
      <c r="BC56" s="292">
        <f>380/0.648</f>
        <v>586.41975308641975</v>
      </c>
      <c r="BD56" s="177" t="s">
        <v>441</v>
      </c>
      <c r="BE56" s="178" t="s">
        <v>516</v>
      </c>
      <c r="BG56" s="292">
        <f>38*24*366/0.648/1000</f>
        <v>515.11111111111109</v>
      </c>
      <c r="BH56" s="177" t="s">
        <v>441</v>
      </c>
      <c r="BI56" s="390">
        <v>20</v>
      </c>
      <c r="BJ56" s="390">
        <v>18.5</v>
      </c>
      <c r="BK56" s="390">
        <v>22.5</v>
      </c>
      <c r="BS56" s="179"/>
      <c r="BT56" s="179"/>
      <c r="BU56" s="179"/>
      <c r="BV56" s="179"/>
      <c r="BW56" s="179"/>
      <c r="BX56" s="179"/>
      <c r="BY56" s="179"/>
      <c r="BZ56" s="179"/>
      <c r="CA56" s="179"/>
      <c r="CB56" s="610"/>
      <c r="CC56" s="610"/>
      <c r="CD56" s="610"/>
      <c r="CE56" s="568"/>
      <c r="CF56" s="549"/>
      <c r="CG56" s="549"/>
      <c r="CH56" s="549"/>
      <c r="CI56" s="549"/>
      <c r="CJ56" s="549"/>
      <c r="CK56" s="549"/>
      <c r="CL56" s="549"/>
      <c r="CM56" s="181"/>
    </row>
    <row r="57" spans="1:91">
      <c r="B57" s="389" t="s">
        <v>36</v>
      </c>
      <c r="Z57" s="179">
        <f t="shared" ref="Z57:AE57" si="63">Z54*720</f>
        <v>22320</v>
      </c>
      <c r="AA57" s="179">
        <f t="shared" si="63"/>
        <v>21600</v>
      </c>
      <c r="AB57" s="179">
        <f t="shared" si="63"/>
        <v>22320</v>
      </c>
      <c r="AC57" s="179">
        <f t="shared" si="63"/>
        <v>22320</v>
      </c>
      <c r="AD57" s="179">
        <f t="shared" si="63"/>
        <v>20160</v>
      </c>
      <c r="AE57" s="179">
        <f t="shared" si="63"/>
        <v>22320</v>
      </c>
      <c r="AS57" s="180"/>
      <c r="BI57" s="390">
        <v>40.002222222222223</v>
      </c>
      <c r="BJ57" s="390">
        <v>40.599629629629625</v>
      </c>
      <c r="BK57" s="390">
        <v>42</v>
      </c>
    </row>
    <row r="58" spans="1:91">
      <c r="B58" s="101" t="s">
        <v>517</v>
      </c>
      <c r="Z58" s="179">
        <f t="shared" ref="Z58:AE58" si="64">Z56-Z57</f>
        <v>57680</v>
      </c>
      <c r="AA58" s="179">
        <f t="shared" si="64"/>
        <v>46400</v>
      </c>
      <c r="AB58" s="179">
        <f t="shared" si="64"/>
        <v>49680</v>
      </c>
      <c r="AC58" s="179">
        <f t="shared" si="64"/>
        <v>49680</v>
      </c>
      <c r="AD58" s="179">
        <f t="shared" si="64"/>
        <v>44840</v>
      </c>
      <c r="AE58" s="179">
        <f t="shared" si="64"/>
        <v>50680</v>
      </c>
      <c r="AM58" s="290">
        <v>16</v>
      </c>
      <c r="AN58" s="290"/>
      <c r="AO58" s="290"/>
      <c r="AP58" s="290"/>
      <c r="AQ58" s="290"/>
      <c r="AR58" s="290"/>
      <c r="AS58" s="290"/>
      <c r="AT58" s="290"/>
      <c r="AU58" s="290"/>
      <c r="AV58" s="290"/>
      <c r="AW58" s="290"/>
      <c r="AX58" s="290"/>
      <c r="AY58" s="290"/>
      <c r="AZ58" s="290"/>
      <c r="BA58" s="290"/>
      <c r="BB58" s="290"/>
      <c r="BC58" s="290"/>
      <c r="BD58" s="290"/>
      <c r="BE58" s="290"/>
      <c r="BF58" s="290"/>
      <c r="BG58" s="290"/>
      <c r="BH58" s="290"/>
      <c r="BI58" s="290"/>
      <c r="BJ58" s="290"/>
      <c r="BK58" s="290"/>
      <c r="BL58" s="290"/>
      <c r="BM58" s="290"/>
      <c r="BS58" s="179"/>
      <c r="BT58" s="179"/>
      <c r="BU58" s="179"/>
      <c r="BV58" s="179"/>
      <c r="BW58" s="179"/>
      <c r="BX58" s="179"/>
      <c r="BY58" s="179"/>
      <c r="BZ58" s="179"/>
      <c r="CA58" s="179"/>
      <c r="CB58" s="610"/>
      <c r="CC58" s="610"/>
      <c r="CD58" s="610"/>
      <c r="CE58" s="568"/>
      <c r="CF58" s="549"/>
      <c r="CG58" s="549"/>
      <c r="CH58" s="549"/>
      <c r="CI58" s="549"/>
      <c r="CJ58" s="549"/>
      <c r="CK58" s="549"/>
      <c r="CL58" s="549"/>
    </row>
    <row r="59" spans="1:91">
      <c r="Z59" s="179">
        <v>80000</v>
      </c>
      <c r="AA59" s="179">
        <v>68000</v>
      </c>
      <c r="AB59" s="179">
        <v>72000</v>
      </c>
      <c r="AC59" s="179">
        <v>72000</v>
      </c>
      <c r="AD59" s="179">
        <v>65000</v>
      </c>
      <c r="AE59" s="179">
        <v>73000</v>
      </c>
      <c r="AX59" s="202" t="s">
        <v>518</v>
      </c>
      <c r="AY59" s="102">
        <v>77.541738095238088</v>
      </c>
      <c r="AZ59" s="102">
        <v>72.94177463254114</v>
      </c>
      <c r="BA59" s="102">
        <v>82.342019420294847</v>
      </c>
      <c r="BB59" s="102">
        <v>82.342019420294847</v>
      </c>
      <c r="BC59" s="102">
        <v>73.662688686701856</v>
      </c>
      <c r="BD59" s="102">
        <v>82.342019420294847</v>
      </c>
      <c r="BE59" s="102">
        <v>82.342019420294847</v>
      </c>
      <c r="BF59" s="102">
        <v>81.632019420294853</v>
      </c>
      <c r="BG59" s="102">
        <v>81.602019420294852</v>
      </c>
      <c r="BH59" s="102">
        <v>81.632019420294853</v>
      </c>
      <c r="BI59" s="102">
        <v>81.602019420294852</v>
      </c>
      <c r="BJ59" s="102">
        <v>81.632019420294853</v>
      </c>
      <c r="BK59" s="102">
        <v>81.632019420294853</v>
      </c>
      <c r="BL59" s="102">
        <v>81.632019420294853</v>
      </c>
      <c r="BM59" s="102">
        <v>81.632019420294853</v>
      </c>
      <c r="BN59" s="102">
        <v>81.632019420294853</v>
      </c>
      <c r="BO59" s="102">
        <v>81.632019420294853</v>
      </c>
      <c r="BP59" s="102">
        <v>81.632019420294853</v>
      </c>
      <c r="BQ59" s="102">
        <v>81.632019420294853</v>
      </c>
      <c r="BR59" s="102">
        <v>81.632019420294853</v>
      </c>
      <c r="BS59" s="290"/>
      <c r="BT59" s="290"/>
      <c r="BU59" s="290"/>
      <c r="BV59" s="290"/>
      <c r="BW59" s="290"/>
      <c r="BX59" s="290"/>
      <c r="BY59" s="290"/>
      <c r="BZ59" s="290"/>
      <c r="CA59" s="290"/>
      <c r="CB59" s="599"/>
      <c r="CC59" s="599"/>
      <c r="CD59" s="599"/>
      <c r="CE59" s="566"/>
      <c r="CF59" s="290"/>
      <c r="CG59" s="290"/>
      <c r="CH59" s="290"/>
      <c r="CI59" s="290"/>
      <c r="CJ59" s="290"/>
      <c r="CK59" s="290"/>
      <c r="CL59" s="290"/>
    </row>
    <row r="60" spans="1:91">
      <c r="AM60" s="179"/>
      <c r="AN60" s="179"/>
      <c r="AO60" s="179"/>
      <c r="AP60" s="179"/>
      <c r="AQ60" s="179"/>
      <c r="AR60" s="179"/>
      <c r="AS60" s="179"/>
      <c r="AT60" s="179"/>
      <c r="AU60" s="179"/>
      <c r="AV60" s="179"/>
      <c r="AW60" s="179"/>
      <c r="AX60" s="202" t="s">
        <v>519</v>
      </c>
      <c r="AY60" s="102">
        <f t="shared" ref="AY60:BR60" si="65">AY59-(50*AY4/1000)</f>
        <v>75.991738095238091</v>
      </c>
      <c r="AZ60" s="102">
        <f t="shared" si="65"/>
        <v>71.491774632541137</v>
      </c>
      <c r="BA60" s="102">
        <f t="shared" si="65"/>
        <v>80.792019420294849</v>
      </c>
      <c r="BB60" s="102">
        <f t="shared" si="65"/>
        <v>80.842019420294847</v>
      </c>
      <c r="BC60" s="102">
        <f t="shared" si="65"/>
        <v>72.112688686701858</v>
      </c>
      <c r="BD60" s="102">
        <f t="shared" si="65"/>
        <v>80.842019420294847</v>
      </c>
      <c r="BE60" s="102">
        <f t="shared" si="65"/>
        <v>80.792019420294849</v>
      </c>
      <c r="BF60" s="102">
        <f t="shared" si="65"/>
        <v>80.082019420294856</v>
      </c>
      <c r="BG60" s="102">
        <f t="shared" si="65"/>
        <v>80.102019420294852</v>
      </c>
      <c r="BH60" s="102">
        <f t="shared" si="65"/>
        <v>80.082019420294856</v>
      </c>
      <c r="BI60" s="102">
        <f t="shared" si="65"/>
        <v>80.102019420294852</v>
      </c>
      <c r="BJ60" s="102">
        <f t="shared" si="65"/>
        <v>80.082019420294856</v>
      </c>
      <c r="BK60" s="102">
        <f t="shared" si="65"/>
        <v>80.082019420294856</v>
      </c>
      <c r="BL60" s="102">
        <f t="shared" si="65"/>
        <v>80.232019420294847</v>
      </c>
      <c r="BM60" s="102">
        <f t="shared" si="65"/>
        <v>80.082019420294856</v>
      </c>
      <c r="BN60" s="102">
        <f t="shared" si="65"/>
        <v>80.132019420294853</v>
      </c>
      <c r="BO60" s="102">
        <f t="shared" si="65"/>
        <v>80.082019420294856</v>
      </c>
      <c r="BP60" s="102">
        <f t="shared" si="65"/>
        <v>80.132019420294853</v>
      </c>
      <c r="BQ60" s="102">
        <f t="shared" si="65"/>
        <v>80.082019420294856</v>
      </c>
      <c r="BR60" s="102">
        <f t="shared" si="65"/>
        <v>80.082019420294856</v>
      </c>
      <c r="BS60" s="290"/>
      <c r="BT60" s="290"/>
      <c r="BU60" s="290"/>
      <c r="BV60" s="290"/>
      <c r="BW60" s="290"/>
      <c r="BX60" s="290"/>
      <c r="BY60" s="290"/>
      <c r="BZ60" s="290"/>
      <c r="CA60" s="290"/>
      <c r="CB60" s="599"/>
      <c r="CC60" s="599"/>
      <c r="CD60" s="599"/>
      <c r="CE60" s="566"/>
      <c r="CF60" s="290"/>
      <c r="CG60" s="290"/>
      <c r="CH60" s="290"/>
      <c r="CI60" s="290"/>
      <c r="CJ60" s="290"/>
      <c r="CK60" s="290"/>
      <c r="CL60" s="290"/>
    </row>
    <row r="61" spans="1:91">
      <c r="AM61" s="179"/>
      <c r="AN61" s="179"/>
      <c r="AO61" s="179"/>
      <c r="AP61" s="179"/>
      <c r="AQ61" s="179"/>
      <c r="AR61" s="179"/>
      <c r="AS61" s="179"/>
      <c r="AT61" s="179"/>
      <c r="AU61" s="179"/>
      <c r="AV61" s="179"/>
      <c r="AW61" s="179"/>
      <c r="AX61" s="179"/>
      <c r="AY61" s="179"/>
      <c r="AZ61" s="179"/>
      <c r="BA61" s="179"/>
      <c r="BB61" s="179"/>
      <c r="BC61" s="179"/>
      <c r="BD61" s="179"/>
      <c r="BE61" s="179"/>
      <c r="BF61" s="179"/>
      <c r="BG61" s="179"/>
      <c r="BH61" s="179"/>
      <c r="BI61" s="179"/>
      <c r="BJ61" s="179"/>
      <c r="BK61" s="179"/>
      <c r="BL61" s="179"/>
      <c r="BM61" s="179"/>
      <c r="BN61" s="179"/>
      <c r="BO61" s="179"/>
      <c r="BP61" s="179"/>
      <c r="BQ61" s="179"/>
      <c r="BR61" s="179"/>
      <c r="BS61" s="179"/>
      <c r="BT61" s="179"/>
      <c r="BU61" s="179"/>
      <c r="BV61" s="179"/>
      <c r="BW61" s="179"/>
      <c r="BX61" s="179"/>
      <c r="BY61" s="179"/>
      <c r="BZ61" s="179"/>
      <c r="CA61" s="179"/>
      <c r="CB61" s="610"/>
      <c r="CC61" s="610"/>
      <c r="CD61" s="610"/>
      <c r="CE61" s="568"/>
      <c r="CF61" s="549"/>
      <c r="CG61" s="549"/>
      <c r="CH61" s="549"/>
      <c r="CI61" s="549"/>
      <c r="CJ61" s="549"/>
      <c r="CK61" s="549"/>
      <c r="CL61" s="549"/>
      <c r="CM61" s="181"/>
    </row>
    <row r="62" spans="1:91">
      <c r="AT62" s="179"/>
      <c r="AU62" s="179"/>
      <c r="AV62" s="179"/>
      <c r="AW62" s="179"/>
      <c r="AX62" s="179"/>
      <c r="AY62" s="179"/>
      <c r="BK62" s="419"/>
      <c r="BL62" s="419"/>
      <c r="BM62" s="419"/>
      <c r="BN62" s="419"/>
      <c r="BO62" s="419"/>
      <c r="BP62" s="419"/>
    </row>
    <row r="63" spans="1:91">
      <c r="AM63" s="179"/>
      <c r="AN63" s="179"/>
      <c r="AO63" s="179"/>
      <c r="AP63" s="179"/>
      <c r="AQ63" s="179"/>
      <c r="AR63" s="179"/>
      <c r="AS63" s="179"/>
      <c r="AT63" s="179"/>
      <c r="AU63" s="179"/>
      <c r="AV63" s="179"/>
      <c r="AW63" s="179"/>
      <c r="AX63" s="179"/>
      <c r="AY63" s="102">
        <f>15/0.648</f>
        <v>23.148148148148149</v>
      </c>
      <c r="AZ63" s="179"/>
      <c r="BA63" s="179"/>
      <c r="BB63" s="179"/>
      <c r="BC63" s="179"/>
      <c r="BD63" s="179"/>
      <c r="BE63" s="179"/>
      <c r="BF63" s="179"/>
      <c r="BG63" s="179"/>
      <c r="BH63" s="179"/>
      <c r="BI63" s="179"/>
      <c r="BJ63" s="179"/>
      <c r="BK63" s="179"/>
      <c r="BL63" s="179"/>
      <c r="BM63" s="179"/>
      <c r="BN63" s="179"/>
      <c r="BO63" s="179"/>
      <c r="BP63" s="179"/>
      <c r="BQ63" s="179"/>
      <c r="BR63" s="179"/>
    </row>
    <row r="64" spans="1:91">
      <c r="AY64" s="290">
        <f>AY7-AY63</f>
        <v>6.1728395061728385</v>
      </c>
      <c r="BK64" s="420"/>
      <c r="BL64" s="420"/>
      <c r="BM64" s="420"/>
      <c r="BN64" s="420"/>
      <c r="BO64" s="420"/>
      <c r="BP64" s="420"/>
      <c r="BQ64" s="290"/>
      <c r="BR64" s="290"/>
    </row>
    <row r="65" spans="39:70">
      <c r="BK65" s="290"/>
      <c r="BL65" s="290"/>
      <c r="BM65" s="290"/>
      <c r="BN65" s="290"/>
      <c r="BO65" s="290"/>
      <c r="BP65" s="290"/>
      <c r="BQ65" s="290"/>
      <c r="BR65" s="290"/>
    </row>
    <row r="66" spans="39:70">
      <c r="AM66" s="179"/>
      <c r="AN66" s="179"/>
      <c r="AO66" s="179"/>
      <c r="AP66" s="179"/>
      <c r="AQ66" s="179"/>
      <c r="AR66" s="179"/>
      <c r="AS66" s="179"/>
      <c r="AT66" s="179"/>
      <c r="AU66" s="179"/>
      <c r="AV66" s="179"/>
      <c r="AW66" s="179"/>
      <c r="AX66" s="179"/>
      <c r="AY66" s="179"/>
      <c r="AZ66" s="179"/>
      <c r="BA66" s="179"/>
      <c r="BB66" s="179"/>
      <c r="BC66" s="179"/>
      <c r="BD66" s="179"/>
      <c r="BE66" s="179"/>
      <c r="BF66" s="179"/>
      <c r="BG66" s="179"/>
      <c r="BH66" s="179"/>
      <c r="BI66" s="179"/>
      <c r="BJ66" s="179"/>
      <c r="BK66" s="179"/>
      <c r="BL66" s="179"/>
      <c r="BM66" s="179"/>
      <c r="BN66" s="179"/>
      <c r="BO66" s="179"/>
      <c r="BP66" s="179"/>
      <c r="BQ66" s="179"/>
      <c r="BR66" s="179"/>
    </row>
  </sheetData>
  <mergeCells count="3">
    <mergeCell ref="A3:B3"/>
    <mergeCell ref="A7:A10"/>
    <mergeCell ref="A11:A13"/>
  </mergeCells>
  <phoneticPr fontId="192" type="noConversion"/>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B7783-4E00-A740-9204-B9F8B29248A5}">
  <dimension ref="A1:BQ5"/>
  <sheetViews>
    <sheetView zoomScale="150" zoomScaleNormal="120" workbookViewId="0">
      <selection activeCell="BD5" sqref="BD5"/>
    </sheetView>
  </sheetViews>
  <sheetFormatPr defaultColWidth="7.625" defaultRowHeight="14.25"/>
  <cols>
    <col min="1" max="1" width="16.875" bestFit="1" customWidth="1"/>
    <col min="2" max="2" width="5.375" hidden="1" customWidth="1"/>
    <col min="3" max="55" width="7.625" hidden="1" customWidth="1"/>
    <col min="56" max="56" width="7.625" customWidth="1"/>
    <col min="69" max="69" width="19.875" bestFit="1" customWidth="1"/>
  </cols>
  <sheetData>
    <row r="1" spans="1:69">
      <c r="A1" s="575" t="s">
        <v>520</v>
      </c>
    </row>
    <row r="2" spans="1:69">
      <c r="A2" s="573" t="s">
        <v>521</v>
      </c>
      <c r="B2" s="573"/>
      <c r="C2" s="576">
        <v>21916</v>
      </c>
      <c r="D2" s="576">
        <v>21947</v>
      </c>
      <c r="E2" s="576">
        <v>21976</v>
      </c>
      <c r="F2" s="576">
        <v>22007</v>
      </c>
      <c r="G2" s="576">
        <v>22037</v>
      </c>
      <c r="H2" s="576">
        <v>22068</v>
      </c>
      <c r="I2" s="576">
        <v>22098</v>
      </c>
      <c r="J2" s="576">
        <v>22129</v>
      </c>
      <c r="K2" s="576">
        <v>22160</v>
      </c>
      <c r="L2" s="576">
        <v>22190</v>
      </c>
      <c r="M2" s="576">
        <v>22221</v>
      </c>
      <c r="N2" s="576">
        <v>22251</v>
      </c>
      <c r="O2" s="576">
        <v>22282</v>
      </c>
      <c r="P2" s="576">
        <v>22313</v>
      </c>
      <c r="Q2" s="576">
        <v>22341</v>
      </c>
      <c r="R2" s="576">
        <v>22372</v>
      </c>
      <c r="S2" s="576">
        <v>22402</v>
      </c>
      <c r="T2" s="576">
        <v>22433</v>
      </c>
      <c r="U2" s="576">
        <v>22463</v>
      </c>
      <c r="V2" s="576">
        <v>22494</v>
      </c>
      <c r="W2" s="576">
        <v>22525</v>
      </c>
      <c r="X2" s="576">
        <v>22555</v>
      </c>
      <c r="Y2" s="576">
        <v>22586</v>
      </c>
      <c r="Z2" s="576">
        <v>22616</v>
      </c>
      <c r="AA2" s="576">
        <v>22647</v>
      </c>
      <c r="AB2" s="576">
        <v>22678</v>
      </c>
      <c r="AC2" s="576">
        <v>22706</v>
      </c>
      <c r="AD2" s="576">
        <v>22737</v>
      </c>
      <c r="AE2" s="576">
        <v>22767</v>
      </c>
      <c r="AF2" s="576">
        <v>22798</v>
      </c>
      <c r="AG2" s="576">
        <v>22828</v>
      </c>
      <c r="AH2" s="576">
        <v>22859</v>
      </c>
      <c r="AI2" s="576">
        <v>22890</v>
      </c>
      <c r="AJ2" s="576">
        <v>22920</v>
      </c>
      <c r="AK2" s="576">
        <v>22951</v>
      </c>
      <c r="AL2" s="576">
        <v>22981</v>
      </c>
      <c r="AM2" s="576">
        <v>23012</v>
      </c>
      <c r="AN2" s="576">
        <v>23043</v>
      </c>
      <c r="AO2" s="576">
        <v>23071</v>
      </c>
      <c r="AP2" s="576">
        <v>23102</v>
      </c>
      <c r="AQ2" s="576">
        <v>23132</v>
      </c>
      <c r="AR2" s="576">
        <v>23163</v>
      </c>
      <c r="AS2" s="576">
        <v>23193</v>
      </c>
      <c r="AT2" s="576">
        <v>23224</v>
      </c>
      <c r="AU2" s="576">
        <v>23255</v>
      </c>
      <c r="AV2" s="576">
        <v>23285</v>
      </c>
      <c r="AW2" s="576">
        <v>23316</v>
      </c>
      <c r="AX2" s="576">
        <v>23346</v>
      </c>
      <c r="AY2" s="576">
        <v>23377</v>
      </c>
      <c r="AZ2" s="576">
        <v>23408</v>
      </c>
      <c r="BA2" s="576">
        <v>23437</v>
      </c>
      <c r="BB2" s="576">
        <v>23468</v>
      </c>
      <c r="BC2" s="576">
        <v>23498</v>
      </c>
      <c r="BD2" s="576">
        <v>23529</v>
      </c>
      <c r="BE2" s="576">
        <v>23559</v>
      </c>
      <c r="BF2" s="576">
        <v>23590</v>
      </c>
      <c r="BG2" s="576">
        <v>23621</v>
      </c>
      <c r="BH2" s="576">
        <v>23651</v>
      </c>
      <c r="BI2" s="576">
        <v>23682</v>
      </c>
      <c r="BJ2" s="576">
        <v>23712</v>
      </c>
      <c r="BK2" s="576">
        <v>23743</v>
      </c>
      <c r="BL2" s="576">
        <v>23774</v>
      </c>
      <c r="BM2" s="576">
        <v>23802</v>
      </c>
      <c r="BN2" s="576">
        <v>23833</v>
      </c>
      <c r="BO2" s="576">
        <v>23863</v>
      </c>
    </row>
    <row r="3" spans="1:69">
      <c r="A3" s="572" t="s">
        <v>522</v>
      </c>
      <c r="B3" s="572" t="s">
        <v>523</v>
      </c>
      <c r="C3" s="574">
        <v>2.976</v>
      </c>
      <c r="D3" s="574">
        <v>3.6960000000000002</v>
      </c>
      <c r="E3" s="574">
        <v>4.0919999999999996</v>
      </c>
      <c r="F3" s="574">
        <v>3.96</v>
      </c>
      <c r="G3" s="574">
        <v>4.0919999999999996</v>
      </c>
      <c r="H3" s="574">
        <v>3.96</v>
      </c>
      <c r="I3" s="574">
        <v>4.0919999999999996</v>
      </c>
      <c r="J3" s="574">
        <v>4.0919999999999996</v>
      </c>
      <c r="K3" s="574">
        <v>1.98</v>
      </c>
      <c r="L3" s="574">
        <v>4.0919999999999996</v>
      </c>
      <c r="M3" s="574">
        <v>3.96</v>
      </c>
      <c r="N3" s="574">
        <v>4.0919999999999996</v>
      </c>
      <c r="O3" s="574">
        <v>4.0919999999999996</v>
      </c>
      <c r="P3" s="574">
        <v>3.6960000000000002</v>
      </c>
      <c r="Q3" s="574">
        <v>4.0919999999999996</v>
      </c>
      <c r="R3" s="574">
        <v>3.96</v>
      </c>
      <c r="S3" s="574">
        <v>4.0919999999999996</v>
      </c>
      <c r="T3" s="574">
        <v>3.96</v>
      </c>
      <c r="U3" s="574">
        <v>4.0919999999999996</v>
      </c>
      <c r="V3" s="574">
        <v>4.0919999999999996</v>
      </c>
      <c r="W3" s="574">
        <v>3.96</v>
      </c>
      <c r="X3" s="574">
        <v>4.0919999999999996</v>
      </c>
      <c r="Y3" s="574">
        <v>3.96</v>
      </c>
      <c r="Z3" s="574">
        <v>4.0919999999999996</v>
      </c>
      <c r="AA3" s="574">
        <v>4.0919999999999996</v>
      </c>
      <c r="AB3" s="574">
        <v>3.6960000000000002</v>
      </c>
      <c r="AC3" s="574">
        <v>4.0919999999999996</v>
      </c>
      <c r="AD3" s="574">
        <v>3.96</v>
      </c>
      <c r="AE3" s="574">
        <v>4.0919999999999996</v>
      </c>
      <c r="AF3" s="574">
        <v>3.96</v>
      </c>
      <c r="AG3" s="574">
        <v>4.0919999999999996</v>
      </c>
      <c r="AH3" s="574">
        <v>4.0919999999999996</v>
      </c>
      <c r="AI3" s="574">
        <v>3.96</v>
      </c>
      <c r="AJ3" s="574">
        <v>4.4640000000000004</v>
      </c>
      <c r="AK3" s="574">
        <v>4.32</v>
      </c>
      <c r="AL3" s="574">
        <v>4.8360000000000003</v>
      </c>
      <c r="AM3" s="574">
        <v>4.8360000000000003</v>
      </c>
      <c r="AN3" s="574">
        <v>4.524</v>
      </c>
      <c r="AO3" s="574">
        <v>4.8360000000000003</v>
      </c>
      <c r="AP3" s="574">
        <v>4.68</v>
      </c>
      <c r="AQ3" s="574">
        <v>4.4640000000000004</v>
      </c>
      <c r="AR3" s="574">
        <v>2.16</v>
      </c>
      <c r="AS3" s="574">
        <v>2.2320000000000002</v>
      </c>
      <c r="AT3" s="574">
        <v>2.2320000000000002</v>
      </c>
      <c r="AU3" s="574">
        <v>2.16</v>
      </c>
      <c r="AV3" s="574">
        <v>2.2320000000000002</v>
      </c>
      <c r="AW3" s="574">
        <v>2.16</v>
      </c>
      <c r="AX3" s="574">
        <v>2.2320000000000002</v>
      </c>
      <c r="AY3" s="574">
        <v>2.2320000000000002</v>
      </c>
      <c r="AZ3" s="574">
        <v>4.032</v>
      </c>
      <c r="BA3" s="574">
        <v>4.4640000000000004</v>
      </c>
      <c r="BB3" s="574">
        <v>4.32</v>
      </c>
      <c r="BC3" s="574">
        <v>4.4640000000000004</v>
      </c>
      <c r="BD3" s="574">
        <v>3.96</v>
      </c>
      <c r="BE3" s="574">
        <v>0.72</v>
      </c>
      <c r="BF3" s="574">
        <v>4.4640000000000004</v>
      </c>
      <c r="BG3" s="574">
        <v>4.32</v>
      </c>
      <c r="BH3" s="574">
        <v>4.4640000000000004</v>
      </c>
      <c r="BI3" s="574">
        <v>4.32</v>
      </c>
      <c r="BJ3" s="574">
        <v>4.4640000000000004</v>
      </c>
      <c r="BK3" s="574">
        <v>4.4640000000000004</v>
      </c>
      <c r="BL3" s="574">
        <v>4.032</v>
      </c>
      <c r="BM3" s="574">
        <v>4.4640000000000004</v>
      </c>
      <c r="BN3" s="574">
        <v>4.32</v>
      </c>
      <c r="BO3" s="574">
        <v>4.4640000000000004</v>
      </c>
      <c r="BQ3" s="601" t="s">
        <v>3</v>
      </c>
    </row>
    <row r="4" spans="1:69">
      <c r="A4" s="573" t="s">
        <v>101</v>
      </c>
      <c r="B4" s="573"/>
      <c r="C4" s="576">
        <v>21916</v>
      </c>
      <c r="D4" s="576">
        <v>21947</v>
      </c>
      <c r="E4" s="576">
        <v>21976</v>
      </c>
      <c r="F4" s="576">
        <v>22007</v>
      </c>
      <c r="G4" s="576">
        <v>22037</v>
      </c>
      <c r="H4" s="576">
        <v>22068</v>
      </c>
      <c r="I4" s="576">
        <v>22098</v>
      </c>
      <c r="J4" s="576">
        <v>22129</v>
      </c>
      <c r="K4" s="576">
        <v>22160</v>
      </c>
      <c r="L4" s="576">
        <v>22190</v>
      </c>
      <c r="M4" s="576">
        <v>22221</v>
      </c>
      <c r="N4" s="576">
        <v>22251</v>
      </c>
      <c r="O4" s="576">
        <v>22282</v>
      </c>
      <c r="P4" s="576">
        <v>22313</v>
      </c>
      <c r="Q4" s="576">
        <v>22341</v>
      </c>
      <c r="R4" s="576">
        <v>22372</v>
      </c>
      <c r="S4" s="576">
        <v>22402</v>
      </c>
      <c r="T4" s="576">
        <v>22433</v>
      </c>
      <c r="U4" s="576">
        <v>22463</v>
      </c>
      <c r="V4" s="576">
        <v>22494</v>
      </c>
      <c r="W4" s="576">
        <v>22525</v>
      </c>
      <c r="X4" s="576">
        <v>22555</v>
      </c>
      <c r="Y4" s="576">
        <v>22586</v>
      </c>
      <c r="Z4" s="576">
        <v>22616</v>
      </c>
      <c r="AA4" s="576">
        <v>22647</v>
      </c>
      <c r="AB4" s="576">
        <v>22678</v>
      </c>
      <c r="AC4" s="576">
        <v>22706</v>
      </c>
      <c r="AD4" s="576">
        <v>22737</v>
      </c>
      <c r="AE4" s="576">
        <v>22767</v>
      </c>
      <c r="AF4" s="576">
        <v>22798</v>
      </c>
      <c r="AG4" s="576">
        <v>22828</v>
      </c>
      <c r="AH4" s="576">
        <v>22859</v>
      </c>
      <c r="AI4" s="576">
        <v>22890</v>
      </c>
      <c r="AJ4" s="576">
        <v>22920</v>
      </c>
      <c r="AK4" s="576">
        <v>22951</v>
      </c>
      <c r="AL4" s="576">
        <v>22981</v>
      </c>
      <c r="AM4" s="576">
        <v>23012</v>
      </c>
      <c r="AN4" s="576">
        <v>23043</v>
      </c>
      <c r="AO4" s="576">
        <v>23071</v>
      </c>
      <c r="AP4" s="576">
        <v>23102</v>
      </c>
      <c r="AQ4" s="576">
        <v>23132</v>
      </c>
      <c r="AR4" s="576">
        <v>23163</v>
      </c>
      <c r="AS4" s="576">
        <v>23193</v>
      </c>
      <c r="AT4" s="576">
        <v>23224</v>
      </c>
      <c r="AU4" s="576">
        <v>23255</v>
      </c>
      <c r="AV4" s="576">
        <v>23285</v>
      </c>
      <c r="AW4" s="576">
        <v>23316</v>
      </c>
      <c r="AX4" s="576">
        <v>23346</v>
      </c>
      <c r="AY4" s="576">
        <v>23377</v>
      </c>
      <c r="AZ4" s="576">
        <v>23408</v>
      </c>
      <c r="BA4" s="576">
        <v>23437</v>
      </c>
      <c r="BB4" s="576">
        <v>23468</v>
      </c>
      <c r="BC4" s="576">
        <v>23498</v>
      </c>
      <c r="BD4" s="576">
        <v>23529</v>
      </c>
      <c r="BE4" s="576">
        <v>23559</v>
      </c>
      <c r="BF4" s="576">
        <v>23590</v>
      </c>
      <c r="BG4" s="576">
        <v>23621</v>
      </c>
      <c r="BH4" s="576">
        <v>23651</v>
      </c>
      <c r="BI4" s="576">
        <v>23682</v>
      </c>
      <c r="BJ4" s="576">
        <v>23712</v>
      </c>
      <c r="BK4" s="576">
        <v>23743</v>
      </c>
      <c r="BL4" s="576">
        <v>23774</v>
      </c>
      <c r="BM4" s="576">
        <v>23802</v>
      </c>
      <c r="BN4" s="576">
        <v>23833</v>
      </c>
      <c r="BO4" s="576">
        <v>23863</v>
      </c>
    </row>
    <row r="5" spans="1:69">
      <c r="A5" s="572" t="s">
        <v>522</v>
      </c>
      <c r="B5" s="572" t="s">
        <v>509</v>
      </c>
      <c r="C5" s="574">
        <v>2.976</v>
      </c>
      <c r="D5" s="574">
        <v>3.6960000000000002</v>
      </c>
      <c r="E5" s="574">
        <v>4.0919999999999996</v>
      </c>
      <c r="F5" s="574">
        <v>3.96</v>
      </c>
      <c r="G5" s="574">
        <v>4.0919999999999996</v>
      </c>
      <c r="H5" s="574">
        <v>3.96</v>
      </c>
      <c r="I5" s="574">
        <v>4.0919999999999996</v>
      </c>
      <c r="J5" s="574">
        <v>4.0919999999999996</v>
      </c>
      <c r="K5" s="574">
        <v>1.98</v>
      </c>
      <c r="L5" s="574">
        <v>4.0919999999999996</v>
      </c>
      <c r="M5" s="574">
        <v>3.96</v>
      </c>
      <c r="N5" s="574">
        <v>4.0919999999999996</v>
      </c>
      <c r="O5" s="574">
        <v>4.0919999999999996</v>
      </c>
      <c r="P5" s="574">
        <v>3.6960000000000002</v>
      </c>
      <c r="Q5" s="574">
        <v>4.0919999999999996</v>
      </c>
      <c r="R5" s="574">
        <v>3.96</v>
      </c>
      <c r="S5" s="574">
        <v>4.0919999999999996</v>
      </c>
      <c r="T5" s="574">
        <v>3.96</v>
      </c>
      <c r="U5" s="574">
        <v>4.0919999999999996</v>
      </c>
      <c r="V5" s="574">
        <v>4.0919999999999996</v>
      </c>
      <c r="W5" s="574">
        <v>3.96</v>
      </c>
      <c r="X5" s="574">
        <v>4.0919999999999996</v>
      </c>
      <c r="Y5" s="574">
        <v>3.96</v>
      </c>
      <c r="Z5" s="574">
        <v>4.0919999999999996</v>
      </c>
      <c r="AA5" s="574">
        <v>4.0919999999999996</v>
      </c>
      <c r="AB5" s="574">
        <v>3.6960000000000002</v>
      </c>
      <c r="AC5" s="574">
        <v>4.0919999999999996</v>
      </c>
      <c r="AD5" s="574">
        <v>3.96</v>
      </c>
      <c r="AE5" s="574">
        <v>4.0919999999999996</v>
      </c>
      <c r="AF5" s="574">
        <v>3.96</v>
      </c>
      <c r="AG5" s="574">
        <v>4.0919999999999996</v>
      </c>
      <c r="AH5" s="574">
        <v>4.0919999999999996</v>
      </c>
      <c r="AI5" s="574">
        <v>3.96</v>
      </c>
      <c r="AJ5" s="574">
        <v>4.4640000000000004</v>
      </c>
      <c r="AK5" s="574">
        <v>4.32</v>
      </c>
      <c r="AL5" s="574">
        <v>4.8360000000000003</v>
      </c>
      <c r="AM5" s="574">
        <v>4.8360000000000003</v>
      </c>
      <c r="AN5" s="574">
        <v>4.524</v>
      </c>
      <c r="AO5" s="574">
        <v>4.8360000000000003</v>
      </c>
      <c r="AP5" s="574">
        <v>4.68</v>
      </c>
      <c r="AQ5" s="574">
        <v>4.4640000000000004</v>
      </c>
      <c r="AR5" s="574">
        <v>2.16</v>
      </c>
      <c r="AS5" s="574">
        <v>2.2320000000000002</v>
      </c>
      <c r="AT5" s="574">
        <v>2.2320000000000002</v>
      </c>
      <c r="AU5" s="574">
        <v>2.16</v>
      </c>
      <c r="AV5" s="574">
        <v>2.2320000000000002</v>
      </c>
      <c r="AW5" s="574">
        <v>2.16</v>
      </c>
      <c r="AX5" s="574">
        <v>2.2320000000000002</v>
      </c>
      <c r="AY5" s="574">
        <v>2.2320000000000002</v>
      </c>
      <c r="AZ5" s="574">
        <v>4.032</v>
      </c>
      <c r="BA5" s="574">
        <v>4.4640000000000004</v>
      </c>
      <c r="BB5" s="574">
        <v>4.32</v>
      </c>
      <c r="BC5" s="574">
        <v>4.4640000000000004</v>
      </c>
      <c r="BD5" s="574">
        <v>3.96</v>
      </c>
      <c r="BE5" s="574">
        <v>0.72</v>
      </c>
      <c r="BF5" s="574">
        <v>4.4640000000000004</v>
      </c>
      <c r="BG5" s="574">
        <v>4.32</v>
      </c>
      <c r="BH5" s="574">
        <v>4.4640000000000004</v>
      </c>
      <c r="BI5" s="574">
        <v>4.32</v>
      </c>
      <c r="BJ5" s="574">
        <v>4.4640000000000004</v>
      </c>
      <c r="BK5" s="574">
        <v>4.4640000000000004</v>
      </c>
      <c r="BL5" s="574">
        <v>4.032</v>
      </c>
      <c r="BM5" s="574">
        <v>4.4640000000000004</v>
      </c>
      <c r="BN5" s="574">
        <v>4.32</v>
      </c>
      <c r="BO5" s="574">
        <v>4.4640000000000004</v>
      </c>
      <c r="BQ5" s="601" t="s">
        <v>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E5D27B4072D024A8708C2C521771828" ma:contentTypeVersion="10" ma:contentTypeDescription="Create a new document." ma:contentTypeScope="" ma:versionID="125bc88996b828b5305edbaff1395fa5">
  <xsd:schema xmlns:xsd="http://www.w3.org/2001/XMLSchema" xmlns:xs="http://www.w3.org/2001/XMLSchema" xmlns:p="http://schemas.microsoft.com/office/2006/metadata/properties" xmlns:ns2="beae4695-f877-4d5d-aa76-e3e79b9186c6" xmlns:ns3="af7649ce-85e6-43ec-b1f5-88037da053f1" targetNamespace="http://schemas.microsoft.com/office/2006/metadata/properties" ma:root="true" ma:fieldsID="c06a0e5b25ecd012503fa5a9d3c26eb0" ns2:_="" ns3:_="">
    <xsd:import namespace="beae4695-f877-4d5d-aa76-e3e79b9186c6"/>
    <xsd:import namespace="af7649ce-85e6-43ec-b1f5-88037da053f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ae4695-f877-4d5d-aa76-e3e79b9186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f7649ce-85e6-43ec-b1f5-88037da053f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61F267E-69E7-45F6-8175-8DE6BEB96553}"/>
</file>

<file path=customXml/itemProps2.xml><?xml version="1.0" encoding="utf-8"?>
<ds:datastoreItem xmlns:ds="http://schemas.openxmlformats.org/officeDocument/2006/customXml" ds:itemID="{CD0524F6-9561-4D40-A2D3-4DB909A7FFDD}"/>
</file>

<file path=customXml/itemProps3.xml><?xml version="1.0" encoding="utf-8"?>
<ds:datastoreItem xmlns:ds="http://schemas.openxmlformats.org/officeDocument/2006/customXml" ds:itemID="{F9FBAFB9-15FA-42CA-8FAC-FAF27D69A047}"/>
</file>

<file path=docProps/app.xml><?xml version="1.0" encoding="utf-8"?>
<Properties xmlns="http://schemas.openxmlformats.org/officeDocument/2006/extended-properties" xmlns:vt="http://schemas.openxmlformats.org/officeDocument/2006/docPropsVTypes">
  <Application>Microsoft Excel Online</Application>
  <Manager/>
  <Company>PTTPLC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Quantumuser</dc:creator>
  <cp:keywords/>
  <dc:description/>
  <cp:lastModifiedBy>Chalida Jitprasert</cp:lastModifiedBy>
  <cp:revision/>
  <dcterms:created xsi:type="dcterms:W3CDTF">2019-05-28T06:56:10Z</dcterms:created>
  <dcterms:modified xsi:type="dcterms:W3CDTF">2022-02-25T02:55:52Z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0x010100BE5D27B4072D024A8708C2C521771828</vt:lpwstr>
  </property>
</Properties>
</file>