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6.xml" ContentType="application/vnd.openxmlformats-officedocument.spreadsheetml.comments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omments7.xml" ContentType="application/vnd.openxmlformats-officedocument.spreadsheetml.comments+xml"/>
  <Override PartName="/xl/drawings/drawing6.xml" ContentType="application/vnd.openxmlformats-officedocument.drawing+xml"/>
  <Override PartName="/xl/comments8.xml" ContentType="application/vnd.openxmlformats-officedocument.spreadsheetml.comments+xml"/>
  <Override PartName="/xl/drawings/drawing7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1_Information\เอกสารจาก User\"/>
    </mc:Choice>
  </mc:AlternateContent>
  <xr:revisionPtr revIDLastSave="0" documentId="13_ncr:1_{6D928A67-B86E-4026-B357-E87953BBF63D}" xr6:coauthVersionLast="47" xr6:coauthVersionMax="47" xr10:uidLastSave="{00000000-0000-0000-0000-000000000000}"/>
  <bookViews>
    <workbookView xWindow="-110" yWindow="-110" windowWidth="19420" windowHeight="10420" tabRatio="630" firstSheet="8" activeTab="7" xr2:uid="{00000000-000D-0000-FFFF-FFFF00000000}"/>
  </bookViews>
  <sheets>
    <sheet name="Price" sheetId="1" r:id="rId1"/>
    <sheet name="Price to IR " sheetId="31" r:id="rId2"/>
    <sheet name="นำส่ง กผ" sheetId="33" r:id="rId3"/>
    <sheet name="Fx" sheetId="8" r:id="rId4"/>
    <sheet name="Delivery" sheetId="10" r:id="rId5"/>
    <sheet name="นำส่ง Hedging วผก" sheetId="32" r:id="rId6"/>
    <sheet name="Revenue (Baht)" sheetId="9" r:id="rId7"/>
    <sheet name="COST (Baht)" sheetId="13" r:id="rId8"/>
    <sheet name="Margin (Baht)" sheetId="11" r:id="rId9"/>
    <sheet name="Production" sheetId="14" r:id="rId10"/>
    <sheet name="Sheet4" sheetId="29" r:id="rId11"/>
    <sheet name="Sheet2" sheetId="30" r:id="rId12"/>
    <sheet name="LPG Domestic" sheetId="25" r:id="rId13"/>
    <sheet name="COST จาก วผก." sheetId="15" r:id="rId14"/>
    <sheet name="Rolling พี่เตย" sheetId="16" r:id="rId15"/>
    <sheet name="Graph (Full Cost)" sheetId="21" r:id="rId16"/>
    <sheet name="Bz Price " sheetId="17" r:id="rId17"/>
    <sheet name="Bz Delivery " sheetId="18" r:id="rId18"/>
    <sheet name="Bz Revenue " sheetId="19" r:id="rId19"/>
    <sheet name="PL (64)" sheetId="22" r:id="rId20"/>
    <sheet name="Data (64)" sheetId="20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">#REF!</definedName>
    <definedName name="____" hidden="1">#REF!</definedName>
    <definedName name="__123Graph_ACHART1" hidden="1">#REF!</definedName>
    <definedName name="__123Graph_ACHART10" hidden="1">#REF!</definedName>
    <definedName name="__123Graph_ACHART11" hidden="1">#REF!</definedName>
    <definedName name="__123Graph_ACHART12" hidden="1">#REF!</definedName>
    <definedName name="__123Graph_ACHART13" hidden="1">#REF!</definedName>
    <definedName name="__123Graph_ACHART14" hidden="1">#REF!</definedName>
    <definedName name="__123Graph_ACHART15" hidden="1">#REF!</definedName>
    <definedName name="__123Graph_ACHART16" hidden="1">#REF!</definedName>
    <definedName name="__123Graph_ACHART17" hidden="1">#REF!</definedName>
    <definedName name="__123Graph_ACHART18" hidden="1">#REF!</definedName>
    <definedName name="__123Graph_ACHART19" hidden="1">#REF!</definedName>
    <definedName name="__123Graph_ACHART2" hidden="1">#REF!</definedName>
    <definedName name="__123Graph_ACHART20" hidden="1">#REF!</definedName>
    <definedName name="__123Graph_ACHART21" hidden="1">#REF!</definedName>
    <definedName name="__123Graph_ACHART22" hidden="1">#REF!</definedName>
    <definedName name="__123Graph_ACHART3" hidden="1">#REF!</definedName>
    <definedName name="__123Graph_ACHART4" hidden="1">#REF!</definedName>
    <definedName name="__123Graph_ACHART5" hidden="1">#REF!</definedName>
    <definedName name="__123Graph_ACHART6" hidden="1">#REF!</definedName>
    <definedName name="__123Graph_ACHART7" hidden="1">#REF!</definedName>
    <definedName name="__123Graph_ACHART8" hidden="1">#REF!</definedName>
    <definedName name="__123Graph_ACHART9" hidden="1">#REF!</definedName>
    <definedName name="__123Graph_ASLIDE17" hidden="1">#REF!</definedName>
    <definedName name="__123Graph_ASLIDEIII15" hidden="1">#REF!</definedName>
    <definedName name="__123Graph_ASLIDEIII25" hidden="1">#REF!</definedName>
    <definedName name="__123Graph_ASLIDEIII26" hidden="1">#REF!</definedName>
    <definedName name="__123Graph_BCHART1" hidden="1">#REF!</definedName>
    <definedName name="__123Graph_BCHART10" hidden="1">#REF!</definedName>
    <definedName name="__123Graph_BCHART11" hidden="1">#REF!</definedName>
    <definedName name="__123Graph_BCHART12" hidden="1">#REF!</definedName>
    <definedName name="__123Graph_BCHART13" hidden="1">#REF!</definedName>
    <definedName name="__123Graph_BCHART14" hidden="1">#REF!</definedName>
    <definedName name="__123Graph_BCHART15" hidden="1">#REF!</definedName>
    <definedName name="__123Graph_BCHART16" hidden="1">#REF!</definedName>
    <definedName name="__123Graph_BCHART17" hidden="1">#REF!</definedName>
    <definedName name="__123Graph_BCHART18" hidden="1">#REF!</definedName>
    <definedName name="__123Graph_BCHART19" hidden="1">#REF!</definedName>
    <definedName name="__123Graph_BCHART2" hidden="1">#REF!</definedName>
    <definedName name="__123Graph_BCHART20" hidden="1">#REF!</definedName>
    <definedName name="__123Graph_BCHART22" hidden="1">#REF!</definedName>
    <definedName name="__123Graph_BCHART3" hidden="1">#REF!</definedName>
    <definedName name="__123Graph_BCHART4" hidden="1">#REF!</definedName>
    <definedName name="__123Graph_BCHART6" hidden="1">#REF!</definedName>
    <definedName name="__123Graph_BCHART7" hidden="1">#REF!</definedName>
    <definedName name="__123Graph_BCHART8" hidden="1">#REF!</definedName>
    <definedName name="__123Graph_BCHART9" hidden="1">#REF!</definedName>
    <definedName name="__123Graph_BSLIDE17" hidden="1">#REF!</definedName>
    <definedName name="__123Graph_BSLIDEIII15" hidden="1">#REF!</definedName>
    <definedName name="__123Graph_BSLIDEIII25" hidden="1">#REF!</definedName>
    <definedName name="__123Graph_BSLIDEIII26" hidden="1">#REF!</definedName>
    <definedName name="__123Graph_CCHART1" hidden="1">#REF!</definedName>
    <definedName name="__123Graph_CCHART10" hidden="1">#REF!</definedName>
    <definedName name="__123Graph_CCHART11" hidden="1">#REF!</definedName>
    <definedName name="__123Graph_CCHART14" hidden="1">#REF!</definedName>
    <definedName name="__123Graph_CCHART15" hidden="1">#REF!</definedName>
    <definedName name="__123Graph_CCHART2" hidden="1">#REF!</definedName>
    <definedName name="__123Graph_CCHART22" hidden="1">#REF!</definedName>
    <definedName name="__123Graph_CCHART3" hidden="1">#REF!</definedName>
    <definedName name="__123Graph_CCHART6" hidden="1">#REF!</definedName>
    <definedName name="__123Graph_CCHART7" hidden="1">#REF!</definedName>
    <definedName name="__123Graph_CCHART8" hidden="1">#REF!</definedName>
    <definedName name="__123Graph_CSLIDEIII25" hidden="1">#REF!</definedName>
    <definedName name="__123Graph_CSLIDEIII26" hidden="1">#REF!</definedName>
    <definedName name="__123Graph_DCHART10" hidden="1">#REF!</definedName>
    <definedName name="__123Graph_DCHART14" hidden="1">#REF!</definedName>
    <definedName name="__123Graph_DSLIDEIII25" hidden="1">#REF!</definedName>
    <definedName name="__123Graph_LBL_CCHART22" hidden="1">#REF!</definedName>
    <definedName name="__123Graph_XCHART1" hidden="1">#REF!</definedName>
    <definedName name="__123Graph_XCHART10" hidden="1">#REF!</definedName>
    <definedName name="__123Graph_XCHART11" hidden="1">#REF!</definedName>
    <definedName name="__123Graph_XCHART12" hidden="1">#REF!</definedName>
    <definedName name="__123Graph_XCHART13" hidden="1">#REF!</definedName>
    <definedName name="__123Graph_XCHART14" hidden="1">#REF!</definedName>
    <definedName name="__123Graph_XCHART15" hidden="1">#REF!</definedName>
    <definedName name="__123Graph_XCHART16" hidden="1">#REF!</definedName>
    <definedName name="__123Graph_XCHART17" hidden="1">#REF!</definedName>
    <definedName name="__123Graph_XCHART18" hidden="1">#REF!</definedName>
    <definedName name="__123Graph_XCHART19" hidden="1">#REF!</definedName>
    <definedName name="__123Graph_XCHART2" hidden="1">#REF!</definedName>
    <definedName name="__123Graph_XCHART20" hidden="1">#REF!</definedName>
    <definedName name="__123Graph_XCHART21" hidden="1">#REF!</definedName>
    <definedName name="__123Graph_XCHART22" hidden="1">#REF!</definedName>
    <definedName name="__123Graph_XCHART3" hidden="1">#REF!</definedName>
    <definedName name="__123Graph_XCHART4" hidden="1">#REF!</definedName>
    <definedName name="__123Graph_XCHART5" hidden="1">#REF!</definedName>
    <definedName name="__123Graph_XCHART6" hidden="1">#REF!</definedName>
    <definedName name="__123Graph_XCHART7" hidden="1">#REF!</definedName>
    <definedName name="__123Graph_XCHART8" hidden="1">#REF!</definedName>
    <definedName name="__123Graph_XCHART9" hidden="1">#REF!</definedName>
    <definedName name="__123Graph_XSLIDE17" hidden="1">#REF!</definedName>
    <definedName name="__123Graph_XSLIDEIII15" hidden="1">#REF!</definedName>
    <definedName name="__123Graph_XSLIDEIII25" hidden="1">#REF!</definedName>
    <definedName name="__123Graph_XSLIDEIII26" hidden="1">#REF!</definedName>
    <definedName name="__wp3" localSheetId="20" hidden="1">{#N/A,#N/A,FALSE,"SMT1";#N/A,#N/A,FALSE,"SMT2";#N/A,#N/A,FALSE,"Summary";#N/A,#N/A,FALSE,"Graphs";#N/A,#N/A,FALSE,"4 Panel"}</definedName>
    <definedName name="__wp3" localSheetId="19" hidden="1">{#N/A,#N/A,FALSE,"SMT1";#N/A,#N/A,FALSE,"SMT2";#N/A,#N/A,FALSE,"Summary";#N/A,#N/A,FALSE,"Graphs";#N/A,#N/A,FALSE,"4 Panel"}</definedName>
    <definedName name="__wp3" hidden="1">{#N/A,#N/A,FALSE,"SMT1";#N/A,#N/A,FALSE,"SMT2";#N/A,#N/A,FALSE,"Summary";#N/A,#N/A,FALSE,"Graphs";#N/A,#N/A,FALSE,"4 Panel"}</definedName>
    <definedName name="_1_">#REF!</definedName>
    <definedName name="_123Graph_00" hidden="1">#REF!</definedName>
    <definedName name="_12n">#REF!</definedName>
    <definedName name="_15t__WT">#REF!</definedName>
    <definedName name="_18WSOL">#REF!</definedName>
    <definedName name="_2_8__WTOT">#REF!</definedName>
    <definedName name="_21W__WS">#REF!</definedName>
    <definedName name="_3_">#REF!</definedName>
    <definedName name="_3G">#REF!</definedName>
    <definedName name="_4n">#REF!</definedName>
    <definedName name="_5t__WT">#REF!</definedName>
    <definedName name="_6_8__WTOT">#REF!</definedName>
    <definedName name="_6WSOL">#REF!</definedName>
    <definedName name="_7W__WS">#REF!</definedName>
    <definedName name="_9G">#REF!</definedName>
    <definedName name="_on1">[1]Cover!$C$12</definedName>
    <definedName name="_Order1" hidden="1">1</definedName>
    <definedName name="_Order2" hidden="1">1</definedName>
    <definedName name="_wp3" localSheetId="20" hidden="1">{#N/A,#N/A,FALSE,"SMT1";#N/A,#N/A,FALSE,"SMT2";#N/A,#N/A,FALSE,"Summary";#N/A,#N/A,FALSE,"Graphs";#N/A,#N/A,FALSE,"4 Panel"}</definedName>
    <definedName name="_wp3" localSheetId="19" hidden="1">{#N/A,#N/A,FALSE,"SMT1";#N/A,#N/A,FALSE,"SMT2";#N/A,#N/A,FALSE,"Summary";#N/A,#N/A,FALSE,"Graphs";#N/A,#N/A,FALSE,"4 Panel"}</definedName>
    <definedName name="_wp3" hidden="1">{#N/A,#N/A,FALSE,"SMT1";#N/A,#N/A,FALSE,"SMT2";#N/A,#N/A,FALSE,"Summary";#N/A,#N/A,FALSE,"Graphs";#N/A,#N/A,FALSE,"4 Panel"}</definedName>
    <definedName name="aaa">#REF!</definedName>
    <definedName name="abc">#REF!</definedName>
    <definedName name="Actual_Status">[2]Status!$C$2:$C$13</definedName>
    <definedName name="base">1</definedName>
    <definedName name="bbb">#REF!</definedName>
    <definedName name="BCK">[3]Status!$C$2:$C$13</definedName>
    <definedName name="bud_2">#REF!</definedName>
    <definedName name="BUD_YR">#REF!</definedName>
    <definedName name="bud_yr2">#REF!</definedName>
    <definedName name="capital">[4]Valuation!$AB$10</definedName>
    <definedName name="capitaladj">[4]Valuation!$AB$32</definedName>
    <definedName name="Days">365</definedName>
    <definedName name="dddd" localSheetId="20" hidden="1">{#N/A,#N/A,FALSE,"Full";#N/A,#N/A,FALSE,"Half";#N/A,#N/A,FALSE,"Op Expenses";#N/A,#N/A,FALSE,"Cap Charge";#N/A,#N/A,FALSE,"Cost C";#N/A,#N/A,FALSE,"PP&amp;E";#N/A,#N/A,FALSE,"R&amp;D"}</definedName>
    <definedName name="dddd" localSheetId="19" hidden="1">{#N/A,#N/A,FALSE,"Full";#N/A,#N/A,FALSE,"Half";#N/A,#N/A,FALSE,"Op Expenses";#N/A,#N/A,FALSE,"Cap Charge";#N/A,#N/A,FALSE,"Cost C";#N/A,#N/A,FALSE,"PP&amp;E";#N/A,#N/A,FALSE,"R&amp;D"}</definedName>
    <definedName name="dddd" hidden="1">{#N/A,#N/A,FALSE,"Full";#N/A,#N/A,FALSE,"Half";#N/A,#N/A,FALSE,"Op Expenses";#N/A,#N/A,FALSE,"Cap Charge";#N/A,#N/A,FALSE,"Cost C";#N/A,#N/A,FALSE,"PP&amp;E";#N/A,#N/A,FALSE,"R&amp;D"}</definedName>
    <definedName name="Division">[5]Status!$E$2:$E$8</definedName>
    <definedName name="Ec.Taxes">[4]b!$C$13</definedName>
    <definedName name="f" localSheetId="20" hidden="1">{"EVA",#N/A,FALSE,"SMT2";#N/A,#N/A,FALSE,"Summary";#N/A,#N/A,FALSE,"Graphs";#N/A,#N/A,FALSE,"4 Panel"}</definedName>
    <definedName name="f" localSheetId="19" hidden="1">{"EVA",#N/A,FALSE,"SMT2";#N/A,#N/A,FALSE,"Summary";#N/A,#N/A,FALSE,"Graphs";#N/A,#N/A,FALSE,"4 Panel"}</definedName>
    <definedName name="f" hidden="1">{"EVA",#N/A,FALSE,"SMT2";#N/A,#N/A,FALSE,"Summary";#N/A,#N/A,FALSE,"Graphs";#N/A,#N/A,FALSE,"4 Panel"}</definedName>
    <definedName name="G">[4]Assumptions!$E$14</definedName>
    <definedName name="graph" localSheetId="20" hidden="1">{"monthly",#N/A,FALSE,"GASODEM";"qtr to yr",#N/A,FALSE,"GASODEM"}</definedName>
    <definedName name="graph" localSheetId="19" hidden="1">{"monthly",#N/A,FALSE,"GASODEM";"qtr to yr",#N/A,FALSE,"GASODEM"}</definedName>
    <definedName name="graph" hidden="1">{"monthly",#N/A,FALSE,"GASODEM";"qtr to yr",#N/A,FALSE,"GASODEM"}</definedName>
    <definedName name="Group">[5]Status!$F$2:$F$5</definedName>
    <definedName name="INV_PLAN">[6]INV_LIST!$A$99:$A$109</definedName>
    <definedName name="IO">#REF!</definedName>
    <definedName name="JOD">#REF!</definedName>
    <definedName name="l" localSheetId="20" hidden="1">{#N/A,#N/A,FALSE,"SMT1";#N/A,#N/A,FALSE,"SMT2";#N/A,#N/A,FALSE,"Summary";#N/A,#N/A,FALSE,"Graphs";#N/A,#N/A,FALSE,"4 Panel"}</definedName>
    <definedName name="l" localSheetId="19" hidden="1">{#N/A,#N/A,FALSE,"SMT1";#N/A,#N/A,FALSE,"SMT2";#N/A,#N/A,FALSE,"Summary";#N/A,#N/A,FALSE,"Graphs";#N/A,#N/A,FALSE,"4 Panel"}</definedName>
    <definedName name="l" hidden="1">{#N/A,#N/A,FALSE,"SMT1";#N/A,#N/A,FALSE,"SMT2";#N/A,#N/A,FALSE,"Summary";#N/A,#N/A,FALSE,"Graphs";#N/A,#N/A,FALSE,"4 Panel"}</definedName>
    <definedName name="lowsulfurdiesel" localSheetId="20" hidden="1">{"PAGE1",#N/A,FALSE,"YIELDS";"PAGE2",#N/A,FALSE,"YIELDS";"PAGE3",#N/A,FALSE,"YIELDS"}</definedName>
    <definedName name="lowsulfurdiesel" localSheetId="19" hidden="1">{"PAGE1",#N/A,FALSE,"YIELDS";"PAGE2",#N/A,FALSE,"YIELDS";"PAGE3",#N/A,FALSE,"YIELDS"}</definedName>
    <definedName name="lowsulfurdiesel" hidden="1">{"PAGE1",#N/A,FALSE,"YIELDS";"PAGE2",#N/A,FALSE,"YIELDS";"PAGE3",#N/A,FALSE,"YIELDS"}</definedName>
    <definedName name="nopat">[4]Valuation!$AB$8</definedName>
    <definedName name="nopatadj">[4]Valuation!$AB$27</definedName>
    <definedName name="ON">[1]Cover!$C$12</definedName>
    <definedName name="onn">[1]Cover!$C$12</definedName>
    <definedName name="PLAN">#REF!</definedName>
    <definedName name="Plan_Status">[2]Status!$B$2:$B$6</definedName>
    <definedName name="plan1">#REF!</definedName>
    <definedName name="plan2">#REF!</definedName>
    <definedName name="pooh" localSheetId="20" hidden="1">{"PAGE1",#N/A,FALSE,"YIELDS";"PAGE2",#N/A,FALSE,"YIELDS";"PAGE3",#N/A,FALSE,"YIELDS"}</definedName>
    <definedName name="pooh" localSheetId="19" hidden="1">{"PAGE1",#N/A,FALSE,"YIELDS";"PAGE2",#N/A,FALSE,"YIELDS";"PAGE3",#N/A,FALSE,"YIELDS"}</definedName>
    <definedName name="pooh" hidden="1">{"PAGE1",#N/A,FALSE,"YIELDS";"PAGE2",#N/A,FALSE,"YIELDS";"PAGE3",#N/A,FALSE,"YIELDS"}</definedName>
    <definedName name="por" localSheetId="20" hidden="1">{#N/A,#N/A,FALSE,"Full";#N/A,#N/A,FALSE,"Half";#N/A,#N/A,FALSE,"Op Expenses";#N/A,#N/A,FALSE,"Cap Charge";#N/A,#N/A,FALSE,"Cost C";#N/A,#N/A,FALSE,"PP&amp;E";#N/A,#N/A,FALSE,"R&amp;D"}</definedName>
    <definedName name="por" localSheetId="19" hidden="1">{#N/A,#N/A,FALSE,"Full";#N/A,#N/A,FALSE,"Half";#N/A,#N/A,FALSE,"Op Expenses";#N/A,#N/A,FALSE,"Cap Charge";#N/A,#N/A,FALSE,"Cost C";#N/A,#N/A,FALSE,"PP&amp;E";#N/A,#N/A,FALSE,"R&amp;D"}</definedName>
    <definedName name="por" hidden="1">{#N/A,#N/A,FALSE,"Full";#N/A,#N/A,FALSE,"Half";#N/A,#N/A,FALSE,"Op Expenses";#N/A,#N/A,FALSE,"Cap Charge";#N/A,#N/A,FALSE,"Cost C";#N/A,#N/A,FALSE,"PP&amp;E";#N/A,#N/A,FALSE,"R&amp;D"}</definedName>
    <definedName name="_xlnm.Print_Area" localSheetId="20">'Data (64)'!#REF!</definedName>
    <definedName name="_xlnm.Print_Area" localSheetId="19">'PL (64)'!$A$1:$Y$60</definedName>
    <definedName name="Print_Area_MI" localSheetId="19">#REF!</definedName>
    <definedName name="Print_Area_MI">#REF!</definedName>
    <definedName name="PRINT_TITLES_MI" localSheetId="19">#REF!</definedName>
    <definedName name="PRINT_TITLES_MI">#REF!</definedName>
    <definedName name="Project_name">[1]Cover!$C$10</definedName>
    <definedName name="region3" localSheetId="20" hidden="1">{#N/A,#N/A,FALSE,"Full";#N/A,#N/A,FALSE,"Half";#N/A,#N/A,FALSE,"Op Expenses";#N/A,#N/A,FALSE,"Cap Charge";#N/A,#N/A,FALSE,"Cost C";#N/A,#N/A,FALSE,"PP&amp;E";#N/A,#N/A,FALSE,"R&amp;D"}</definedName>
    <definedName name="region3" localSheetId="19" hidden="1">{#N/A,#N/A,FALSE,"Full";#N/A,#N/A,FALSE,"Half";#N/A,#N/A,FALSE,"Op Expenses";#N/A,#N/A,FALSE,"Cap Charge";#N/A,#N/A,FALSE,"Cost C";#N/A,#N/A,FALSE,"PP&amp;E";#N/A,#N/A,FALSE,"R&amp;D"}</definedName>
    <definedName name="region3" hidden="1">{#N/A,#N/A,FALSE,"Full";#N/A,#N/A,FALSE,"Half";#N/A,#N/A,FALSE,"Op Expenses";#N/A,#N/A,FALSE,"Cap Charge";#N/A,#N/A,FALSE,"Cost C";#N/A,#N/A,FALSE,"PP&amp;E";#N/A,#N/A,FALSE,"R&amp;D"}</definedName>
    <definedName name="rr" localSheetId="20">nopat/capital</definedName>
    <definedName name="rr" localSheetId="19">nopat/capital</definedName>
    <definedName name="rr">nopat/capital</definedName>
    <definedName name="rradj" localSheetId="20">nopatadj/capitaladj</definedName>
    <definedName name="rradj" localSheetId="19">nopatadj/capitaladj</definedName>
    <definedName name="rradj">nopatadj/capitaladj</definedName>
    <definedName name="s" localSheetId="19">#REF!</definedName>
    <definedName name="s">#REF!</definedName>
    <definedName name="SAPBEXrevision" hidden="1">1</definedName>
    <definedName name="SAPBEXsysID" hidden="1">"PBW"</definedName>
    <definedName name="SAPBEXwbID" hidden="1">"3XOMIIY3FQU08B9HVNC7DDWLQ"</definedName>
    <definedName name="SOE">#REF!</definedName>
    <definedName name="spread" localSheetId="20">'Data (64)'!rr-wacc</definedName>
    <definedName name="spread" localSheetId="19">'PL (64)'!rr-wacc</definedName>
    <definedName name="spread">rr-wacc</definedName>
    <definedName name="spreadadj" localSheetId="20">'Data (64)'!rradj-wacc</definedName>
    <definedName name="spreadadj" localSheetId="19">'PL (64)'!rradj-wacc</definedName>
    <definedName name="spreadadj">rradj-wacc</definedName>
    <definedName name="SS_Master" localSheetId="19">#REF!</definedName>
    <definedName name="SS_Master">#REF!</definedName>
    <definedName name="Status_Code">[7]Status!$D$2:$D$9</definedName>
    <definedName name="steven" localSheetId="20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steven" localSheetId="19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steven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test" localSheetId="20" hidden="1">{"PAGE1",#N/A,FALSE,"YIELDS";"PAGE2",#N/A,FALSE,"YIELDS";"PAGE3",#N/A,FALSE,"YIELDS"}</definedName>
    <definedName name="test" localSheetId="19" hidden="1">{"PAGE1",#N/A,FALSE,"YIELDS";"PAGE2",#N/A,FALSE,"YIELDS";"PAGE3",#N/A,FALSE,"YIELDS"}</definedName>
    <definedName name="test" hidden="1">{"PAGE1",#N/A,FALSE,"YIELDS";"PAGE2",#N/A,FALSE,"YIELDS";"PAGE3",#N/A,FALSE,"YIELDS"}</definedName>
    <definedName name="test.4" localSheetId="20" hidden="1">{"Padd I to III",#N/A,FALSE,"REFINERY";"Padd IV to US",#N/A,FALSE,"REFINERY";"Crude Balance I",#N/A,FALSE,"REFINERY";"Crude Balance II",#N/A,FALSE,"REFINERY"}</definedName>
    <definedName name="test.4" localSheetId="19" hidden="1">{"Padd I to III",#N/A,FALSE,"REFINERY";"Padd IV to US",#N/A,FALSE,"REFINERY";"Crude Balance I",#N/A,FALSE,"REFINERY";"Crude Balance II",#N/A,FALSE,"REFINERY"}</definedName>
    <definedName name="test.4" hidden="1">{"Padd I to III",#N/A,FALSE,"REFINERY";"Padd IV to US",#N/A,FALSE,"REFINERY";"Crude Balance I",#N/A,FALSE,"REFINERY";"Crude Balance II",#N/A,FALSE,"REFINERY"}</definedName>
    <definedName name="test.all" localSheetId="20" hidden="1">{"PAGE1",#N/A,FALSE,"YIELDS";"PAGE2",#N/A,FALSE,"YIELDS";"PAGE3",#N/A,FALSE,"YIELDS"}</definedName>
    <definedName name="test.all" localSheetId="19" hidden="1">{"PAGE1",#N/A,FALSE,"YIELDS";"PAGE2",#N/A,FALSE,"YIELDS";"PAGE3",#N/A,FALSE,"YIELDS"}</definedName>
    <definedName name="test.all" hidden="1">{"PAGE1",#N/A,FALSE,"YIELDS";"PAGE2",#N/A,FALSE,"YIELDS";"PAGE3",#N/A,FALSE,"YIELDS"}</definedName>
    <definedName name="test3" localSheetId="20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test3" localSheetId="19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test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test5" localSheetId="20" hidden="1">{"Current",#N/A,FALSE,"Currentcal";"Current B",#N/A,FALSE,"Currentcal";"Constant",#N/A,FALSE,"Constantcal";"Constant B",#N/A,FALSE,"Constantcal"}</definedName>
    <definedName name="test5" localSheetId="19" hidden="1">{"Current",#N/A,FALSE,"Currentcal";"Current B",#N/A,FALSE,"Currentcal";"Constant",#N/A,FALSE,"Constantcal";"Constant B",#N/A,FALSE,"Constantcal"}</definedName>
    <definedName name="test5" hidden="1">{"Current",#N/A,FALSE,"Currentcal";"Current B",#N/A,FALSE,"Currentcal";"Constant",#N/A,FALSE,"Constantcal";"Constant B",#N/A,FALSE,"Constantcal"}</definedName>
    <definedName name="wacc">[4]Assumptions!$E$11</definedName>
    <definedName name="WP9_PJ1">#REF!</definedName>
    <definedName name="wrn.ALL." localSheetId="20" hidden="1">{"PAGE1",#N/A,FALSE,"YIELDS";"PAGE2",#N/A,FALSE,"YIELDS";"PAGE3",#N/A,FALSE,"YIELDS"}</definedName>
    <definedName name="wrn.ALL." localSheetId="19" hidden="1">{"PAGE1",#N/A,FALSE,"YIELDS";"PAGE2",#N/A,FALSE,"YIELDS";"PAGE3",#N/A,FALSE,"YIELDS"}</definedName>
    <definedName name="wrn.ALL." hidden="1">{"PAGE1",#N/A,FALSE,"YIELDS";"PAGE2",#N/A,FALSE,"YIELDS";"PAGE3",#N/A,FALSE,"YIELDS"}</definedName>
    <definedName name="wrn.Book." localSheetId="20" hidden="1">{"EVA",#N/A,FALSE,"SMT2";#N/A,#N/A,FALSE,"Summary";#N/A,#N/A,FALSE,"Graphs";#N/A,#N/A,FALSE,"4 Panel"}</definedName>
    <definedName name="wrn.Book." localSheetId="19" hidden="1">{"EVA",#N/A,FALSE,"SMT2";#N/A,#N/A,FALSE,"Summary";#N/A,#N/A,FALSE,"Graphs";#N/A,#N/A,FALSE,"4 Panel"}</definedName>
    <definedName name="wrn.Book." hidden="1">{"EVA",#N/A,FALSE,"SMT2";#N/A,#N/A,FALSE,"Summary";#N/A,#N/A,FALSE,"Graphs";#N/A,#N/A,FALSE,"4 Panel"}</definedName>
    <definedName name="wrn.charts." localSheetId="20" hidden="1">{"newyork",#N/A,FALSE,"Plots-Annually";"florida",#N/A,FALSE,"Plots-Annually"}</definedName>
    <definedName name="wrn.charts." localSheetId="19" hidden="1">{"newyork",#N/A,FALSE,"Plots-Annually";"florida",#N/A,FALSE,"Plots-Annually"}</definedName>
    <definedName name="wrn.charts." hidden="1">{"newyork",#N/A,FALSE,"Plots-Annually";"florida",#N/A,FALSE,"Plots-Annually"}</definedName>
    <definedName name="wrn.Complete." localSheetId="20" hidden="1">{#N/A,#N/A,FALSE,"SMT1";#N/A,#N/A,FALSE,"SMT2";#N/A,#N/A,FALSE,"Summary";#N/A,#N/A,FALSE,"Graphs";#N/A,#N/A,FALSE,"4 Panel"}</definedName>
    <definedName name="wrn.Complete." localSheetId="19" hidden="1">{#N/A,#N/A,FALSE,"SMT1";#N/A,#N/A,FALSE,"SMT2";#N/A,#N/A,FALSE,"Summary";#N/A,#N/A,FALSE,"Graphs";#N/A,#N/A,FALSE,"4 Panel"}</definedName>
    <definedName name="wrn.Complete." hidden="1">{#N/A,#N/A,FALSE,"SMT1";#N/A,#N/A,FALSE,"SMT2";#N/A,#N/A,FALSE,"Summary";#N/A,#N/A,FALSE,"Graphs";#N/A,#N/A,FALSE,"4 Panel"}</definedName>
    <definedName name="wrn.Complete._.Set." localSheetId="20" hidden="1">{#N/A,#N/A,FALSE,"Full";#N/A,#N/A,FALSE,"Half";#N/A,#N/A,FALSE,"Op Expenses";#N/A,#N/A,FALSE,"Cap Charge";#N/A,#N/A,FALSE,"Cost C";#N/A,#N/A,FALSE,"PP&amp;E";#N/A,#N/A,FALSE,"R&amp;D"}</definedName>
    <definedName name="wrn.Complete._.Set." localSheetId="19" hidden="1">{#N/A,#N/A,FALSE,"Full";#N/A,#N/A,FALSE,"Half";#N/A,#N/A,FALSE,"Op Expenses";#N/A,#N/A,FALSE,"Cap Charge";#N/A,#N/A,FALSE,"Cost C";#N/A,#N/A,FALSE,"PP&amp;E";#N/A,#N/A,FALSE,"R&amp;D"}</definedName>
    <definedName name="wrn.Complete._.Set." hidden="1">{#N/A,#N/A,FALSE,"Full";#N/A,#N/A,FALSE,"Half";#N/A,#N/A,FALSE,"Op Expenses";#N/A,#N/A,FALSE,"Cap Charge";#N/A,#N/A,FALSE,"Cost C";#N/A,#N/A,FALSE,"PP&amp;E";#N/A,#N/A,FALSE,"R&amp;D"}</definedName>
    <definedName name="wrn.condensate." localSheetId="20" hidden="1">{"condensate",#N/A,FALSE,"CNTRYTYPE"}</definedName>
    <definedName name="wrn.condensate." localSheetId="19" hidden="1">{"condensate",#N/A,FALSE,"CNTRYTYPE"}</definedName>
    <definedName name="wrn.condensate." hidden="1">{"condensate",#N/A,FALSE,"CNTRYTYPE"}</definedName>
    <definedName name="wrn.crude." localSheetId="20" hidden="1">{"Padd1crd",#N/A,FALSE,"REFINERY";"padd2crd",#N/A,FALSE,"REFINERY";"padd3crd",#N/A,FALSE,"REFINERY";"padd4crd",#N/A,FALSE,"REFINERY";"padd5crd",#N/A,FALSE,"REFINERY"}</definedName>
    <definedName name="wrn.crude." localSheetId="19" hidden="1">{"Padd1crd",#N/A,FALSE,"REFINERY";"padd2crd",#N/A,FALSE,"REFINERY";"padd3crd",#N/A,FALSE,"REFINERY";"padd4crd",#N/A,FALSE,"REFINERY";"padd5crd",#N/A,FALSE,"REFINERY"}</definedName>
    <definedName name="wrn.crude." hidden="1">{"Padd1crd",#N/A,FALSE,"REFINERY";"padd2crd",#N/A,FALSE,"REFINERY";"padd3crd",#N/A,FALSE,"REFINERY";"padd4crd",#N/A,FALSE,"REFINERY";"padd5crd",#N/A,FALSE,"REFINERY"}</definedName>
    <definedName name="wrn.DELTA." localSheetId="20" hidden="1">{"table II 1",#N/A,FALSE,"DTables";"table II 2",#N/A,FALSE,"DTables";"table III 3",#N/A,FALSE,"DTables";"table III 4",#N/A,FALSE,"DTables"}</definedName>
    <definedName name="wrn.DELTA." localSheetId="19" hidden="1">{"table II 1",#N/A,FALSE,"DTables";"table II 2",#N/A,FALSE,"DTables";"table III 3",#N/A,FALSE,"DTables";"table III 4",#N/A,FALSE,"DTables"}</definedName>
    <definedName name="wrn.DELTA." hidden="1">{"table II 1",#N/A,FALSE,"DTables";"table II 2",#N/A,FALSE,"DTables";"table III 3",#N/A,FALSE,"DTables";"table III 4",#N/A,FALSE,"DTables"}</definedName>
    <definedName name="wrn.Demand._.MT." localSheetId="20" hidden="1">{"Demand by Product MT",#N/A,TRUE,"PRDEMPOR";"Demand by Sector MT",#N/A,TRUE,"PRDEMPOR"}</definedName>
    <definedName name="wrn.Demand._.MT." localSheetId="19" hidden="1">{"Demand by Product MT",#N/A,TRUE,"PRDEMPOR";"Demand by Sector MT",#N/A,TRUE,"PRDEMPOR"}</definedName>
    <definedName name="wrn.Demand._.MT." hidden="1">{"Demand by Product MT",#N/A,TRUE,"PRDEMPOR";"Demand by Sector MT",#N/A,TRUE,"PRDEMPOR"}</definedName>
    <definedName name="wrn.Demand._.MTOE." localSheetId="20" hidden="1">{"Demand by Product MTOE",#N/A,TRUE,"PRDEMPOR";"Demand by Sector MTOE",#N/A,TRUE,"PRDEMPOR"}</definedName>
    <definedName name="wrn.Demand._.MTOE." localSheetId="19" hidden="1">{"Demand by Product MTOE",#N/A,TRUE,"PRDEMPOR";"Demand by Sector MTOE",#N/A,TRUE,"PRDEMPOR"}</definedName>
    <definedName name="wrn.Demand._.MTOE." hidden="1">{"Demand by Product MTOE",#N/A,TRUE,"PRDEMPOR";"Demand by Sector MTOE",#N/A,TRUE,"PRDEMPOR"}</definedName>
    <definedName name="wrn.GASCOND." localSheetId="20" hidden="1">{"GASCOND",#N/A,FALSE,"CONDENSATE";"CRUDECOND",#N/A,FALSE,"CONDENSATE";"TOTALCOND",#N/A,FALSE,"CONDENSATE"}</definedName>
    <definedName name="wrn.GASCOND." localSheetId="19" hidden="1">{"GASCOND",#N/A,FALSE,"CONDENSATE";"CRUDECOND",#N/A,FALSE,"CONDENSATE";"TOTALCOND",#N/A,FALSE,"CONDENSATE"}</definedName>
    <definedName name="wrn.GASCOND." hidden="1">{"GASCOND",#N/A,FALSE,"CONDENSATE";"CRUDECOND",#N/A,FALSE,"CONDENSATE";"TOTALCOND",#N/A,FALSE,"CONDENSATE"}</definedName>
    <definedName name="wrn.GASODEM." localSheetId="20" hidden="1">{"monthly",#N/A,FALSE,"GASODEM";"qtr to yr",#N/A,FALSE,"GASODEM"}</definedName>
    <definedName name="wrn.GASODEM." localSheetId="19" hidden="1">{"monthly",#N/A,FALSE,"GASODEM";"qtr to yr",#N/A,FALSE,"GASODEM"}</definedName>
    <definedName name="wrn.GASODEM." hidden="1">{"monthly",#N/A,FALSE,"GASODEM";"qtr to yr",#N/A,FALSE,"GASODEM"}</definedName>
    <definedName name="wrn.heavy." localSheetId="20" hidden="1">{"heavy",#N/A,FALSE,"CNTRYTYPE"}</definedName>
    <definedName name="wrn.heavy." localSheetId="19" hidden="1">{"heavy",#N/A,FALSE,"CNTRYTYPE"}</definedName>
    <definedName name="wrn.heavy." hidden="1">{"heavy",#N/A,FALSE,"CNTRYTYPE"}</definedName>
    <definedName name="wrn.Input._.and._.Growths." localSheetId="20" hidden="1">{"Product Demands Input",#N/A,TRUE,"PRDEMPOR";"Annual Growth Rates",#N/A,TRUE,"PRDEMPOR"}</definedName>
    <definedName name="wrn.Input._.and._.Growths." localSheetId="19" hidden="1">{"Product Demands Input",#N/A,TRUE,"PRDEMPOR";"Annual Growth Rates",#N/A,TRUE,"PRDEMPOR"}</definedName>
    <definedName name="wrn.Input._.and._.Growths." hidden="1">{"Product Demands Input",#N/A,TRUE,"PRDEMPOR";"Annual Growth Rates",#N/A,TRUE,"PRDEMPOR"}</definedName>
    <definedName name="wrn.light._.sour." localSheetId="20" hidden="1">{"light sour",#N/A,FALSE,"CNTRYTYPE"}</definedName>
    <definedName name="wrn.light._.sour." localSheetId="19" hidden="1">{"light sour",#N/A,FALSE,"CNTRYTYPE"}</definedName>
    <definedName name="wrn.light._.sour." hidden="1">{"light sour",#N/A,FALSE,"CNTRYTYPE"}</definedName>
    <definedName name="wrn.New._.York." localSheetId="20" hidden="1">{"NY PRICES",#N/A,FALSE,"CURRENT";"NY PRICES B",#N/A,FALSE,"CURRENT";"NY PRICES",#N/A,FALSE,"CONSTANT";"NY PRICES B",#N/A,FALSE,"CONSTANT"}</definedName>
    <definedName name="wrn.New._.York." localSheetId="19" hidden="1">{"NY PRICES",#N/A,FALSE,"CURRENT";"NY PRICES B",#N/A,FALSE,"CURRENT";"NY PRICES",#N/A,FALSE,"CONSTANT";"NY PRICES B",#N/A,FALSE,"CONSTANT"}</definedName>
    <definedName name="wrn.New._.York." hidden="1">{"NY PRICES",#N/A,FALSE,"CURRENT";"NY PRICES B",#N/A,FALSE,"CURRENT";"NY PRICES",#N/A,FALSE,"CONSTANT";"NY PRICES B",#N/A,FALSE,"CONSTANT"}</definedName>
    <definedName name="wrn.NWE._.1995." localSheetId="20" hidden="1">{"input",#N/A,TRUE,"1995 Quality";"basedata",#N/A,TRUE,"1995 Quality";"diff",#N/A,TRUE,"1995 Quality"}</definedName>
    <definedName name="wrn.NWE._.1995." localSheetId="19" hidden="1">{"input",#N/A,TRUE,"1995 Quality";"basedata",#N/A,TRUE,"1995 Quality";"diff",#N/A,TRUE,"1995 Quality"}</definedName>
    <definedName name="wrn.NWE._.1995." hidden="1">{"input",#N/A,TRUE,"1995 Quality";"basedata",#N/A,TRUE,"1995 Quality";"diff",#N/A,TRUE,"1995 Quality"}</definedName>
    <definedName name="wrn.NWE._.2000." localSheetId="20" hidden="1">{"input",#N/A,FALSE,"Year 2000";"basedata",#N/A,FALSE,"Year 2000";"diff",#N/A,FALSE,"Year 2000"}</definedName>
    <definedName name="wrn.NWE._.2000." localSheetId="19" hidden="1">{"input",#N/A,FALSE,"Year 2000";"basedata",#N/A,FALSE,"Year 2000";"diff",#N/A,FALSE,"Year 2000"}</definedName>
    <definedName name="wrn.NWE._.2000." hidden="1">{"input",#N/A,FALSE,"Year 2000";"basedata",#N/A,FALSE,"Year 2000";"diff",#N/A,FALSE,"Year 2000"}</definedName>
    <definedName name="wrn.print." localSheetId="20" hidden="1">{"yields",#N/A,TRUE,"Yields";"diff",#N/A,TRUE,"Differentials"}</definedName>
    <definedName name="wrn.print." localSheetId="19" hidden="1">{"yields",#N/A,TRUE,"Yields";"diff",#N/A,TRUE,"Differentials"}</definedName>
    <definedName name="wrn.print." hidden="1">{"yields",#N/A,TRUE,"Yields";"diff",#N/A,TRUE,"Differentials"}</definedName>
    <definedName name="wrn.Print._.Plots." localSheetId="20" hidden="1">{"Plot1",#N/A,FALSE,"Plots";"plot2",#N/A,FALSE,"Plots";"plot3",#N/A,FALSE,"Plots";"plot4",#N/A,FALSE,"Plots";"plot5",#N/A,FALSE,"Plots";"plot6",#N/A,FALSE,"Plots"}</definedName>
    <definedName name="wrn.Print._.Plots." localSheetId="19" hidden="1">{"Plot1",#N/A,FALSE,"Plots";"plot2",#N/A,FALSE,"Plots";"plot3",#N/A,FALSE,"Plots";"plot4",#N/A,FALSE,"Plots";"plot5",#N/A,FALSE,"Plots";"plot6",#N/A,FALSE,"Plots"}</definedName>
    <definedName name="wrn.Print._.Plots." hidden="1">{"Plot1",#N/A,FALSE,"Plots";"plot2",#N/A,FALSE,"Plots";"plot3",#N/A,FALSE,"Plots";"plot4",#N/A,FALSE,"Plots";"plot5",#N/A,FALSE,"Plots";"plot6",#N/A,FALSE,"Plots"}</definedName>
    <definedName name="wrn.PRODTABLES." localSheetId="20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" localSheetId="19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REFINERY." localSheetId="20" hidden="1">{"Padd I to III",#N/A,FALSE,"REFINERY";"Padd IV to US",#N/A,FALSE,"REFINERY";"Crude Balance I",#N/A,FALSE,"REFINERY";"Crude Balance II",#N/A,FALSE,"REFINERY"}</definedName>
    <definedName name="wrn.REFINERY." localSheetId="19" hidden="1">{"Padd I to III",#N/A,FALSE,"REFINERY";"Padd IV to US",#N/A,FALSE,"REFINERY";"Crude Balance I",#N/A,FALSE,"REFINERY";"Crude Balance II",#N/A,FALSE,"REFINERY"}</definedName>
    <definedName name="wrn.REFINERY." hidden="1">{"Padd I to III",#N/A,FALSE,"REFINERY";"Padd IV to US",#N/A,FALSE,"REFINERY";"Crude Balance I",#N/A,FALSE,"REFINERY";"Crude Balance II",#N/A,FALSE,"REFINERY"}</definedName>
    <definedName name="wrn.region." localSheetId="20" hidden="1">{"Region",#N/A,FALSE,"CNTRYTYPE"}</definedName>
    <definedName name="wrn.region." localSheetId="19" hidden="1">{"Region",#N/A,FALSE,"CNTRYTYPE"}</definedName>
    <definedName name="wrn.region." hidden="1">{"Region",#N/A,FALSE,"CNTRYTYPE"}</definedName>
    <definedName name="wrn.report." localSheetId="20" hidden="1">{#N/A,#N/A,FALSE,"Summary_netback";#N/A,#N/A,FALSE,"Summary_value"}</definedName>
    <definedName name="wrn.report." localSheetId="19" hidden="1">{#N/A,#N/A,FALSE,"Summary_netback";#N/A,#N/A,FALSE,"Summary_value"}</definedName>
    <definedName name="wrn.report." hidden="1">{#N/A,#N/A,FALSE,"Summary_netback";#N/A,#N/A,FALSE,"Summary_value"}</definedName>
    <definedName name="wrn.SAMPLE." localSheetId="20" hidden="1">{#N/A,#N/A,TRUE,"Crude";#N/A,#N/A,TRUE,"Products"}</definedName>
    <definedName name="wrn.SAMPLE." localSheetId="19" hidden="1">{#N/A,#N/A,TRUE,"Crude";#N/A,#N/A,TRUE,"Products"}</definedName>
    <definedName name="wrn.SAMPLE." hidden="1">{#N/A,#N/A,TRUE,"Crude";#N/A,#N/A,TRUE,"Products"}</definedName>
    <definedName name="wrn.SUBREGION." localSheetId="20" hidden="1">{"SUBREGION",#N/A,FALSE,"CNTRYTYPE"}</definedName>
    <definedName name="wrn.SUBREGION." localSheetId="19" hidden="1">{"SUBREGION",#N/A,FALSE,"CNTRYTYPE"}</definedName>
    <definedName name="wrn.SUBREGION." hidden="1">{"SUBREGION",#N/A,FALSE,"CNTRYTYPE"}</definedName>
    <definedName name="wrn.Summary." localSheetId="20" hidden="1">{"Growth Supply Demand",#N/A,TRUE,"Summary";"Primary Energy Balance",#N/A,TRUE,"Summary"}</definedName>
    <definedName name="wrn.Summary." localSheetId="19" hidden="1">{"Growth Supply Demand",#N/A,TRUE,"Summary";"Primary Energy Balance",#N/A,TRUE,"Summary"}</definedName>
    <definedName name="wrn.Summary." hidden="1">{"Growth Supply Demand",#N/A,TRUE,"Summary";"Primary Energy Balance",#N/A,TRUE,"Summary"}</definedName>
    <definedName name="wrn.sweet." localSheetId="20" hidden="1">{"sweet",#N/A,FALSE,"CNTRYTYPE"}</definedName>
    <definedName name="wrn.sweet." localSheetId="19" hidden="1">{"sweet",#N/A,FALSE,"CNTRYTYPE"}</definedName>
    <definedName name="wrn.sweet." hidden="1">{"sweet",#N/A,FALSE,"CNTRYTYPE"}</definedName>
    <definedName name="wrn.Tables." localSheetId="20" hidden="1">{"Current",#N/A,FALSE,"Currentcal";"Current B",#N/A,FALSE,"Currentcal";"Constant",#N/A,FALSE,"Constantcal";"Constant B",#N/A,FALSE,"Constantcal"}</definedName>
    <definedName name="wrn.Tables." localSheetId="19" hidden="1">{"Current",#N/A,FALSE,"Currentcal";"Current B",#N/A,FALSE,"Currentcal";"Constant",#N/A,FALSE,"Constantcal";"Constant B",#N/A,FALSE,"Constantcal"}</definedName>
    <definedName name="wrn.Tables." hidden="1">{"Current",#N/A,FALSE,"Currentcal";"Current B",#N/A,FALSE,"Currentcal";"Constant",#N/A,FALSE,"Constantcal";"Constant B",#N/A,FALSE,"Constantcal"}</definedName>
    <definedName name="wrn.total." localSheetId="20" hidden="1">{"total",#N/A,FALSE,"CNTRYTYPE"}</definedName>
    <definedName name="wrn.total." localSheetId="19" hidden="1">{"total",#N/A,FALSE,"CNTRYTYPE"}</definedName>
    <definedName name="wrn.total." hidden="1">{"total",#N/A,FALSE,"CNTRYTYPE"}</definedName>
    <definedName name="wrn2.all" localSheetId="20" hidden="1">{"PAGE1",#N/A,FALSE,"YIELDS";"PAGE2",#N/A,FALSE,"YIELDS";"PAGE3",#N/A,FALSE,"YIELDS"}</definedName>
    <definedName name="wrn2.all" localSheetId="19" hidden="1">{"PAGE1",#N/A,FALSE,"YIELDS";"PAGE2",#N/A,FALSE,"YIELDS";"PAGE3",#N/A,FALSE,"YIELDS"}</definedName>
    <definedName name="wrn2.all" hidden="1">{"PAGE1",#N/A,FALSE,"YIELDS";"PAGE2",#N/A,FALSE,"YIELDS";"PAGE3",#N/A,FALSE,"YIELDS"}</definedName>
    <definedName name="wrn2.all." localSheetId="20" hidden="1">{"PAGE1",#N/A,FALSE,"YIELDS";"PAGE2",#N/A,FALSE,"YIELDS";"PAGE3",#N/A,FALSE,"YIELDS"}</definedName>
    <definedName name="wrn2.all." localSheetId="19" hidden="1">{"PAGE1",#N/A,FALSE,"YIELDS";"PAGE2",#N/A,FALSE,"YIELDS";"PAGE3",#N/A,FALSE,"YIELDS"}</definedName>
    <definedName name="wrn2.all." hidden="1">{"PAGE1",#N/A,FALSE,"YIELDS";"PAGE2",#N/A,FALSE,"YIELDS";"PAGE3",#N/A,FALSE,"YIELDS"}</definedName>
    <definedName name="wrn2.gasodem." localSheetId="20" hidden="1">{"monthly",#N/A,FALSE,"GASODEM";"qtr to yr",#N/A,FALSE,"GASODEM"}</definedName>
    <definedName name="wrn2.gasodem." localSheetId="19" hidden="1">{"monthly",#N/A,FALSE,"GASODEM";"qtr to yr",#N/A,FALSE,"GASODEM"}</definedName>
    <definedName name="wrn2.gasodem." hidden="1">{"monthly",#N/A,FALSE,"GASODEM";"qtr to yr",#N/A,FALSE,"GASODEM"}</definedName>
    <definedName name="xx">#REF!</definedName>
    <definedName name="xxx" localSheetId="20" hidden="1">{#N/A,#N/A,FALSE,"SMT1";#N/A,#N/A,FALSE,"SMT2";#N/A,#N/A,FALSE,"Summary";#N/A,#N/A,FALSE,"Graphs";#N/A,#N/A,FALSE,"4 Panel"}</definedName>
    <definedName name="xxx" localSheetId="19" hidden="1">{#N/A,#N/A,FALSE,"SMT1";#N/A,#N/A,FALSE,"SMT2";#N/A,#N/A,FALSE,"Summary";#N/A,#N/A,FALSE,"Graphs";#N/A,#N/A,FALSE,"4 Panel"}</definedName>
    <definedName name="xxx" hidden="1">{#N/A,#N/A,FALSE,"SMT1";#N/A,#N/A,FALSE,"SMT2";#N/A,#N/A,FALSE,"Summary";#N/A,#N/A,FALSE,"Graphs";#N/A,#N/A,FALSE,"4 Panel"}</definedName>
    <definedName name="xxxxx" localSheetId="20" hidden="1">{"monthly",#N/A,FALSE,"GASODEM";"qtr to yr",#N/A,FALSE,"GASODEM"}</definedName>
    <definedName name="xxxxx" localSheetId="19" hidden="1">{"monthly",#N/A,FALSE,"GASODEM";"qtr to yr",#N/A,FALSE,"GASODEM"}</definedName>
    <definedName name="xxxxx" hidden="1">{"monthly",#N/A,FALSE,"GASODEM";"qtr to yr",#N/A,FALSE,"GASODEM"}</definedName>
    <definedName name="zz">[1]Cover!$C$12</definedName>
    <definedName name="zzz">[1]Cover!$C$10</definedName>
    <definedName name="ปส.">#REF!</definedName>
    <definedName name="พค.">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  <pivotCache cacheId="5" r:id="rId46"/>
    <pivotCache cacheId="6" r:id="rId4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33" l="1"/>
  <c r="E22" i="33"/>
  <c r="F22" i="33"/>
  <c r="G22" i="33"/>
  <c r="H22" i="33"/>
  <c r="I22" i="33"/>
  <c r="J22" i="33"/>
  <c r="K22" i="33"/>
  <c r="L22" i="33"/>
  <c r="M22" i="33"/>
  <c r="N22" i="33"/>
  <c r="O22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D25" i="33"/>
  <c r="E25" i="33"/>
  <c r="F25" i="33"/>
  <c r="G25" i="33"/>
  <c r="H25" i="33"/>
  <c r="I25" i="33"/>
  <c r="D26" i="33"/>
  <c r="E26" i="33"/>
  <c r="F26" i="33"/>
  <c r="G26" i="33"/>
  <c r="H26" i="33"/>
  <c r="I26" i="33"/>
  <c r="K26" i="33"/>
  <c r="L26" i="33"/>
  <c r="M26" i="33"/>
  <c r="N26" i="33"/>
  <c r="O26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D30" i="33"/>
  <c r="E30" i="33"/>
  <c r="F30" i="33"/>
  <c r="G30" i="33"/>
  <c r="H30" i="33"/>
  <c r="I30" i="33"/>
  <c r="J30" i="33"/>
  <c r="K30" i="33"/>
  <c r="L30" i="33"/>
  <c r="M30" i="33"/>
  <c r="N30" i="33"/>
  <c r="O30" i="33"/>
  <c r="D31" i="33"/>
  <c r="E31" i="33"/>
  <c r="F31" i="33"/>
  <c r="G31" i="33"/>
  <c r="H31" i="33"/>
  <c r="I31" i="33"/>
  <c r="J31" i="33"/>
  <c r="K31" i="33"/>
  <c r="L31" i="33"/>
  <c r="M31" i="33"/>
  <c r="N31" i="33"/>
  <c r="O31" i="33"/>
  <c r="D32" i="33"/>
  <c r="E32" i="33"/>
  <c r="F32" i="33"/>
  <c r="G32" i="33"/>
  <c r="H32" i="33"/>
  <c r="I32" i="33"/>
  <c r="J32" i="33"/>
  <c r="K32" i="33"/>
  <c r="L32" i="33"/>
  <c r="M32" i="33"/>
  <c r="N32" i="33"/>
  <c r="O32" i="33"/>
  <c r="D33" i="33"/>
  <c r="E33" i="33"/>
  <c r="F33" i="33"/>
  <c r="G33" i="33"/>
  <c r="H33" i="33"/>
  <c r="I33" i="33"/>
  <c r="J33" i="33"/>
  <c r="K33" i="33"/>
  <c r="L33" i="33"/>
  <c r="M33" i="33"/>
  <c r="N33" i="33"/>
  <c r="O33" i="33"/>
  <c r="D34" i="33"/>
  <c r="E34" i="33"/>
  <c r="F34" i="33"/>
  <c r="G34" i="33"/>
  <c r="H34" i="33"/>
  <c r="I34" i="33"/>
  <c r="J34" i="33"/>
  <c r="K34" i="33"/>
  <c r="L34" i="33"/>
  <c r="M34" i="33"/>
  <c r="N34" i="33"/>
  <c r="O34" i="33"/>
  <c r="D35" i="33"/>
  <c r="E35" i="33"/>
  <c r="F35" i="33"/>
  <c r="G35" i="33"/>
  <c r="H35" i="33"/>
  <c r="I35" i="33"/>
  <c r="J35" i="33"/>
  <c r="K35" i="33"/>
  <c r="L35" i="33"/>
  <c r="M35" i="33"/>
  <c r="N35" i="33"/>
  <c r="O35" i="33"/>
  <c r="D36" i="33"/>
  <c r="E36" i="33"/>
  <c r="F36" i="33"/>
  <c r="G36" i="33"/>
  <c r="H36" i="33"/>
  <c r="I36" i="33"/>
  <c r="J36" i="33"/>
  <c r="K36" i="33"/>
  <c r="L36" i="33"/>
  <c r="M36" i="33"/>
  <c r="N36" i="33"/>
  <c r="O36" i="33"/>
  <c r="D37" i="33"/>
  <c r="E37" i="33"/>
  <c r="F37" i="33"/>
  <c r="G37" i="33"/>
  <c r="H37" i="33"/>
  <c r="I37" i="33"/>
  <c r="J37" i="33"/>
  <c r="K37" i="33"/>
  <c r="L37" i="33"/>
  <c r="M37" i="33"/>
  <c r="N37" i="33"/>
  <c r="O37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K20" i="1"/>
  <c r="L20" i="1"/>
  <c r="M20" i="1"/>
  <c r="N20" i="1"/>
  <c r="O20" i="1"/>
  <c r="P20" i="1"/>
  <c r="J26" i="33"/>
  <c r="K25" i="33" l="1"/>
  <c r="L25" i="33"/>
  <c r="M25" i="33"/>
  <c r="N25" i="33"/>
  <c r="O25" i="33"/>
  <c r="J25" i="33"/>
  <c r="G6" i="33" l="1"/>
  <c r="D6" i="33"/>
  <c r="E6" i="33"/>
  <c r="F6" i="33"/>
  <c r="C6" i="33"/>
  <c r="V121" i="13" l="1"/>
  <c r="G20" i="10"/>
  <c r="H20" i="10"/>
  <c r="I20" i="10"/>
  <c r="G21" i="10"/>
  <c r="H21" i="10"/>
  <c r="I21" i="10"/>
  <c r="F20" i="10"/>
  <c r="F21" i="10"/>
  <c r="E95" i="10"/>
  <c r="E20" i="10"/>
  <c r="E21" i="10"/>
  <c r="U3" i="13" l="1"/>
  <c r="U15" i="13" l="1"/>
  <c r="I143" i="10" l="1"/>
  <c r="I143" i="9"/>
  <c r="I134" i="10" l="1"/>
  <c r="H151" i="10" l="1"/>
  <c r="I151" i="10"/>
  <c r="H148" i="10"/>
  <c r="I52" i="9"/>
  <c r="V18" i="10" l="1"/>
  <c r="W18" i="10"/>
  <c r="X18" i="10"/>
  <c r="V17" i="10"/>
  <c r="W17" i="10"/>
  <c r="X17" i="10"/>
  <c r="U18" i="10"/>
  <c r="U17" i="10"/>
  <c r="I68" i="10" l="1"/>
  <c r="I132" i="10"/>
  <c r="I133" i="10"/>
  <c r="I50" i="10" l="1"/>
  <c r="I67" i="10"/>
  <c r="I69" i="10"/>
  <c r="G35" i="10" l="1"/>
  <c r="H35" i="10"/>
  <c r="E17" i="33" l="1"/>
  <c r="D17" i="33"/>
  <c r="C17" i="33"/>
  <c r="E16" i="33"/>
  <c r="D16" i="33"/>
  <c r="C16" i="33"/>
  <c r="E15" i="33"/>
  <c r="D15" i="33"/>
  <c r="C15" i="33"/>
  <c r="E14" i="33"/>
  <c r="D14" i="33"/>
  <c r="C14" i="33"/>
  <c r="E13" i="33"/>
  <c r="D13" i="33"/>
  <c r="C13" i="33"/>
  <c r="E12" i="33"/>
  <c r="D12" i="33"/>
  <c r="C12" i="33"/>
  <c r="Q160" i="13" l="1"/>
  <c r="Q163" i="13"/>
  <c r="Q166" i="13" l="1"/>
  <c r="G18" i="13" l="1"/>
  <c r="H4" i="8" l="1"/>
  <c r="H8" i="8" s="1"/>
  <c r="H37" i="9" l="1"/>
  <c r="F197" i="1" l="1"/>
  <c r="G197" i="1"/>
  <c r="H197" i="1"/>
  <c r="I197" i="1"/>
  <c r="J197" i="1"/>
  <c r="K197" i="1"/>
  <c r="L197" i="1"/>
  <c r="M197" i="1"/>
  <c r="N197" i="1"/>
  <c r="O197" i="1"/>
  <c r="P197" i="1"/>
  <c r="E197" i="1"/>
  <c r="F191" i="1"/>
  <c r="G191" i="1"/>
  <c r="H191" i="1"/>
  <c r="I191" i="1"/>
  <c r="J191" i="1"/>
  <c r="K191" i="1"/>
  <c r="L191" i="1"/>
  <c r="M191" i="1"/>
  <c r="N191" i="1"/>
  <c r="O191" i="1"/>
  <c r="P191" i="1"/>
  <c r="E191" i="1"/>
  <c r="C169" i="1"/>
  <c r="C181" i="1" s="1"/>
  <c r="C170" i="1"/>
  <c r="C182" i="1" s="1"/>
  <c r="C171" i="1"/>
  <c r="C183" i="1" s="1"/>
  <c r="C172" i="1"/>
  <c r="C184" i="1" s="1"/>
  <c r="C173" i="1"/>
  <c r="C185" i="1" s="1"/>
  <c r="C168" i="1"/>
  <c r="C180" i="1" s="1"/>
  <c r="F179" i="1"/>
  <c r="F198" i="1" s="1"/>
  <c r="F175" i="1"/>
  <c r="F194" i="1" s="1"/>
  <c r="G175" i="1"/>
  <c r="G194" i="1" s="1"/>
  <c r="E175" i="1"/>
  <c r="E194" i="1" s="1"/>
  <c r="F176" i="1"/>
  <c r="G176" i="1"/>
  <c r="H176" i="1"/>
  <c r="H195" i="1" s="1"/>
  <c r="I176" i="1"/>
  <c r="I195" i="1" s="1"/>
  <c r="J176" i="1"/>
  <c r="J195" i="1" s="1"/>
  <c r="K176" i="1"/>
  <c r="K195" i="1" s="1"/>
  <c r="L176" i="1"/>
  <c r="L195" i="1" s="1"/>
  <c r="M176" i="1"/>
  <c r="M195" i="1" s="1"/>
  <c r="N176" i="1"/>
  <c r="N195" i="1" s="1"/>
  <c r="O176" i="1"/>
  <c r="O195" i="1" s="1"/>
  <c r="P176" i="1"/>
  <c r="P195" i="1" s="1"/>
  <c r="E176" i="1"/>
  <c r="E195" i="1" s="1"/>
  <c r="F168" i="1"/>
  <c r="F170" i="1" s="1"/>
  <c r="F182" i="1" s="1"/>
  <c r="G168" i="1"/>
  <c r="G171" i="1" s="1"/>
  <c r="G183" i="1" s="1"/>
  <c r="H168" i="1"/>
  <c r="H169" i="1" s="1"/>
  <c r="H172" i="1" s="1"/>
  <c r="I168" i="1"/>
  <c r="I169" i="1" s="1"/>
  <c r="I172" i="1" s="1"/>
  <c r="J168" i="1"/>
  <c r="J170" i="1" s="1"/>
  <c r="K168" i="1"/>
  <c r="K171" i="1" s="1"/>
  <c r="L168" i="1"/>
  <c r="L169" i="1" s="1"/>
  <c r="L172" i="1" s="1"/>
  <c r="M168" i="1"/>
  <c r="M169" i="1" s="1"/>
  <c r="M172" i="1" s="1"/>
  <c r="N168" i="1"/>
  <c r="N170" i="1" s="1"/>
  <c r="O168" i="1"/>
  <c r="O171" i="1" s="1"/>
  <c r="P168" i="1"/>
  <c r="P171" i="1" s="1"/>
  <c r="E168" i="1"/>
  <c r="E180" i="1" s="1"/>
  <c r="J171" i="1" l="1"/>
  <c r="F171" i="1"/>
  <c r="F183" i="1" s="1"/>
  <c r="E169" i="1"/>
  <c r="E181" i="1" s="1"/>
  <c r="M170" i="1"/>
  <c r="N171" i="1"/>
  <c r="I170" i="1"/>
  <c r="P169" i="1"/>
  <c r="P172" i="1" s="1"/>
  <c r="E170" i="1"/>
  <c r="E182" i="1" s="1"/>
  <c r="O173" i="1"/>
  <c r="K173" i="1"/>
  <c r="G173" i="1"/>
  <c r="G185" i="1" s="1"/>
  <c r="M171" i="1"/>
  <c r="I171" i="1"/>
  <c r="P170" i="1"/>
  <c r="L170" i="1"/>
  <c r="H170" i="1"/>
  <c r="O169" i="1"/>
  <c r="O172" i="1" s="1"/>
  <c r="K169" i="1"/>
  <c r="K172" i="1" s="1"/>
  <c r="G169" i="1"/>
  <c r="G172" i="1" s="1"/>
  <c r="G184" i="1" s="1"/>
  <c r="G180" i="1"/>
  <c r="G195" i="1"/>
  <c r="P173" i="1"/>
  <c r="H173" i="1"/>
  <c r="E171" i="1"/>
  <c r="E183" i="1" s="1"/>
  <c r="N173" i="1"/>
  <c r="J173" i="1"/>
  <c r="F173" i="1"/>
  <c r="F185" i="1" s="1"/>
  <c r="L171" i="1"/>
  <c r="H171" i="1"/>
  <c r="O170" i="1"/>
  <c r="K170" i="1"/>
  <c r="G170" i="1"/>
  <c r="G182" i="1" s="1"/>
  <c r="N169" i="1"/>
  <c r="J169" i="1"/>
  <c r="F169" i="1"/>
  <c r="F181" i="1" s="1"/>
  <c r="F180" i="1"/>
  <c r="F195" i="1"/>
  <c r="L173" i="1"/>
  <c r="E173" i="1"/>
  <c r="E185" i="1" s="1"/>
  <c r="E172" i="1"/>
  <c r="E184" i="1" s="1"/>
  <c r="M173" i="1"/>
  <c r="I173" i="1"/>
  <c r="E174" i="1" l="1"/>
  <c r="E193" i="1" s="1"/>
  <c r="G181" i="1"/>
  <c r="G186" i="1" s="1"/>
  <c r="G199" i="1" s="1"/>
  <c r="E186" i="1"/>
  <c r="E199" i="1" s="1"/>
  <c r="G174" i="1"/>
  <c r="G193" i="1" s="1"/>
  <c r="N172" i="1"/>
  <c r="F172" i="1"/>
  <c r="F184" i="1" s="1"/>
  <c r="F186" i="1" s="1"/>
  <c r="F199" i="1" s="1"/>
  <c r="J172" i="1"/>
  <c r="F174" i="1" l="1"/>
  <c r="F193" i="1" s="1"/>
  <c r="F95" i="10" l="1"/>
  <c r="D22" i="32" l="1"/>
  <c r="E22" i="32"/>
  <c r="F22" i="32"/>
  <c r="G22" i="32"/>
  <c r="H22" i="32"/>
  <c r="I22" i="32"/>
  <c r="J22" i="32"/>
  <c r="K22" i="32"/>
  <c r="L22" i="32"/>
  <c r="M22" i="32"/>
  <c r="N22" i="32"/>
  <c r="C22" i="32"/>
  <c r="D20" i="32"/>
  <c r="D8" i="32" l="1"/>
  <c r="E8" i="32"/>
  <c r="C8" i="32"/>
  <c r="D7" i="32"/>
  <c r="E7" i="32"/>
  <c r="C7" i="32"/>
  <c r="D6" i="32"/>
  <c r="E6" i="32"/>
  <c r="C6" i="32"/>
  <c r="D5" i="32"/>
  <c r="E5" i="32"/>
  <c r="F5" i="32"/>
  <c r="C5" i="32"/>
  <c r="D4" i="32"/>
  <c r="E4" i="32"/>
  <c r="F4" i="32"/>
  <c r="C4" i="32"/>
  <c r="D3" i="32"/>
  <c r="E3" i="32"/>
  <c r="F3" i="32"/>
  <c r="C3" i="32"/>
  <c r="C2" i="32" l="1"/>
  <c r="C9" i="32"/>
  <c r="E2" i="32"/>
  <c r="F2" i="32"/>
  <c r="D2" i="32"/>
  <c r="E9" i="32"/>
  <c r="D9" i="32"/>
  <c r="D18" i="32"/>
  <c r="E18" i="32"/>
  <c r="C18" i="32"/>
  <c r="D17" i="32"/>
  <c r="E17" i="32"/>
  <c r="F17" i="32"/>
  <c r="C17" i="32"/>
  <c r="H50" i="10" l="1"/>
  <c r="H52" i="10"/>
  <c r="H51" i="10"/>
  <c r="H133" i="10" l="1"/>
  <c r="G50" i="10" l="1"/>
  <c r="H68" i="10" l="1"/>
  <c r="H67" i="10" l="1"/>
  <c r="H69" i="10"/>
  <c r="C18" i="31"/>
  <c r="C12" i="32" s="1"/>
  <c r="D18" i="31"/>
  <c r="D12" i="32" s="1"/>
  <c r="E18" i="31"/>
  <c r="E12" i="32" s="1"/>
  <c r="D16" i="31"/>
  <c r="E16" i="31"/>
  <c r="C16" i="31"/>
  <c r="E144" i="10"/>
  <c r="U13" i="10" s="1"/>
  <c r="E15" i="31"/>
  <c r="D15" i="31"/>
  <c r="C15" i="31"/>
  <c r="D19" i="31"/>
  <c r="C19" i="31"/>
  <c r="C12" i="31"/>
  <c r="C14" i="31" l="1"/>
  <c r="C11" i="32"/>
  <c r="D14" i="31"/>
  <c r="D12" i="31"/>
  <c r="E12" i="31"/>
  <c r="D13" i="31"/>
  <c r="E13" i="31"/>
  <c r="C13" i="31"/>
  <c r="D9" i="31"/>
  <c r="E9" i="31"/>
  <c r="D10" i="31"/>
  <c r="E10" i="31"/>
  <c r="F10" i="31"/>
  <c r="C10" i="31"/>
  <c r="C9" i="31"/>
  <c r="D8" i="31" l="1"/>
  <c r="E8" i="31"/>
  <c r="C8" i="31"/>
  <c r="E69" i="9"/>
  <c r="E18" i="13" l="1"/>
  <c r="E19" i="13" s="1"/>
  <c r="E24" i="13" s="1"/>
  <c r="K53" i="1" l="1"/>
  <c r="N26" i="1" l="1"/>
  <c r="U14" i="10" l="1"/>
  <c r="H20" i="1" l="1"/>
  <c r="H180" i="1" l="1"/>
  <c r="H188" i="1"/>
  <c r="H201" i="1" s="1"/>
  <c r="H182" i="1"/>
  <c r="H185" i="1"/>
  <c r="H181" i="1"/>
  <c r="G19" i="13"/>
  <c r="G24" i="13" s="1"/>
  <c r="G95" i="9" l="1"/>
  <c r="G95" i="10" l="1"/>
  <c r="E4" i="31" l="1"/>
  <c r="E20" i="32"/>
  <c r="G95" i="1"/>
  <c r="G117" i="9"/>
  <c r="G24" i="9" s="1"/>
  <c r="G35" i="9"/>
  <c r="G179" i="1" s="1"/>
  <c r="G198" i="1" s="1"/>
  <c r="G117" i="10"/>
  <c r="G24" i="10" s="1"/>
  <c r="E7" i="31" l="1"/>
  <c r="E23" i="32"/>
  <c r="G117" i="1"/>
  <c r="G142" i="10"/>
  <c r="F8" i="32" l="1"/>
  <c r="A120" i="13" l="1"/>
  <c r="A121" i="13"/>
  <c r="A120" i="11"/>
  <c r="A121" i="11"/>
  <c r="A120" i="10"/>
  <c r="Q120" i="10"/>
  <c r="A121" i="10"/>
  <c r="Q121" i="10"/>
  <c r="A121" i="9"/>
  <c r="A98" i="11" l="1"/>
  <c r="A98" i="13"/>
  <c r="A98" i="10"/>
  <c r="Q98" i="10"/>
  <c r="F13" i="13" l="1"/>
  <c r="F18" i="13" l="1"/>
  <c r="F19" i="13" s="1"/>
  <c r="F24" i="13" s="1"/>
  <c r="V76" i="9" l="1"/>
  <c r="V83" i="9" s="1"/>
  <c r="G126" i="16" l="1"/>
  <c r="H126" i="16"/>
  <c r="I126" i="16"/>
  <c r="I148" i="10" s="1"/>
  <c r="J126" i="16"/>
  <c r="K126" i="16"/>
  <c r="L126" i="16"/>
  <c r="M126" i="16"/>
  <c r="N126" i="16"/>
  <c r="O126" i="16"/>
  <c r="P126" i="16"/>
  <c r="E126" i="16"/>
  <c r="F117" i="9" l="1"/>
  <c r="F51" i="9"/>
  <c r="D117" i="10" l="1"/>
  <c r="E117" i="10"/>
  <c r="F117" i="10"/>
  <c r="D4" i="31"/>
  <c r="F51" i="10"/>
  <c r="F24" i="10" l="1"/>
  <c r="D95" i="10" l="1"/>
  <c r="E44" i="14" l="1"/>
  <c r="F44" i="14"/>
  <c r="G44" i="14"/>
  <c r="H44" i="14"/>
  <c r="I44" i="14"/>
  <c r="J44" i="14"/>
  <c r="K44" i="14"/>
  <c r="L44" i="14"/>
  <c r="M44" i="14"/>
  <c r="N44" i="14"/>
  <c r="O44" i="14"/>
  <c r="E41" i="14"/>
  <c r="F41" i="14"/>
  <c r="G41" i="14"/>
  <c r="H41" i="14"/>
  <c r="I41" i="14"/>
  <c r="J41" i="14"/>
  <c r="K41" i="14"/>
  <c r="L41" i="14"/>
  <c r="M41" i="14"/>
  <c r="N41" i="14"/>
  <c r="O41" i="14"/>
  <c r="E32" i="14"/>
  <c r="E35" i="14" s="1"/>
  <c r="F32" i="14"/>
  <c r="F35" i="14" s="1"/>
  <c r="G32" i="14"/>
  <c r="G35" i="14" s="1"/>
  <c r="H32" i="14"/>
  <c r="H35" i="14" s="1"/>
  <c r="I32" i="14"/>
  <c r="I35" i="14" s="1"/>
  <c r="J32" i="14"/>
  <c r="J35" i="14" s="1"/>
  <c r="K32" i="14"/>
  <c r="K35" i="14" s="1"/>
  <c r="L32" i="14"/>
  <c r="L35" i="14" s="1"/>
  <c r="M32" i="14"/>
  <c r="M35" i="14" s="1"/>
  <c r="N32" i="14"/>
  <c r="N35" i="14" s="1"/>
  <c r="O32" i="14"/>
  <c r="O35" i="14" s="1"/>
  <c r="E22" i="14"/>
  <c r="E25" i="14" s="1"/>
  <c r="F22" i="14"/>
  <c r="F25" i="14" s="1"/>
  <c r="G22" i="14"/>
  <c r="G25" i="14" s="1"/>
  <c r="H22" i="14"/>
  <c r="H25" i="14" s="1"/>
  <c r="I22" i="14"/>
  <c r="I25" i="14" s="1"/>
  <c r="J22" i="14"/>
  <c r="J25" i="14" s="1"/>
  <c r="K22" i="14"/>
  <c r="K25" i="14" s="1"/>
  <c r="L22" i="14"/>
  <c r="M22" i="14"/>
  <c r="N22" i="14"/>
  <c r="O22" i="14"/>
  <c r="O15" i="14"/>
  <c r="E15" i="14"/>
  <c r="F15" i="14"/>
  <c r="G15" i="14"/>
  <c r="H15" i="14"/>
  <c r="I15" i="14"/>
  <c r="J15" i="14"/>
  <c r="K15" i="14"/>
  <c r="L15" i="14"/>
  <c r="M15" i="14"/>
  <c r="N15" i="14"/>
  <c r="E9" i="14"/>
  <c r="F9" i="14"/>
  <c r="G9" i="14"/>
  <c r="H9" i="14"/>
  <c r="I9" i="14"/>
  <c r="J9" i="14"/>
  <c r="K9" i="14"/>
  <c r="L9" i="14"/>
  <c r="M9" i="14"/>
  <c r="N9" i="14"/>
  <c r="O9" i="14"/>
  <c r="F6" i="32" l="1"/>
  <c r="H175" i="1"/>
  <c r="H194" i="1" s="1"/>
  <c r="H23" i="14"/>
  <c r="G23" i="14"/>
  <c r="K26" i="14"/>
  <c r="E23" i="14"/>
  <c r="J23" i="14"/>
  <c r="N26" i="14"/>
  <c r="L26" i="14"/>
  <c r="M26" i="14"/>
  <c r="I26" i="14"/>
  <c r="O23" i="14"/>
  <c r="F26" i="14"/>
  <c r="O26" i="14"/>
  <c r="N23" i="14"/>
  <c r="M23" i="14"/>
  <c r="L23" i="14"/>
  <c r="J26" i="14"/>
  <c r="G26" i="14"/>
  <c r="H26" i="14"/>
  <c r="K23" i="14"/>
  <c r="F23" i="14"/>
  <c r="O25" i="14"/>
  <c r="N25" i="14"/>
  <c r="I23" i="14"/>
  <c r="M25" i="14"/>
  <c r="L25" i="14"/>
  <c r="E26" i="14"/>
  <c r="F33" i="16"/>
  <c r="G33" i="16"/>
  <c r="H33" i="16"/>
  <c r="H36" i="10" s="1"/>
  <c r="I33" i="16"/>
  <c r="J33" i="16"/>
  <c r="K33" i="16"/>
  <c r="L33" i="16"/>
  <c r="M33" i="16"/>
  <c r="N33" i="16"/>
  <c r="O33" i="16"/>
  <c r="P33" i="16"/>
  <c r="F32" i="16"/>
  <c r="G32" i="16"/>
  <c r="H32" i="16"/>
  <c r="I32" i="16"/>
  <c r="J32" i="16"/>
  <c r="K32" i="16"/>
  <c r="L32" i="16"/>
  <c r="M32" i="16"/>
  <c r="N32" i="16"/>
  <c r="O32" i="16"/>
  <c r="P32" i="16"/>
  <c r="E33" i="16"/>
  <c r="E32" i="16"/>
  <c r="E37" i="10" l="1"/>
  <c r="U9" i="10" l="1"/>
  <c r="U4" i="1"/>
  <c r="U15" i="1" s="1"/>
  <c r="U5" i="1"/>
  <c r="U16" i="1" s="1"/>
  <c r="F4" i="11" l="1"/>
  <c r="G4" i="11"/>
  <c r="H4" i="11"/>
  <c r="I4" i="11"/>
  <c r="J4" i="11"/>
  <c r="K4" i="11"/>
  <c r="L4" i="11"/>
  <c r="M4" i="11"/>
  <c r="N4" i="11"/>
  <c r="O4" i="11"/>
  <c r="P4" i="11"/>
  <c r="F6" i="11"/>
  <c r="G6" i="11"/>
  <c r="H6" i="11"/>
  <c r="I6" i="11"/>
  <c r="J6" i="11"/>
  <c r="K6" i="11"/>
  <c r="L6" i="11"/>
  <c r="M6" i="11"/>
  <c r="N6" i="11"/>
  <c r="O6" i="11"/>
  <c r="P6" i="11"/>
  <c r="E5" i="11"/>
  <c r="E6" i="11"/>
  <c r="E4" i="11"/>
  <c r="E124" i="10" l="1"/>
  <c r="E124" i="9"/>
  <c r="E124" i="1" s="1"/>
  <c r="E117" i="9" l="1"/>
  <c r="D99" i="11" l="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27" i="11"/>
  <c r="D128" i="11"/>
  <c r="D129" i="11"/>
  <c r="K141" i="1" l="1"/>
  <c r="L141" i="1"/>
  <c r="M141" i="1"/>
  <c r="N141" i="1"/>
  <c r="O141" i="1"/>
  <c r="P141" i="1"/>
  <c r="F14" i="13" l="1"/>
  <c r="G14" i="13"/>
  <c r="H14" i="13"/>
  <c r="I14" i="13"/>
  <c r="J14" i="13"/>
  <c r="K14" i="13"/>
  <c r="L14" i="13"/>
  <c r="M14" i="13"/>
  <c r="N14" i="13"/>
  <c r="O14" i="13"/>
  <c r="P14" i="13"/>
  <c r="E14" i="13"/>
  <c r="E74" i="13" l="1"/>
  <c r="E120" i="11"/>
  <c r="E91" i="13"/>
  <c r="E122" i="11"/>
  <c r="E121" i="11"/>
  <c r="E123" i="11"/>
  <c r="I120" i="11"/>
  <c r="I119" i="11"/>
  <c r="I121" i="11"/>
  <c r="I124" i="13"/>
  <c r="H121" i="11"/>
  <c r="H119" i="11"/>
  <c r="H120" i="11"/>
  <c r="O120" i="11"/>
  <c r="O119" i="11"/>
  <c r="O121" i="11"/>
  <c r="K121" i="11"/>
  <c r="K119" i="11"/>
  <c r="K120" i="11"/>
  <c r="G74" i="13"/>
  <c r="G118" i="11"/>
  <c r="G120" i="11"/>
  <c r="G122" i="11"/>
  <c r="G121" i="11"/>
  <c r="G119" i="11"/>
  <c r="G123" i="11"/>
  <c r="M120" i="11"/>
  <c r="M119" i="11"/>
  <c r="M121" i="11"/>
  <c r="P121" i="11"/>
  <c r="P119" i="11"/>
  <c r="P120" i="11"/>
  <c r="L121" i="11"/>
  <c r="L120" i="11"/>
  <c r="L119" i="11"/>
  <c r="N119" i="11"/>
  <c r="N121" i="11"/>
  <c r="N120" i="11"/>
  <c r="J119" i="11"/>
  <c r="J120" i="11"/>
  <c r="J121" i="11"/>
  <c r="F74" i="13"/>
  <c r="F120" i="11"/>
  <c r="F119" i="11"/>
  <c r="F121" i="11"/>
  <c r="F123" i="11"/>
  <c r="F118" i="11"/>
  <c r="F122" i="11"/>
  <c r="E90" i="13"/>
  <c r="E84" i="13"/>
  <c r="E79" i="13"/>
  <c r="E93" i="13"/>
  <c r="E89" i="13"/>
  <c r="E85" i="13"/>
  <c r="E81" i="13"/>
  <c r="E77" i="13"/>
  <c r="E73" i="13"/>
  <c r="E70" i="13"/>
  <c r="E80" i="13"/>
  <c r="E71" i="13"/>
  <c r="E76" i="13"/>
  <c r="E82" i="13"/>
  <c r="E87" i="13"/>
  <c r="E92" i="13"/>
  <c r="E75" i="13"/>
  <c r="E86" i="13"/>
  <c r="E72" i="13"/>
  <c r="E78" i="13"/>
  <c r="E83" i="13"/>
  <c r="E88" i="13"/>
  <c r="K124" i="13" l="1"/>
  <c r="E119" i="11"/>
  <c r="D119" i="11"/>
  <c r="H124" i="13"/>
  <c r="G13" i="13"/>
  <c r="H13" i="13"/>
  <c r="I13" i="13"/>
  <c r="J13" i="13"/>
  <c r="K13" i="13"/>
  <c r="L13" i="13"/>
  <c r="M13" i="13"/>
  <c r="N13" i="13"/>
  <c r="O13" i="13"/>
  <c r="P13" i="13"/>
  <c r="E13" i="13"/>
  <c r="E132" i="10"/>
  <c r="E133" i="10"/>
  <c r="E134" i="10"/>
  <c r="F70" i="13"/>
  <c r="G3" i="32"/>
  <c r="H3" i="32"/>
  <c r="K38" i="10"/>
  <c r="L38" i="10"/>
  <c r="M38" i="10"/>
  <c r="N38" i="10"/>
  <c r="O38" i="10"/>
  <c r="P38" i="10"/>
  <c r="B3" i="21"/>
  <c r="P2" i="21"/>
  <c r="F2" i="21"/>
  <c r="G2" i="21"/>
  <c r="H2" i="21"/>
  <c r="I2" i="21"/>
  <c r="J2" i="21"/>
  <c r="K2" i="21"/>
  <c r="L2" i="21"/>
  <c r="M2" i="21"/>
  <c r="N2" i="21"/>
  <c r="O2" i="21"/>
  <c r="E2" i="21"/>
  <c r="N3" i="32" l="1"/>
  <c r="J3" i="32"/>
  <c r="M3" i="32"/>
  <c r="I3" i="32"/>
  <c r="K3" i="32"/>
  <c r="L3" i="32"/>
  <c r="D96" i="11"/>
  <c r="D97" i="11"/>
  <c r="O81" i="13"/>
  <c r="O92" i="13"/>
  <c r="O78" i="13"/>
  <c r="G81" i="13"/>
  <c r="G78" i="13"/>
  <c r="G92" i="13"/>
  <c r="F78" i="13"/>
  <c r="F86" i="13"/>
  <c r="F94" i="13"/>
  <c r="F90" i="13"/>
  <c r="F76" i="13"/>
  <c r="F84" i="13"/>
  <c r="F92" i="13"/>
  <c r="F75" i="13"/>
  <c r="F83" i="13"/>
  <c r="F81" i="13"/>
  <c r="F88" i="13"/>
  <c r="F80" i="13"/>
  <c r="N81" i="13"/>
  <c r="N78" i="13"/>
  <c r="N92" i="13"/>
  <c r="J92" i="13"/>
  <c r="J81" i="13"/>
  <c r="J78" i="13"/>
  <c r="F79" i="13"/>
  <c r="F87" i="13"/>
  <c r="F72" i="13"/>
  <c r="F71" i="13"/>
  <c r="F77" i="13"/>
  <c r="F85" i="13"/>
  <c r="F93" i="13"/>
  <c r="F91" i="13"/>
  <c r="F73" i="13"/>
  <c r="F89" i="13"/>
  <c r="M78" i="13"/>
  <c r="M92" i="13"/>
  <c r="M81" i="13"/>
  <c r="I78" i="13"/>
  <c r="I92" i="13"/>
  <c r="I81" i="13"/>
  <c r="K81" i="13"/>
  <c r="K78" i="13"/>
  <c r="K92" i="13"/>
  <c r="P78" i="13"/>
  <c r="P92" i="13"/>
  <c r="P81" i="13"/>
  <c r="L92" i="13"/>
  <c r="L78" i="13"/>
  <c r="L81" i="13"/>
  <c r="H81" i="13"/>
  <c r="H78" i="13"/>
  <c r="H92" i="13"/>
  <c r="F137" i="16" l="1"/>
  <c r="G137" i="16"/>
  <c r="H137" i="16"/>
  <c r="I137" i="16"/>
  <c r="J137" i="16"/>
  <c r="K137" i="16"/>
  <c r="L137" i="16"/>
  <c r="M137" i="16"/>
  <c r="N137" i="16"/>
  <c r="O137" i="16"/>
  <c r="P137" i="16"/>
  <c r="F138" i="16"/>
  <c r="G138" i="16"/>
  <c r="H138" i="16"/>
  <c r="I138" i="16"/>
  <c r="J138" i="16"/>
  <c r="K138" i="16"/>
  <c r="L138" i="16"/>
  <c r="M138" i="16"/>
  <c r="N138" i="16"/>
  <c r="O138" i="16"/>
  <c r="P138" i="16"/>
  <c r="F139" i="16"/>
  <c r="G139" i="16"/>
  <c r="H139" i="16"/>
  <c r="I139" i="16"/>
  <c r="J139" i="16"/>
  <c r="K139" i="16"/>
  <c r="L139" i="16"/>
  <c r="M139" i="16"/>
  <c r="N139" i="16"/>
  <c r="O139" i="16"/>
  <c r="P139" i="16"/>
  <c r="F140" i="16"/>
  <c r="G140" i="16"/>
  <c r="H140" i="16"/>
  <c r="I140" i="16"/>
  <c r="J140" i="16"/>
  <c r="K140" i="16"/>
  <c r="L140" i="16"/>
  <c r="M140" i="16"/>
  <c r="N140" i="16"/>
  <c r="O140" i="16"/>
  <c r="P140" i="16"/>
  <c r="F141" i="16"/>
  <c r="G141" i="16"/>
  <c r="H141" i="16"/>
  <c r="I141" i="16"/>
  <c r="J141" i="16"/>
  <c r="K141" i="16"/>
  <c r="L141" i="16"/>
  <c r="M141" i="16"/>
  <c r="N141" i="16"/>
  <c r="O141" i="16"/>
  <c r="P141" i="16"/>
  <c r="E138" i="16"/>
  <c r="E139" i="16"/>
  <c r="E140" i="16"/>
  <c r="E141" i="16"/>
  <c r="E137" i="16"/>
  <c r="F130" i="16"/>
  <c r="G130" i="16"/>
  <c r="H130" i="16"/>
  <c r="I130" i="16"/>
  <c r="J130" i="16"/>
  <c r="K130" i="16"/>
  <c r="K149" i="10" s="1"/>
  <c r="L130" i="16"/>
  <c r="L149" i="10" s="1"/>
  <c r="M130" i="16"/>
  <c r="M149" i="10" s="1"/>
  <c r="N130" i="16"/>
  <c r="N149" i="10" s="1"/>
  <c r="O130" i="16"/>
  <c r="O149" i="10" s="1"/>
  <c r="P130" i="16"/>
  <c r="P149" i="10" s="1"/>
  <c r="F131" i="16"/>
  <c r="G131" i="16"/>
  <c r="H131" i="16"/>
  <c r="I131" i="16"/>
  <c r="J131" i="16"/>
  <c r="K131" i="16"/>
  <c r="K150" i="10" s="1"/>
  <c r="L131" i="16"/>
  <c r="L150" i="10" s="1"/>
  <c r="M131" i="16"/>
  <c r="M150" i="10" s="1"/>
  <c r="N131" i="16"/>
  <c r="N150" i="10" s="1"/>
  <c r="O131" i="16"/>
  <c r="O150" i="10" s="1"/>
  <c r="P131" i="16"/>
  <c r="P150" i="10" s="1"/>
  <c r="E131" i="16"/>
  <c r="E130" i="16"/>
  <c r="G127" i="16"/>
  <c r="I127" i="16"/>
  <c r="L127" i="16"/>
  <c r="M127" i="16"/>
  <c r="N127" i="16"/>
  <c r="O127" i="16"/>
  <c r="P127" i="16"/>
  <c r="E127" i="16"/>
  <c r="F118" i="16"/>
  <c r="G118" i="16"/>
  <c r="H118" i="16"/>
  <c r="I118" i="16"/>
  <c r="J118" i="16"/>
  <c r="K118" i="16"/>
  <c r="L118" i="16"/>
  <c r="M118" i="16"/>
  <c r="N118" i="16"/>
  <c r="O118" i="16"/>
  <c r="P118" i="16"/>
  <c r="F119" i="16"/>
  <c r="G119" i="16"/>
  <c r="H119" i="16"/>
  <c r="I119" i="16"/>
  <c r="J119" i="16"/>
  <c r="K119" i="16"/>
  <c r="L119" i="16"/>
  <c r="M119" i="16"/>
  <c r="N119" i="16"/>
  <c r="O119" i="16"/>
  <c r="P119" i="16"/>
  <c r="F120" i="16"/>
  <c r="G120" i="16"/>
  <c r="H120" i="16"/>
  <c r="I120" i="16"/>
  <c r="J120" i="16"/>
  <c r="K120" i="16"/>
  <c r="L120" i="16"/>
  <c r="M120" i="16"/>
  <c r="N120" i="16"/>
  <c r="O120" i="16"/>
  <c r="P120" i="16"/>
  <c r="F121" i="16"/>
  <c r="G121" i="16"/>
  <c r="H121" i="16"/>
  <c r="I121" i="16"/>
  <c r="J121" i="16"/>
  <c r="K121" i="16"/>
  <c r="L121" i="16"/>
  <c r="M121" i="16"/>
  <c r="N121" i="16"/>
  <c r="O121" i="16"/>
  <c r="P121" i="16"/>
  <c r="F122" i="16"/>
  <c r="G122" i="16"/>
  <c r="H122" i="16"/>
  <c r="I122" i="16"/>
  <c r="J122" i="16"/>
  <c r="K122" i="16"/>
  <c r="L122" i="16"/>
  <c r="M122" i="16"/>
  <c r="N122" i="16"/>
  <c r="O122" i="16"/>
  <c r="P122" i="16"/>
  <c r="E119" i="16"/>
  <c r="E120" i="16"/>
  <c r="E121" i="16"/>
  <c r="E122" i="16"/>
  <c r="E118" i="16"/>
  <c r="F60" i="16"/>
  <c r="G60" i="16"/>
  <c r="H60" i="16"/>
  <c r="I60" i="16"/>
  <c r="J60" i="16"/>
  <c r="K60" i="16"/>
  <c r="L60" i="16"/>
  <c r="M60" i="16"/>
  <c r="N60" i="16"/>
  <c r="O60" i="16"/>
  <c r="P60" i="16"/>
  <c r="F61" i="16"/>
  <c r="G61" i="16"/>
  <c r="H61" i="16"/>
  <c r="I61" i="16"/>
  <c r="J61" i="16"/>
  <c r="K61" i="16"/>
  <c r="L61" i="16"/>
  <c r="M61" i="16"/>
  <c r="N61" i="16"/>
  <c r="O61" i="16"/>
  <c r="P61" i="16"/>
  <c r="F62" i="16"/>
  <c r="G62" i="16"/>
  <c r="H62" i="16"/>
  <c r="I62" i="16"/>
  <c r="J62" i="16"/>
  <c r="K62" i="16"/>
  <c r="L62" i="16"/>
  <c r="M62" i="16"/>
  <c r="N62" i="16"/>
  <c r="O62" i="16"/>
  <c r="P62" i="16"/>
  <c r="F63" i="16"/>
  <c r="G63" i="16"/>
  <c r="H63" i="16"/>
  <c r="I63" i="16"/>
  <c r="J63" i="16"/>
  <c r="K63" i="16"/>
  <c r="L63" i="16"/>
  <c r="M63" i="16"/>
  <c r="N63" i="16"/>
  <c r="O63" i="16"/>
  <c r="P63" i="16"/>
  <c r="F64" i="16"/>
  <c r="G64" i="16"/>
  <c r="H64" i="16"/>
  <c r="I64" i="16"/>
  <c r="J64" i="16"/>
  <c r="K64" i="16"/>
  <c r="L64" i="16"/>
  <c r="M64" i="16"/>
  <c r="N64" i="16"/>
  <c r="O64" i="16"/>
  <c r="P64" i="16"/>
  <c r="F65" i="16"/>
  <c r="G65" i="16"/>
  <c r="H65" i="16"/>
  <c r="I65" i="16"/>
  <c r="J65" i="16"/>
  <c r="K65" i="16"/>
  <c r="L65" i="16"/>
  <c r="M65" i="16"/>
  <c r="N65" i="16"/>
  <c r="O65" i="16"/>
  <c r="P65" i="16"/>
  <c r="F66" i="16"/>
  <c r="G66" i="16"/>
  <c r="H66" i="16"/>
  <c r="I66" i="16"/>
  <c r="J66" i="16"/>
  <c r="K66" i="16"/>
  <c r="L66" i="16"/>
  <c r="M66" i="16"/>
  <c r="N66" i="16"/>
  <c r="O66" i="16"/>
  <c r="P66" i="16"/>
  <c r="F67" i="16"/>
  <c r="G67" i="16"/>
  <c r="H67" i="16"/>
  <c r="I67" i="16"/>
  <c r="J67" i="16"/>
  <c r="K67" i="16"/>
  <c r="L67" i="16"/>
  <c r="M67" i="16"/>
  <c r="N67" i="16"/>
  <c r="O67" i="16"/>
  <c r="P67" i="16"/>
  <c r="F68" i="16"/>
  <c r="G68" i="16"/>
  <c r="H68" i="16"/>
  <c r="I68" i="16"/>
  <c r="J68" i="16"/>
  <c r="K68" i="16"/>
  <c r="L68" i="16"/>
  <c r="M68" i="16"/>
  <c r="N68" i="16"/>
  <c r="O68" i="16"/>
  <c r="P68" i="16"/>
  <c r="F69" i="16"/>
  <c r="G69" i="16"/>
  <c r="H69" i="16"/>
  <c r="I69" i="16"/>
  <c r="J69" i="16"/>
  <c r="K69" i="16"/>
  <c r="L69" i="16"/>
  <c r="M69" i="16"/>
  <c r="N69" i="16"/>
  <c r="O69" i="16"/>
  <c r="P69" i="16"/>
  <c r="F70" i="16"/>
  <c r="G70" i="16"/>
  <c r="H70" i="16"/>
  <c r="I70" i="16"/>
  <c r="J70" i="16"/>
  <c r="K70" i="16"/>
  <c r="L70" i="16"/>
  <c r="M70" i="16"/>
  <c r="N70" i="16"/>
  <c r="O70" i="16"/>
  <c r="P70" i="16"/>
  <c r="F71" i="16"/>
  <c r="G71" i="16"/>
  <c r="H71" i="16"/>
  <c r="I71" i="16"/>
  <c r="J71" i="16"/>
  <c r="K71" i="16"/>
  <c r="L71" i="16"/>
  <c r="M71" i="16"/>
  <c r="N71" i="16"/>
  <c r="O71" i="16"/>
  <c r="P71" i="16"/>
  <c r="F72" i="16"/>
  <c r="G72" i="16"/>
  <c r="H72" i="16"/>
  <c r="I72" i="16"/>
  <c r="J72" i="16"/>
  <c r="K72" i="16"/>
  <c r="L72" i="16"/>
  <c r="M72" i="16"/>
  <c r="N72" i="16"/>
  <c r="O72" i="16"/>
  <c r="P72" i="16"/>
  <c r="F73" i="16"/>
  <c r="G73" i="16"/>
  <c r="H73" i="16"/>
  <c r="I73" i="16"/>
  <c r="J73" i="16"/>
  <c r="K73" i="16"/>
  <c r="L73" i="16"/>
  <c r="M73" i="16"/>
  <c r="N73" i="16"/>
  <c r="O73" i="16"/>
  <c r="P73" i="16"/>
  <c r="F74" i="16"/>
  <c r="G74" i="16"/>
  <c r="H74" i="16"/>
  <c r="I74" i="16"/>
  <c r="J74" i="16"/>
  <c r="K74" i="16"/>
  <c r="L74" i="16"/>
  <c r="M74" i="16"/>
  <c r="N74" i="16"/>
  <c r="O74" i="16"/>
  <c r="P74" i="16"/>
  <c r="F75" i="16"/>
  <c r="G75" i="16"/>
  <c r="H75" i="16"/>
  <c r="I75" i="16"/>
  <c r="J75" i="16"/>
  <c r="K75" i="16"/>
  <c r="L75" i="16"/>
  <c r="M75" i="16"/>
  <c r="N75" i="16"/>
  <c r="O75" i="16"/>
  <c r="P75" i="16"/>
  <c r="F76" i="16"/>
  <c r="G76" i="16"/>
  <c r="H76" i="16"/>
  <c r="I76" i="16"/>
  <c r="J76" i="16"/>
  <c r="K76" i="16"/>
  <c r="L76" i="16"/>
  <c r="M76" i="16"/>
  <c r="N76" i="16"/>
  <c r="O76" i="16"/>
  <c r="P76" i="16"/>
  <c r="F77" i="16"/>
  <c r="G77" i="16"/>
  <c r="H77" i="16"/>
  <c r="I77" i="16"/>
  <c r="J77" i="16"/>
  <c r="K77" i="16"/>
  <c r="L77" i="16"/>
  <c r="M77" i="16"/>
  <c r="N77" i="16"/>
  <c r="O77" i="16"/>
  <c r="P77" i="16"/>
  <c r="F78" i="16"/>
  <c r="G78" i="16"/>
  <c r="H78" i="16"/>
  <c r="I78" i="16"/>
  <c r="J78" i="16"/>
  <c r="K78" i="16"/>
  <c r="L78" i="16"/>
  <c r="M78" i="16"/>
  <c r="N78" i="16"/>
  <c r="O78" i="16"/>
  <c r="P78" i="16"/>
  <c r="F79" i="16"/>
  <c r="G79" i="16"/>
  <c r="H79" i="16"/>
  <c r="I79" i="16"/>
  <c r="J79" i="16"/>
  <c r="K79" i="16"/>
  <c r="L79" i="16"/>
  <c r="M79" i="16"/>
  <c r="N79" i="16"/>
  <c r="O79" i="16"/>
  <c r="P79" i="16"/>
  <c r="F80" i="16"/>
  <c r="G80" i="16"/>
  <c r="H80" i="16"/>
  <c r="I80" i="16"/>
  <c r="J80" i="16"/>
  <c r="K80" i="16"/>
  <c r="L80" i="16"/>
  <c r="M80" i="16"/>
  <c r="N80" i="16"/>
  <c r="O80" i="16"/>
  <c r="P80" i="16"/>
  <c r="F81" i="16"/>
  <c r="G81" i="16"/>
  <c r="H81" i="16"/>
  <c r="I81" i="16"/>
  <c r="J81" i="16"/>
  <c r="K81" i="16"/>
  <c r="L81" i="16"/>
  <c r="M81" i="16"/>
  <c r="N81" i="16"/>
  <c r="O81" i="16"/>
  <c r="P81" i="16"/>
  <c r="F82" i="16"/>
  <c r="G82" i="16"/>
  <c r="H82" i="16"/>
  <c r="I82" i="16"/>
  <c r="J82" i="16"/>
  <c r="K82" i="16"/>
  <c r="L82" i="16"/>
  <c r="M82" i="16"/>
  <c r="N82" i="16"/>
  <c r="O82" i="16"/>
  <c r="P82" i="16"/>
  <c r="F83" i="16"/>
  <c r="G83" i="16"/>
  <c r="H83" i="16"/>
  <c r="I83" i="16"/>
  <c r="J83" i="16"/>
  <c r="K83" i="16"/>
  <c r="L83" i="16"/>
  <c r="M83" i="16"/>
  <c r="N83" i="16"/>
  <c r="O83" i="16"/>
  <c r="P83" i="16"/>
  <c r="F84" i="16"/>
  <c r="G84" i="16"/>
  <c r="H84" i="16"/>
  <c r="I84" i="16"/>
  <c r="J84" i="16"/>
  <c r="K84" i="16"/>
  <c r="L84" i="16"/>
  <c r="M84" i="16"/>
  <c r="N84" i="16"/>
  <c r="O84" i="16"/>
  <c r="P84" i="16"/>
  <c r="F85" i="16"/>
  <c r="G85" i="16"/>
  <c r="H85" i="16"/>
  <c r="I85" i="16"/>
  <c r="J85" i="16"/>
  <c r="K85" i="16"/>
  <c r="L85" i="16"/>
  <c r="M85" i="16"/>
  <c r="N85" i="16"/>
  <c r="O85" i="16"/>
  <c r="P85" i="16"/>
  <c r="F86" i="16"/>
  <c r="G86" i="16"/>
  <c r="H86" i="16"/>
  <c r="I86" i="16"/>
  <c r="J86" i="16"/>
  <c r="K86" i="16"/>
  <c r="L86" i="16"/>
  <c r="M86" i="16"/>
  <c r="N86" i="16"/>
  <c r="O86" i="16"/>
  <c r="P86" i="16"/>
  <c r="F87" i="16"/>
  <c r="G87" i="16"/>
  <c r="H87" i="16"/>
  <c r="I87" i="16"/>
  <c r="J87" i="16"/>
  <c r="K87" i="16"/>
  <c r="L87" i="16"/>
  <c r="M87" i="16"/>
  <c r="N87" i="16"/>
  <c r="O87" i="16"/>
  <c r="P87" i="16"/>
  <c r="F88" i="16"/>
  <c r="G88" i="16"/>
  <c r="H88" i="16"/>
  <c r="I88" i="16"/>
  <c r="J88" i="16"/>
  <c r="K88" i="16"/>
  <c r="L88" i="16"/>
  <c r="M88" i="16"/>
  <c r="N88" i="16"/>
  <c r="O88" i="16"/>
  <c r="P88" i="16"/>
  <c r="F89" i="16"/>
  <c r="G89" i="16"/>
  <c r="H89" i="16"/>
  <c r="I89" i="16"/>
  <c r="J89" i="16"/>
  <c r="K89" i="16"/>
  <c r="L89" i="16"/>
  <c r="M89" i="16"/>
  <c r="N89" i="16"/>
  <c r="O89" i="16"/>
  <c r="P89" i="16"/>
  <c r="F90" i="16"/>
  <c r="G90" i="16"/>
  <c r="H90" i="16"/>
  <c r="I90" i="16"/>
  <c r="J90" i="16"/>
  <c r="K90" i="16"/>
  <c r="L90" i="16"/>
  <c r="M90" i="16"/>
  <c r="N90" i="16"/>
  <c r="O90" i="16"/>
  <c r="P90" i="16"/>
  <c r="F91" i="16"/>
  <c r="G91" i="16"/>
  <c r="H91" i="16"/>
  <c r="I91" i="16"/>
  <c r="J91" i="16"/>
  <c r="K91" i="16"/>
  <c r="L91" i="16"/>
  <c r="M91" i="16"/>
  <c r="N91" i="16"/>
  <c r="O91" i="16"/>
  <c r="P91" i="16"/>
  <c r="F92" i="16"/>
  <c r="G92" i="16"/>
  <c r="H92" i="16"/>
  <c r="I92" i="16"/>
  <c r="J92" i="16"/>
  <c r="K92" i="16"/>
  <c r="L92" i="16"/>
  <c r="M92" i="16"/>
  <c r="N92" i="16"/>
  <c r="O92" i="16"/>
  <c r="P92" i="16"/>
  <c r="F93" i="16"/>
  <c r="G93" i="16"/>
  <c r="H93" i="16"/>
  <c r="I93" i="16"/>
  <c r="J93" i="16"/>
  <c r="K93" i="16"/>
  <c r="L93" i="16"/>
  <c r="M93" i="16"/>
  <c r="N93" i="16"/>
  <c r="O93" i="16"/>
  <c r="P93" i="16"/>
  <c r="F94" i="16"/>
  <c r="G94" i="16"/>
  <c r="H94" i="16"/>
  <c r="I94" i="16"/>
  <c r="J94" i="16"/>
  <c r="K94" i="16"/>
  <c r="L94" i="16"/>
  <c r="M94" i="16"/>
  <c r="N94" i="16"/>
  <c r="O94" i="16"/>
  <c r="P94" i="16"/>
  <c r="F95" i="16"/>
  <c r="G95" i="16"/>
  <c r="H95" i="16"/>
  <c r="I95" i="16"/>
  <c r="J95" i="16"/>
  <c r="K95" i="16"/>
  <c r="L95" i="16"/>
  <c r="M95" i="16"/>
  <c r="N95" i="16"/>
  <c r="O95" i="16"/>
  <c r="P95" i="16"/>
  <c r="F96" i="16"/>
  <c r="G96" i="16"/>
  <c r="H96" i="16"/>
  <c r="I96" i="16"/>
  <c r="J96" i="16"/>
  <c r="K96" i="16"/>
  <c r="L96" i="16"/>
  <c r="M96" i="16"/>
  <c r="N96" i="16"/>
  <c r="O96" i="16"/>
  <c r="P96" i="16"/>
  <c r="F97" i="16"/>
  <c r="G97" i="16"/>
  <c r="H97" i="16"/>
  <c r="I97" i="16"/>
  <c r="J97" i="16"/>
  <c r="K97" i="16"/>
  <c r="L97" i="16"/>
  <c r="M97" i="16"/>
  <c r="N97" i="16"/>
  <c r="O97" i="16"/>
  <c r="P97" i="16"/>
  <c r="F98" i="16"/>
  <c r="G98" i="16"/>
  <c r="H98" i="16"/>
  <c r="I98" i="16"/>
  <c r="J98" i="16"/>
  <c r="K98" i="16"/>
  <c r="L98" i="16"/>
  <c r="M98" i="16"/>
  <c r="N98" i="16"/>
  <c r="O98" i="16"/>
  <c r="P98" i="16"/>
  <c r="F99" i="16"/>
  <c r="G99" i="16"/>
  <c r="H99" i="16"/>
  <c r="I99" i="16"/>
  <c r="J99" i="16"/>
  <c r="K99" i="16"/>
  <c r="L99" i="16"/>
  <c r="M99" i="16"/>
  <c r="N99" i="16"/>
  <c r="O99" i="16"/>
  <c r="P99" i="16"/>
  <c r="F100" i="16"/>
  <c r="G100" i="16"/>
  <c r="H100" i="16"/>
  <c r="I100" i="16"/>
  <c r="J100" i="16"/>
  <c r="K100" i="16"/>
  <c r="L100" i="16"/>
  <c r="M100" i="16"/>
  <c r="N100" i="16"/>
  <c r="O100" i="16"/>
  <c r="P100" i="16"/>
  <c r="F101" i="16"/>
  <c r="G101" i="16"/>
  <c r="H101" i="16"/>
  <c r="I101" i="16"/>
  <c r="J101" i="16"/>
  <c r="K101" i="16"/>
  <c r="L101" i="16"/>
  <c r="M101" i="16"/>
  <c r="N101" i="16"/>
  <c r="O101" i="16"/>
  <c r="P101" i="16"/>
  <c r="F102" i="16"/>
  <c r="G102" i="16"/>
  <c r="H102" i="16"/>
  <c r="I102" i="16"/>
  <c r="J102" i="16"/>
  <c r="K102" i="16"/>
  <c r="L102" i="16"/>
  <c r="M102" i="16"/>
  <c r="N102" i="16"/>
  <c r="O102" i="16"/>
  <c r="P102" i="16"/>
  <c r="F103" i="16"/>
  <c r="G103" i="16"/>
  <c r="H103" i="16"/>
  <c r="I103" i="16"/>
  <c r="J103" i="16"/>
  <c r="K103" i="16"/>
  <c r="L103" i="16"/>
  <c r="M103" i="16"/>
  <c r="N103" i="16"/>
  <c r="O103" i="16"/>
  <c r="P103" i="16"/>
  <c r="F104" i="16"/>
  <c r="G104" i="16"/>
  <c r="H104" i="16"/>
  <c r="I104" i="16"/>
  <c r="J104" i="16"/>
  <c r="K104" i="16"/>
  <c r="L104" i="16"/>
  <c r="M104" i="16"/>
  <c r="N104" i="16"/>
  <c r="O104" i="16"/>
  <c r="P104" i="16"/>
  <c r="F105" i="16"/>
  <c r="G105" i="16"/>
  <c r="H105" i="16"/>
  <c r="I105" i="16"/>
  <c r="J105" i="16"/>
  <c r="K105" i="16"/>
  <c r="L105" i="16"/>
  <c r="M105" i="16"/>
  <c r="N105" i="16"/>
  <c r="O105" i="16"/>
  <c r="P105" i="16"/>
  <c r="F106" i="16"/>
  <c r="G106" i="16"/>
  <c r="H106" i="16"/>
  <c r="I106" i="16"/>
  <c r="J106" i="16"/>
  <c r="K106" i="16"/>
  <c r="L106" i="16"/>
  <c r="M106" i="16"/>
  <c r="N106" i="16"/>
  <c r="O106" i="16"/>
  <c r="P106" i="16"/>
  <c r="F107" i="16"/>
  <c r="G107" i="16"/>
  <c r="H107" i="16"/>
  <c r="I107" i="16"/>
  <c r="J107" i="16"/>
  <c r="K107" i="16"/>
  <c r="L107" i="16"/>
  <c r="M107" i="16"/>
  <c r="N107" i="16"/>
  <c r="O107" i="16"/>
  <c r="P107" i="16"/>
  <c r="F108" i="16"/>
  <c r="G108" i="16"/>
  <c r="H108" i="16"/>
  <c r="I108" i="16"/>
  <c r="J108" i="16"/>
  <c r="K108" i="16"/>
  <c r="L108" i="16"/>
  <c r="M108" i="16"/>
  <c r="N108" i="16"/>
  <c r="O108" i="16"/>
  <c r="P108" i="16"/>
  <c r="F109" i="16"/>
  <c r="G109" i="16"/>
  <c r="H109" i="16"/>
  <c r="I109" i="16"/>
  <c r="J109" i="16"/>
  <c r="K109" i="16"/>
  <c r="L109" i="16"/>
  <c r="M109" i="16"/>
  <c r="N109" i="16"/>
  <c r="O109" i="16"/>
  <c r="P109" i="16"/>
  <c r="F110" i="16"/>
  <c r="G110" i="16"/>
  <c r="H110" i="16"/>
  <c r="I110" i="16"/>
  <c r="J110" i="16"/>
  <c r="K110" i="16"/>
  <c r="L110" i="16"/>
  <c r="M110" i="16"/>
  <c r="N110" i="16"/>
  <c r="O110" i="16"/>
  <c r="P110" i="16"/>
  <c r="F111" i="16"/>
  <c r="G111" i="16"/>
  <c r="H111" i="16"/>
  <c r="I111" i="16"/>
  <c r="J111" i="16"/>
  <c r="K111" i="16"/>
  <c r="L111" i="16"/>
  <c r="M111" i="16"/>
  <c r="N111" i="16"/>
  <c r="O111" i="16"/>
  <c r="P111" i="16"/>
  <c r="F112" i="16"/>
  <c r="G112" i="16"/>
  <c r="H112" i="16"/>
  <c r="I112" i="16"/>
  <c r="J112" i="16"/>
  <c r="K112" i="16"/>
  <c r="L112" i="16"/>
  <c r="M112" i="16"/>
  <c r="N112" i="16"/>
  <c r="O112" i="16"/>
  <c r="P112" i="16"/>
  <c r="F113" i="16"/>
  <c r="G113" i="16"/>
  <c r="H113" i="16"/>
  <c r="I113" i="16"/>
  <c r="J113" i="16"/>
  <c r="K113" i="16"/>
  <c r="L113" i="16"/>
  <c r="M113" i="16"/>
  <c r="N113" i="16"/>
  <c r="O113" i="16"/>
  <c r="P113" i="16"/>
  <c r="F114" i="16"/>
  <c r="G114" i="16"/>
  <c r="H114" i="16"/>
  <c r="I114" i="16"/>
  <c r="J114" i="16"/>
  <c r="K114" i="16"/>
  <c r="L114" i="16"/>
  <c r="M114" i="16"/>
  <c r="N114" i="16"/>
  <c r="O114" i="16"/>
  <c r="P114" i="16"/>
  <c r="E114" i="16"/>
  <c r="E113" i="16"/>
  <c r="E111" i="16"/>
  <c r="E112" i="16"/>
  <c r="E110" i="16"/>
  <c r="E108" i="16"/>
  <c r="E109" i="16"/>
  <c r="E107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92" i="16"/>
  <c r="E82" i="16"/>
  <c r="E83" i="16"/>
  <c r="E84" i="16"/>
  <c r="E85" i="16"/>
  <c r="E86" i="16"/>
  <c r="E87" i="16"/>
  <c r="E88" i="16"/>
  <c r="E89" i="16"/>
  <c r="E90" i="16"/>
  <c r="E91" i="16"/>
  <c r="E81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66" i="16"/>
  <c r="E65" i="16"/>
  <c r="E64" i="16"/>
  <c r="E60" i="16"/>
  <c r="E61" i="16"/>
  <c r="E62" i="16"/>
  <c r="E63" i="16"/>
  <c r="F51" i="16"/>
  <c r="G51" i="16"/>
  <c r="H51" i="16"/>
  <c r="I51" i="16"/>
  <c r="Y17" i="10" s="1"/>
  <c r="J51" i="16"/>
  <c r="K51" i="16"/>
  <c r="L51" i="16"/>
  <c r="M51" i="16"/>
  <c r="N51" i="16"/>
  <c r="O51" i="16"/>
  <c r="P51" i="16"/>
  <c r="E51" i="16"/>
  <c r="F48" i="16"/>
  <c r="G48" i="16"/>
  <c r="H48" i="16"/>
  <c r="I48" i="16"/>
  <c r="J48" i="16"/>
  <c r="K48" i="16"/>
  <c r="L48" i="16"/>
  <c r="M48" i="16"/>
  <c r="N48" i="16"/>
  <c r="O48" i="16"/>
  <c r="P48" i="16"/>
  <c r="F49" i="16"/>
  <c r="G49" i="16"/>
  <c r="H49" i="16"/>
  <c r="I49" i="16"/>
  <c r="J49" i="16"/>
  <c r="K49" i="16"/>
  <c r="L49" i="16"/>
  <c r="M49" i="16"/>
  <c r="N49" i="16"/>
  <c r="O49" i="16"/>
  <c r="P49" i="16"/>
  <c r="F50" i="16"/>
  <c r="G50" i="16"/>
  <c r="H50" i="16"/>
  <c r="I50" i="16"/>
  <c r="J50" i="16"/>
  <c r="K50" i="16"/>
  <c r="L50" i="16"/>
  <c r="M50" i="16"/>
  <c r="N50" i="16"/>
  <c r="O50" i="16"/>
  <c r="P50" i="16"/>
  <c r="E48" i="16"/>
  <c r="E49" i="16"/>
  <c r="E50" i="16"/>
  <c r="F42" i="16"/>
  <c r="G42" i="16"/>
  <c r="H42" i="16"/>
  <c r="I42" i="16"/>
  <c r="I52" i="10" s="1"/>
  <c r="J42" i="16"/>
  <c r="K42" i="16"/>
  <c r="L42" i="16"/>
  <c r="M42" i="16"/>
  <c r="N42" i="16"/>
  <c r="O42" i="16"/>
  <c r="P42" i="16"/>
  <c r="E42" i="16"/>
  <c r="E39" i="16"/>
  <c r="F8" i="16"/>
  <c r="G8" i="16"/>
  <c r="H8" i="16"/>
  <c r="I8" i="16"/>
  <c r="J8" i="16"/>
  <c r="K8" i="16"/>
  <c r="L8" i="16"/>
  <c r="M8" i="16"/>
  <c r="N8" i="16"/>
  <c r="O8" i="16"/>
  <c r="P8" i="16"/>
  <c r="F9" i="16"/>
  <c r="G9" i="16"/>
  <c r="H9" i="16"/>
  <c r="I9" i="16"/>
  <c r="J9" i="16"/>
  <c r="K9" i="16"/>
  <c r="L9" i="16"/>
  <c r="M9" i="16"/>
  <c r="N9" i="16"/>
  <c r="O9" i="16"/>
  <c r="P9" i="16"/>
  <c r="F10" i="16"/>
  <c r="G10" i="16"/>
  <c r="H10" i="16"/>
  <c r="I10" i="16"/>
  <c r="J10" i="16"/>
  <c r="K10" i="16"/>
  <c r="L10" i="16"/>
  <c r="M10" i="16"/>
  <c r="N10" i="16"/>
  <c r="O10" i="16"/>
  <c r="P10" i="16"/>
  <c r="E9" i="16"/>
  <c r="E10" i="16"/>
  <c r="E8" i="16"/>
  <c r="F13" i="16"/>
  <c r="G13" i="16"/>
  <c r="H13" i="16"/>
  <c r="I13" i="16"/>
  <c r="J13" i="16"/>
  <c r="K13" i="16"/>
  <c r="L13" i="16"/>
  <c r="M13" i="16"/>
  <c r="N13" i="16"/>
  <c r="O13" i="16"/>
  <c r="P13" i="16"/>
  <c r="F14" i="16"/>
  <c r="G14" i="16"/>
  <c r="H14" i="16"/>
  <c r="I14" i="16"/>
  <c r="J14" i="16"/>
  <c r="K14" i="16"/>
  <c r="L14" i="16"/>
  <c r="M14" i="16"/>
  <c r="N14" i="16"/>
  <c r="O14" i="16"/>
  <c r="P14" i="16"/>
  <c r="F15" i="16"/>
  <c r="G15" i="16"/>
  <c r="H15" i="16"/>
  <c r="I15" i="16"/>
  <c r="J15" i="16"/>
  <c r="K15" i="16"/>
  <c r="L15" i="16"/>
  <c r="M15" i="16"/>
  <c r="N15" i="16"/>
  <c r="O15" i="16"/>
  <c r="P15" i="16"/>
  <c r="F16" i="16"/>
  <c r="G16" i="16"/>
  <c r="H16" i="16"/>
  <c r="I16" i="16"/>
  <c r="J16" i="16"/>
  <c r="K16" i="16"/>
  <c r="L16" i="16"/>
  <c r="M16" i="16"/>
  <c r="N16" i="16"/>
  <c r="O16" i="16"/>
  <c r="P16" i="16"/>
  <c r="F17" i="16"/>
  <c r="G17" i="16"/>
  <c r="H17" i="16"/>
  <c r="I17" i="16"/>
  <c r="J17" i="16"/>
  <c r="K17" i="16"/>
  <c r="L17" i="16"/>
  <c r="M17" i="16"/>
  <c r="N17" i="16"/>
  <c r="O17" i="16"/>
  <c r="P17" i="16"/>
  <c r="F18" i="16"/>
  <c r="G18" i="16"/>
  <c r="H18" i="16"/>
  <c r="I18" i="16"/>
  <c r="J18" i="16"/>
  <c r="K18" i="16"/>
  <c r="L18" i="16"/>
  <c r="M18" i="16"/>
  <c r="N18" i="16"/>
  <c r="O18" i="16"/>
  <c r="P18" i="16"/>
  <c r="E14" i="16"/>
  <c r="E15" i="16"/>
  <c r="E16" i="16"/>
  <c r="E17" i="16"/>
  <c r="E18" i="16"/>
  <c r="E13" i="16"/>
  <c r="F25" i="16"/>
  <c r="G25" i="16"/>
  <c r="H25" i="16"/>
  <c r="I25" i="16"/>
  <c r="J25" i="16"/>
  <c r="K25" i="16"/>
  <c r="L25" i="16"/>
  <c r="M25" i="16"/>
  <c r="N25" i="16"/>
  <c r="O25" i="16"/>
  <c r="P25" i="16"/>
  <c r="F26" i="16"/>
  <c r="G26" i="16"/>
  <c r="H26" i="16"/>
  <c r="I26" i="16"/>
  <c r="J26" i="16"/>
  <c r="K26" i="16"/>
  <c r="L26" i="16"/>
  <c r="M26" i="16"/>
  <c r="N26" i="16"/>
  <c r="O26" i="16"/>
  <c r="P26" i="16"/>
  <c r="F27" i="16"/>
  <c r="G27" i="16"/>
  <c r="H27" i="16"/>
  <c r="I27" i="16"/>
  <c r="J27" i="16"/>
  <c r="K27" i="16"/>
  <c r="L27" i="16"/>
  <c r="M27" i="16"/>
  <c r="N27" i="16"/>
  <c r="O27" i="16"/>
  <c r="P27" i="16"/>
  <c r="F28" i="16"/>
  <c r="G28" i="16"/>
  <c r="H28" i="16"/>
  <c r="I28" i="16"/>
  <c r="J28" i="16"/>
  <c r="K28" i="16"/>
  <c r="L28" i="16"/>
  <c r="M28" i="16"/>
  <c r="N28" i="16"/>
  <c r="O28" i="16"/>
  <c r="P28" i="16"/>
  <c r="F29" i="16"/>
  <c r="G29" i="16"/>
  <c r="H29" i="16"/>
  <c r="H184" i="1" s="1"/>
  <c r="I29" i="16"/>
  <c r="J29" i="16"/>
  <c r="K29" i="16"/>
  <c r="L29" i="16"/>
  <c r="M29" i="16"/>
  <c r="N29" i="16"/>
  <c r="O29" i="16"/>
  <c r="P29" i="16"/>
  <c r="F30" i="16"/>
  <c r="G30" i="16"/>
  <c r="H30" i="16"/>
  <c r="I30" i="16"/>
  <c r="J30" i="16"/>
  <c r="K30" i="16"/>
  <c r="L30" i="16"/>
  <c r="M30" i="16"/>
  <c r="N30" i="16"/>
  <c r="O30" i="16"/>
  <c r="P30" i="16"/>
  <c r="F31" i="16"/>
  <c r="G31" i="16"/>
  <c r="H31" i="16"/>
  <c r="I31" i="16"/>
  <c r="I36" i="10" s="1"/>
  <c r="J31" i="16"/>
  <c r="K31" i="16"/>
  <c r="L31" i="16"/>
  <c r="M31" i="16"/>
  <c r="N31" i="16"/>
  <c r="O31" i="16"/>
  <c r="P31" i="16"/>
  <c r="E26" i="16"/>
  <c r="E27" i="16"/>
  <c r="E28" i="16"/>
  <c r="E29" i="16"/>
  <c r="E30" i="16"/>
  <c r="E31" i="16"/>
  <c r="E25" i="16"/>
  <c r="F127" i="16"/>
  <c r="H127" i="16"/>
  <c r="J127" i="16"/>
  <c r="K127" i="16"/>
  <c r="Y18" i="10" l="1"/>
  <c r="I142" i="10"/>
  <c r="I144" i="10"/>
  <c r="I95" i="10"/>
  <c r="I51" i="10"/>
  <c r="I117" i="10"/>
  <c r="I37" i="10"/>
  <c r="I35" i="10"/>
  <c r="H174" i="1"/>
  <c r="H193" i="1" s="1"/>
  <c r="H183" i="1"/>
  <c r="H186" i="1" s="1"/>
  <c r="H199" i="1" s="1"/>
  <c r="H203" i="1" s="1"/>
  <c r="F14" i="32"/>
  <c r="H37" i="10"/>
  <c r="K115" i="16"/>
  <c r="J115" i="16"/>
  <c r="E34" i="16"/>
  <c r="M19" i="16"/>
  <c r="M20" i="16" s="1"/>
  <c r="N52" i="16"/>
  <c r="M34" i="16"/>
  <c r="E52" i="16"/>
  <c r="N115" i="16"/>
  <c r="I34" i="16"/>
  <c r="I19" i="16"/>
  <c r="I20" i="16" s="1"/>
  <c r="I52" i="16"/>
  <c r="P52" i="16"/>
  <c r="L52" i="16"/>
  <c r="O52" i="16"/>
  <c r="K52" i="16"/>
  <c r="G52" i="16"/>
  <c r="J52" i="16"/>
  <c r="F52" i="16"/>
  <c r="M52" i="16"/>
  <c r="L34" i="16"/>
  <c r="H34" i="16"/>
  <c r="O34" i="16"/>
  <c r="K34" i="16"/>
  <c r="G34" i="16"/>
  <c r="N34" i="16"/>
  <c r="J34" i="16"/>
  <c r="F34" i="16"/>
  <c r="P19" i="16"/>
  <c r="P20" i="16" s="1"/>
  <c r="L19" i="16"/>
  <c r="L20" i="16" s="1"/>
  <c r="H19" i="16"/>
  <c r="H20" i="16" s="1"/>
  <c r="O19" i="16"/>
  <c r="O20" i="16" s="1"/>
  <c r="K19" i="16"/>
  <c r="K20" i="16" s="1"/>
  <c r="G19" i="16"/>
  <c r="G20" i="16" s="1"/>
  <c r="N19" i="16"/>
  <c r="N20" i="16" s="1"/>
  <c r="J19" i="16"/>
  <c r="J20" i="16" s="1"/>
  <c r="F19" i="16"/>
  <c r="F20" i="16" s="1"/>
  <c r="H52" i="16"/>
  <c r="Q150" i="10"/>
  <c r="P34" i="16"/>
  <c r="Q149" i="10"/>
  <c r="E115" i="16"/>
  <c r="O115" i="16"/>
  <c r="G115" i="16"/>
  <c r="F115" i="16"/>
  <c r="M115" i="16"/>
  <c r="I115" i="16"/>
  <c r="P115" i="16"/>
  <c r="L115" i="16"/>
  <c r="H115" i="16"/>
  <c r="E19" i="16"/>
  <c r="E20" i="16" s="1"/>
  <c r="P123" i="16"/>
  <c r="H123" i="16"/>
  <c r="O123" i="16"/>
  <c r="K123" i="16"/>
  <c r="G123" i="16"/>
  <c r="N123" i="16"/>
  <c r="J123" i="16"/>
  <c r="F123" i="16"/>
  <c r="M123" i="16"/>
  <c r="I123" i="16"/>
  <c r="E123" i="16"/>
  <c r="L123" i="16"/>
  <c r="I24" i="10" l="1"/>
  <c r="I21" i="16"/>
  <c r="F21" i="16"/>
  <c r="K21" i="16"/>
  <c r="J21" i="16"/>
  <c r="O21" i="16"/>
  <c r="M21" i="16"/>
  <c r="H21" i="16"/>
  <c r="P21" i="16"/>
  <c r="L21" i="16"/>
  <c r="N21" i="16"/>
  <c r="G21" i="16"/>
  <c r="E21" i="16"/>
  <c r="W31" i="1" l="1"/>
  <c r="G51" i="10"/>
  <c r="G5" i="32"/>
  <c r="H5" i="32"/>
  <c r="K45" i="10"/>
  <c r="L45" i="10"/>
  <c r="M45" i="10"/>
  <c r="N45" i="10"/>
  <c r="O45" i="10"/>
  <c r="P45" i="10"/>
  <c r="K5" i="32" l="1"/>
  <c r="L5" i="32"/>
  <c r="N5" i="32"/>
  <c r="J5" i="32"/>
  <c r="M5" i="32"/>
  <c r="I5" i="32"/>
  <c r="F9" i="31"/>
  <c r="F8" i="31" s="1"/>
  <c r="F15" i="13"/>
  <c r="G15" i="13"/>
  <c r="H15" i="13"/>
  <c r="H141" i="13" s="1"/>
  <c r="I20" i="1"/>
  <c r="J20" i="1"/>
  <c r="E15" i="13"/>
  <c r="L15" i="13" l="1"/>
  <c r="L141" i="13" s="1"/>
  <c r="K15" i="13"/>
  <c r="K141" i="13" s="1"/>
  <c r="P15" i="13"/>
  <c r="P141" i="13" s="1"/>
  <c r="O15" i="13"/>
  <c r="O141" i="13" s="1"/>
  <c r="N15" i="13"/>
  <c r="N141" i="13" s="1"/>
  <c r="J15" i="13"/>
  <c r="J141" i="13" s="1"/>
  <c r="M15" i="13"/>
  <c r="M141" i="13" s="1"/>
  <c r="I15" i="13"/>
  <c r="I141" i="13" s="1"/>
  <c r="E141" i="13"/>
  <c r="E140" i="13"/>
  <c r="G141" i="13"/>
  <c r="G140" i="13"/>
  <c r="F140" i="13"/>
  <c r="F141" i="13"/>
  <c r="E49" i="13"/>
  <c r="E62" i="13"/>
  <c r="E60" i="13"/>
  <c r="E61" i="13"/>
  <c r="P11" i="9"/>
  <c r="L11" i="9"/>
  <c r="H11" i="9"/>
  <c r="O11" i="9"/>
  <c r="K11" i="9"/>
  <c r="G11" i="9"/>
  <c r="N11" i="9"/>
  <c r="J11" i="9"/>
  <c r="F11" i="9"/>
  <c r="E11" i="9"/>
  <c r="M11" i="9"/>
  <c r="I11" i="9"/>
  <c r="F151" i="9" l="1"/>
  <c r="G52" i="10" l="1"/>
  <c r="D144" i="10"/>
  <c r="E144" i="9"/>
  <c r="A60" i="10"/>
  <c r="Q60" i="10"/>
  <c r="A61" i="10"/>
  <c r="Q61" i="10"/>
  <c r="A62" i="10"/>
  <c r="Q62" i="10"/>
  <c r="K62" i="1"/>
  <c r="K62" i="9" s="1"/>
  <c r="L62" i="1"/>
  <c r="L62" i="9" s="1"/>
  <c r="M62" i="1"/>
  <c r="M66" i="1" s="1"/>
  <c r="N62" i="1"/>
  <c r="N66" i="1" s="1"/>
  <c r="O62" i="1"/>
  <c r="O62" i="9" s="1"/>
  <c r="P62" i="1"/>
  <c r="P62" i="9" s="1"/>
  <c r="K61" i="1"/>
  <c r="K61" i="9" s="1"/>
  <c r="L61" i="1"/>
  <c r="L61" i="9" s="1"/>
  <c r="M61" i="1"/>
  <c r="M61" i="9" s="1"/>
  <c r="N61" i="1"/>
  <c r="N61" i="9" s="1"/>
  <c r="O61" i="1"/>
  <c r="O61" i="9" s="1"/>
  <c r="P61" i="1"/>
  <c r="P65" i="1" s="1"/>
  <c r="K60" i="1"/>
  <c r="K60" i="9" s="1"/>
  <c r="L60" i="1"/>
  <c r="L60" i="9" s="1"/>
  <c r="M60" i="1"/>
  <c r="M60" i="9" s="1"/>
  <c r="N60" i="1"/>
  <c r="N64" i="1" s="1"/>
  <c r="O60" i="1"/>
  <c r="O60" i="9" s="1"/>
  <c r="P60" i="1"/>
  <c r="P60" i="9" s="1"/>
  <c r="AL54" i="10" l="1"/>
  <c r="AL57" i="10"/>
  <c r="AL56" i="10"/>
  <c r="AL55" i="10"/>
  <c r="N60" i="9"/>
  <c r="K66" i="1"/>
  <c r="O66" i="1"/>
  <c r="N62" i="9"/>
  <c r="P66" i="1"/>
  <c r="P61" i="9"/>
  <c r="L65" i="1"/>
  <c r="L66" i="1"/>
  <c r="O65" i="1"/>
  <c r="K65" i="1"/>
  <c r="M64" i="1"/>
  <c r="M62" i="9"/>
  <c r="N65" i="1"/>
  <c r="P64" i="1"/>
  <c r="L64" i="1"/>
  <c r="M65" i="1"/>
  <c r="O64" i="1"/>
  <c r="K64" i="1"/>
  <c r="AL58" i="10" l="1"/>
  <c r="Q60" i="9"/>
  <c r="E148" i="1"/>
  <c r="F28" i="8"/>
  <c r="D68" i="10" l="1"/>
  <c r="E124" i="13" l="1"/>
  <c r="D123" i="11" s="1"/>
  <c r="E84" i="11"/>
  <c r="D95" i="9"/>
  <c r="D95" i="1" s="1"/>
  <c r="E81" i="11"/>
  <c r="A148" i="9"/>
  <c r="E117" i="11"/>
  <c r="E132" i="11"/>
  <c r="E133" i="11"/>
  <c r="E134" i="11"/>
  <c r="E151" i="11"/>
  <c r="D126" i="11" l="1"/>
  <c r="D122" i="11"/>
  <c r="D124" i="11"/>
  <c r="D125" i="11"/>
  <c r="V69" i="1"/>
  <c r="V71" i="1"/>
  <c r="A81" i="10" l="1"/>
  <c r="Q81" i="10"/>
  <c r="A81" i="13"/>
  <c r="A81" i="11"/>
  <c r="V76" i="10" l="1"/>
  <c r="D44" i="14" l="1"/>
  <c r="D41" i="14"/>
  <c r="D32" i="14"/>
  <c r="D35" i="14" s="1"/>
  <c r="D22" i="14"/>
  <c r="D15" i="14"/>
  <c r="D9" i="14"/>
  <c r="D23" i="14" l="1"/>
  <c r="D26" i="14"/>
  <c r="D25" i="14"/>
  <c r="A27" i="9" l="1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26" i="9"/>
  <c r="A151" i="11" l="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151" i="13"/>
  <c r="A150" i="13"/>
  <c r="A149" i="13"/>
  <c r="A148" i="13"/>
  <c r="A147" i="13"/>
  <c r="A146" i="13"/>
  <c r="A145" i="13"/>
  <c r="A144" i="13"/>
  <c r="A143" i="13"/>
  <c r="A142" i="13"/>
  <c r="A141" i="13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150" i="10" l="1"/>
  <c r="A151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26" i="10"/>
  <c r="V44" i="9"/>
  <c r="F52" i="10" l="1"/>
  <c r="F50" i="10"/>
  <c r="D117" i="9"/>
  <c r="D8" i="10" l="1"/>
  <c r="D52" i="10"/>
  <c r="D133" i="10"/>
  <c r="D132" i="10"/>
  <c r="D134" i="10"/>
  <c r="D143" i="10"/>
  <c r="D142" i="10"/>
  <c r="W109" i="13" l="1"/>
  <c r="X105" i="13"/>
  <c r="Z112" i="13"/>
  <c r="AA104" i="13"/>
  <c r="AE109" i="13"/>
  <c r="AF110" i="13"/>
  <c r="AG102" i="13"/>
  <c r="AH127" i="10"/>
  <c r="AH126" i="10"/>
  <c r="AH125" i="10"/>
  <c r="AH91" i="10"/>
  <c r="AH92" i="10"/>
  <c r="AH93" i="10"/>
  <c r="W50" i="9"/>
  <c r="Z50" i="9"/>
  <c r="AA52" i="9"/>
  <c r="K57" i="9"/>
  <c r="L57" i="9"/>
  <c r="M108" i="9"/>
  <c r="N108" i="9"/>
  <c r="O78" i="9"/>
  <c r="AF50" i="9" s="1"/>
  <c r="P116" i="9"/>
  <c r="V52" i="9"/>
  <c r="AH82" i="1"/>
  <c r="AU79" i="11"/>
  <c r="AT79" i="11"/>
  <c r="AS79" i="11"/>
  <c r="AR79" i="11"/>
  <c r="AQ79" i="11"/>
  <c r="AP79" i="11"/>
  <c r="AO79" i="11"/>
  <c r="AN79" i="11"/>
  <c r="AM79" i="11"/>
  <c r="AL79" i="11"/>
  <c r="AK79" i="11"/>
  <c r="AJ79" i="11"/>
  <c r="AU78" i="11"/>
  <c r="AT78" i="11"/>
  <c r="AS78" i="11"/>
  <c r="AR78" i="11"/>
  <c r="AQ78" i="11"/>
  <c r="AP78" i="11"/>
  <c r="AO78" i="11"/>
  <c r="AN78" i="11"/>
  <c r="AM78" i="11"/>
  <c r="AL78" i="11"/>
  <c r="AK78" i="11"/>
  <c r="AJ78" i="11"/>
  <c r="AU77" i="11"/>
  <c r="AT77" i="11"/>
  <c r="AS77" i="11"/>
  <c r="AR77" i="11"/>
  <c r="AQ77" i="11"/>
  <c r="AP77" i="11"/>
  <c r="AO77" i="11"/>
  <c r="AN77" i="11"/>
  <c r="AM77" i="11"/>
  <c r="AL77" i="11"/>
  <c r="AK77" i="11"/>
  <c r="AJ77" i="11"/>
  <c r="AU76" i="11"/>
  <c r="AT76" i="11"/>
  <c r="AS76" i="11"/>
  <c r="AR76" i="11"/>
  <c r="AQ76" i="11"/>
  <c r="AP76" i="11"/>
  <c r="AO76" i="11"/>
  <c r="AN76" i="11"/>
  <c r="AM76" i="11"/>
  <c r="AL76" i="11"/>
  <c r="AK76" i="11"/>
  <c r="AJ76" i="11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Q4" i="11"/>
  <c r="Q6" i="11"/>
  <c r="Q8" i="11"/>
  <c r="D35" i="11"/>
  <c r="D36" i="11"/>
  <c r="Q96" i="11"/>
  <c r="Q97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F117" i="11"/>
  <c r="G117" i="11"/>
  <c r="H117" i="11"/>
  <c r="I117" i="11"/>
  <c r="J117" i="11"/>
  <c r="K117" i="11"/>
  <c r="L117" i="11"/>
  <c r="M117" i="11"/>
  <c r="N117" i="11"/>
  <c r="O117" i="11"/>
  <c r="P117" i="11"/>
  <c r="F124" i="11"/>
  <c r="G124" i="11"/>
  <c r="F132" i="11"/>
  <c r="G132" i="11"/>
  <c r="H132" i="11"/>
  <c r="I132" i="11"/>
  <c r="J132" i="11"/>
  <c r="K132" i="11"/>
  <c r="L132" i="11"/>
  <c r="M132" i="11"/>
  <c r="N132" i="11"/>
  <c r="O132" i="11"/>
  <c r="P132" i="11"/>
  <c r="F133" i="11"/>
  <c r="G133" i="11"/>
  <c r="H133" i="11"/>
  <c r="I133" i="11"/>
  <c r="J133" i="11"/>
  <c r="K133" i="11"/>
  <c r="L133" i="11"/>
  <c r="M133" i="11"/>
  <c r="N133" i="11"/>
  <c r="O133" i="11"/>
  <c r="P133" i="11"/>
  <c r="F134" i="11"/>
  <c r="G134" i="11"/>
  <c r="H134" i="11"/>
  <c r="I134" i="11"/>
  <c r="J134" i="11"/>
  <c r="K134" i="11"/>
  <c r="L134" i="11"/>
  <c r="M134" i="11"/>
  <c r="N134" i="11"/>
  <c r="O134" i="11"/>
  <c r="P134" i="11"/>
  <c r="Q149" i="11"/>
  <c r="Q150" i="11"/>
  <c r="D151" i="11"/>
  <c r="F151" i="11"/>
  <c r="G151" i="11"/>
  <c r="H151" i="11"/>
  <c r="I151" i="11"/>
  <c r="J151" i="11"/>
  <c r="K151" i="11"/>
  <c r="L151" i="11"/>
  <c r="M151" i="11"/>
  <c r="N151" i="11"/>
  <c r="O151" i="11"/>
  <c r="P151" i="11"/>
  <c r="AT80" i="11" l="1"/>
  <c r="AO80" i="11"/>
  <c r="AJ80" i="11"/>
  <c r="AK80" i="11"/>
  <c r="AQ80" i="11"/>
  <c r="AP80" i="11"/>
  <c r="AR80" i="11"/>
  <c r="AL80" i="11"/>
  <c r="AN80" i="11"/>
  <c r="AU80" i="11"/>
  <c r="AS80" i="11"/>
  <c r="F147" i="9"/>
  <c r="AF105" i="13"/>
  <c r="O57" i="9"/>
  <c r="O114" i="9"/>
  <c r="O92" i="9"/>
  <c r="AF52" i="9" s="1"/>
  <c r="L54" i="9"/>
  <c r="Z52" i="9"/>
  <c r="P114" i="9"/>
  <c r="Q151" i="11"/>
  <c r="P108" i="9"/>
  <c r="W52" i="9"/>
  <c r="P57" i="9"/>
  <c r="O108" i="9"/>
  <c r="O116" i="9"/>
  <c r="AM80" i="11"/>
  <c r="O147" i="9"/>
  <c r="O101" i="9"/>
  <c r="M101" i="9"/>
  <c r="L145" i="9"/>
  <c r="L101" i="9"/>
  <c r="N114" i="9"/>
  <c r="L108" i="9"/>
  <c r="H145" i="9"/>
  <c r="Y50" i="9"/>
  <c r="N116" i="9"/>
  <c r="M114" i="9"/>
  <c r="K108" i="9"/>
  <c r="H147" i="9"/>
  <c r="G145" i="9"/>
  <c r="Y52" i="9"/>
  <c r="X50" i="9"/>
  <c r="M39" i="9"/>
  <c r="M145" i="9"/>
  <c r="L39" i="9"/>
  <c r="N57" i="9"/>
  <c r="M147" i="9"/>
  <c r="M92" i="9"/>
  <c r="AD52" i="9" s="1"/>
  <c r="L78" i="9"/>
  <c r="AC50" i="9" s="1"/>
  <c r="K39" i="9"/>
  <c r="L147" i="9"/>
  <c r="Q117" i="11"/>
  <c r="AV77" i="11"/>
  <c r="AV78" i="11"/>
  <c r="AV79" i="11"/>
  <c r="M116" i="9"/>
  <c r="L114" i="9"/>
  <c r="G147" i="9"/>
  <c r="F145" i="9"/>
  <c r="X52" i="9"/>
  <c r="N54" i="9"/>
  <c r="N92" i="9"/>
  <c r="AE52" i="9" s="1"/>
  <c r="K145" i="9"/>
  <c r="L116" i="9"/>
  <c r="E145" i="9"/>
  <c r="P39" i="9"/>
  <c r="P54" i="9"/>
  <c r="K116" i="9"/>
  <c r="E147" i="9"/>
  <c r="P145" i="9"/>
  <c r="V50" i="9"/>
  <c r="P78" i="9"/>
  <c r="AG50" i="9" s="1"/>
  <c r="M54" i="9"/>
  <c r="M57" i="9"/>
  <c r="K54" i="9"/>
  <c r="K78" i="9"/>
  <c r="AB50" i="9" s="1"/>
  <c r="K114" i="9"/>
  <c r="O39" i="9"/>
  <c r="O54" i="9"/>
  <c r="P101" i="9"/>
  <c r="P147" i="9"/>
  <c r="O145" i="9"/>
  <c r="P92" i="9"/>
  <c r="AG52" i="9" s="1"/>
  <c r="N145" i="9"/>
  <c r="N78" i="9"/>
  <c r="AE50" i="9" s="1"/>
  <c r="N101" i="9"/>
  <c r="M78" i="9"/>
  <c r="AD50" i="9" s="1"/>
  <c r="N39" i="9"/>
  <c r="N147" i="9"/>
  <c r="L92" i="9"/>
  <c r="AC52" i="9" s="1"/>
  <c r="K101" i="9"/>
  <c r="K147" i="9"/>
  <c r="K92" i="9"/>
  <c r="AB52" i="9" s="1"/>
  <c r="AA50" i="9"/>
  <c r="AC97" i="13"/>
  <c r="AC106" i="13"/>
  <c r="Y101" i="13"/>
  <c r="Y102" i="13"/>
  <c r="W100" i="13"/>
  <c r="X89" i="13"/>
  <c r="X97" i="13"/>
  <c r="AD112" i="13"/>
  <c r="AD87" i="13"/>
  <c r="AD103" i="13"/>
  <c r="AD108" i="13"/>
  <c r="AD95" i="13"/>
  <c r="Z107" i="13"/>
  <c r="Z99" i="13"/>
  <c r="Z108" i="13"/>
  <c r="AG111" i="13"/>
  <c r="AC111" i="13"/>
  <c r="AG94" i="13"/>
  <c r="Y111" i="13"/>
  <c r="AC98" i="13"/>
  <c r="Y94" i="13"/>
  <c r="V88" i="13"/>
  <c r="V96" i="13"/>
  <c r="V100" i="13"/>
  <c r="V104" i="13"/>
  <c r="V108" i="13"/>
  <c r="V112" i="13"/>
  <c r="V97" i="13"/>
  <c r="V101" i="13"/>
  <c r="V105" i="13"/>
  <c r="V109" i="13"/>
  <c r="V94" i="13"/>
  <c r="V98" i="13"/>
  <c r="V102" i="13"/>
  <c r="V106" i="13"/>
  <c r="V110" i="13"/>
  <c r="V87" i="13"/>
  <c r="V107" i="13"/>
  <c r="AG96" i="13"/>
  <c r="AG100" i="13"/>
  <c r="AG104" i="13"/>
  <c r="AG95" i="13"/>
  <c r="AG99" i="13"/>
  <c r="AG103" i="13"/>
  <c r="AG97" i="13"/>
  <c r="AG105" i="13"/>
  <c r="AG110" i="13"/>
  <c r="AG98" i="13"/>
  <c r="AG106" i="13"/>
  <c r="AG109" i="13"/>
  <c r="AG101" i="13"/>
  <c r="AG108" i="13"/>
  <c r="AG112" i="13"/>
  <c r="V103" i="13"/>
  <c r="AA109" i="13"/>
  <c r="AG107" i="13"/>
  <c r="AA96" i="13"/>
  <c r="AF88" i="13"/>
  <c r="AF95" i="13"/>
  <c r="AF99" i="13"/>
  <c r="AF103" i="13"/>
  <c r="AF107" i="13"/>
  <c r="AF94" i="13"/>
  <c r="AF98" i="13"/>
  <c r="AF102" i="13"/>
  <c r="AF106" i="13"/>
  <c r="AF100" i="13"/>
  <c r="AF109" i="13"/>
  <c r="AF101" i="13"/>
  <c r="AF108" i="13"/>
  <c r="AF112" i="13"/>
  <c r="AF89" i="13"/>
  <c r="AF96" i="13"/>
  <c r="AF104" i="13"/>
  <c r="AF111" i="13"/>
  <c r="AB88" i="13"/>
  <c r="AB95" i="13"/>
  <c r="AB99" i="13"/>
  <c r="AB103" i="13"/>
  <c r="AB107" i="13"/>
  <c r="AB94" i="13"/>
  <c r="AB98" i="13"/>
  <c r="AB102" i="13"/>
  <c r="AB106" i="13"/>
  <c r="AB96" i="13"/>
  <c r="AB104" i="13"/>
  <c r="AB109" i="13"/>
  <c r="AB89" i="13"/>
  <c r="AB97" i="13"/>
  <c r="AB105" i="13"/>
  <c r="AB108" i="13"/>
  <c r="AB112" i="13"/>
  <c r="AB100" i="13"/>
  <c r="AB111" i="13"/>
  <c r="X88" i="13"/>
  <c r="X95" i="13"/>
  <c r="X99" i="13"/>
  <c r="X103" i="13"/>
  <c r="X107" i="13"/>
  <c r="X94" i="13"/>
  <c r="X98" i="13"/>
  <c r="X102" i="13"/>
  <c r="X106" i="13"/>
  <c r="X100" i="13"/>
  <c r="X109" i="13"/>
  <c r="X101" i="13"/>
  <c r="X108" i="13"/>
  <c r="X112" i="13"/>
  <c r="X96" i="13"/>
  <c r="X104" i="13"/>
  <c r="X111" i="13"/>
  <c r="V99" i="13"/>
  <c r="AB110" i="13"/>
  <c r="AB101" i="13"/>
  <c r="AE87" i="13"/>
  <c r="AE94" i="13"/>
  <c r="AE98" i="13"/>
  <c r="AE102" i="13"/>
  <c r="AE106" i="13"/>
  <c r="AE97" i="13"/>
  <c r="AE101" i="13"/>
  <c r="AE105" i="13"/>
  <c r="AE95" i="13"/>
  <c r="AE103" i="13"/>
  <c r="AE108" i="13"/>
  <c r="AE112" i="13"/>
  <c r="AE96" i="13"/>
  <c r="AE104" i="13"/>
  <c r="AE111" i="13"/>
  <c r="AE99" i="13"/>
  <c r="AE107" i="13"/>
  <c r="AE110" i="13"/>
  <c r="AE88" i="13"/>
  <c r="AA87" i="13"/>
  <c r="AA94" i="13"/>
  <c r="AA98" i="13"/>
  <c r="AA102" i="13"/>
  <c r="AA106" i="13"/>
  <c r="AA97" i="13"/>
  <c r="AA101" i="13"/>
  <c r="AA105" i="13"/>
  <c r="AA99" i="13"/>
  <c r="AA107" i="13"/>
  <c r="AA108" i="13"/>
  <c r="AA112" i="13"/>
  <c r="AA100" i="13"/>
  <c r="AA111" i="13"/>
  <c r="AA88" i="13"/>
  <c r="AA95" i="13"/>
  <c r="AA103" i="13"/>
  <c r="AA110" i="13"/>
  <c r="W87" i="13"/>
  <c r="W94" i="13"/>
  <c r="W98" i="13"/>
  <c r="W102" i="13"/>
  <c r="W106" i="13"/>
  <c r="W97" i="13"/>
  <c r="W101" i="13"/>
  <c r="W105" i="13"/>
  <c r="W95" i="13"/>
  <c r="W103" i="13"/>
  <c r="W108" i="13"/>
  <c r="W112" i="13"/>
  <c r="W88" i="13"/>
  <c r="W96" i="13"/>
  <c r="W104" i="13"/>
  <c r="W111" i="13"/>
  <c r="W99" i="13"/>
  <c r="W107" i="13"/>
  <c r="W110" i="13"/>
  <c r="V111" i="13"/>
  <c r="V95" i="13"/>
  <c r="X110" i="13"/>
  <c r="AE100" i="13"/>
  <c r="AF97" i="13"/>
  <c r="AD89" i="13"/>
  <c r="AD97" i="13"/>
  <c r="AD101" i="13"/>
  <c r="AD105" i="13"/>
  <c r="AD96" i="13"/>
  <c r="AD100" i="13"/>
  <c r="AD104" i="13"/>
  <c r="Z89" i="13"/>
  <c r="Z97" i="13"/>
  <c r="Z101" i="13"/>
  <c r="Z105" i="13"/>
  <c r="Z96" i="13"/>
  <c r="Z100" i="13"/>
  <c r="Z104" i="13"/>
  <c r="Z87" i="13"/>
  <c r="AC112" i="13"/>
  <c r="Y112" i="13"/>
  <c r="AD109" i="13"/>
  <c r="Z109" i="13"/>
  <c r="AC108" i="13"/>
  <c r="Y108" i="13"/>
  <c r="Z106" i="13"/>
  <c r="AC105" i="13"/>
  <c r="AD102" i="13"/>
  <c r="Z98" i="13"/>
  <c r="AD94" i="13"/>
  <c r="AC96" i="13"/>
  <c r="AC100" i="13"/>
  <c r="AC104" i="13"/>
  <c r="AC95" i="13"/>
  <c r="AC99" i="13"/>
  <c r="AC103" i="13"/>
  <c r="AC107" i="13"/>
  <c r="Y96" i="13"/>
  <c r="Y100" i="13"/>
  <c r="Y104" i="13"/>
  <c r="Y95" i="13"/>
  <c r="Y99" i="13"/>
  <c r="Y103" i="13"/>
  <c r="Y107" i="13"/>
  <c r="AD110" i="13"/>
  <c r="Z110" i="13"/>
  <c r="AC109" i="13"/>
  <c r="Y109" i="13"/>
  <c r="AD107" i="13"/>
  <c r="Y106" i="13"/>
  <c r="Z103" i="13"/>
  <c r="AC102" i="13"/>
  <c r="AD99" i="13"/>
  <c r="Y98" i="13"/>
  <c r="Z95" i="13"/>
  <c r="AC94" i="13"/>
  <c r="AD111" i="13"/>
  <c r="Z111" i="13"/>
  <c r="AC110" i="13"/>
  <c r="Y110" i="13"/>
  <c r="AD106" i="13"/>
  <c r="Y105" i="13"/>
  <c r="Z102" i="13"/>
  <c r="AC101" i="13"/>
  <c r="AD98" i="13"/>
  <c r="Y97" i="13"/>
  <c r="Z94" i="13"/>
  <c r="AC89" i="13"/>
  <c r="AC88" i="13"/>
  <c r="AC87" i="13"/>
  <c r="AG89" i="13"/>
  <c r="AG88" i="13"/>
  <c r="AG87" i="13"/>
  <c r="Y89" i="13"/>
  <c r="Y88" i="13"/>
  <c r="Y87" i="13"/>
  <c r="V89" i="13"/>
  <c r="AE89" i="13"/>
  <c r="AA89" i="13"/>
  <c r="W89" i="13"/>
  <c r="AD88" i="13"/>
  <c r="Z88" i="13"/>
  <c r="AF87" i="13"/>
  <c r="AB87" i="13"/>
  <c r="X87" i="13"/>
  <c r="AH77" i="10"/>
  <c r="AV76" i="11"/>
  <c r="V72" i="9" l="1"/>
  <c r="AV80" i="11"/>
  <c r="F134" i="10"/>
  <c r="G134" i="10"/>
  <c r="H134" i="10"/>
  <c r="J134" i="10"/>
  <c r="K134" i="10"/>
  <c r="L134" i="10"/>
  <c r="M134" i="10"/>
  <c r="N134" i="10"/>
  <c r="O134" i="10"/>
  <c r="P134" i="10"/>
  <c r="AG54" i="1"/>
  <c r="AF54" i="1"/>
  <c r="AE54" i="1"/>
  <c r="AD54" i="1"/>
  <c r="AC54" i="1"/>
  <c r="AB54" i="1"/>
  <c r="AA54" i="1"/>
  <c r="Z54" i="1"/>
  <c r="Y54" i="1"/>
  <c r="X54" i="1"/>
  <c r="W54" i="1"/>
  <c r="V54" i="1"/>
  <c r="AG52" i="1"/>
  <c r="AF52" i="1"/>
  <c r="AE52" i="1"/>
  <c r="AD52" i="1"/>
  <c r="AC52" i="1"/>
  <c r="AB52" i="1"/>
  <c r="AA52" i="1"/>
  <c r="Z52" i="1"/>
  <c r="Y52" i="1"/>
  <c r="X52" i="1"/>
  <c r="W52" i="1"/>
  <c r="V52" i="1"/>
  <c r="D151" i="9" l="1"/>
  <c r="D148" i="9"/>
  <c r="Q147" i="9"/>
  <c r="Q145" i="9"/>
  <c r="D144" i="9"/>
  <c r="D143" i="9"/>
  <c r="D142" i="9"/>
  <c r="D142" i="1" s="1"/>
  <c r="P134" i="9"/>
  <c r="O134" i="9"/>
  <c r="N134" i="9"/>
  <c r="M134" i="9"/>
  <c r="L134" i="9"/>
  <c r="K134" i="9"/>
  <c r="J134" i="9"/>
  <c r="I134" i="9"/>
  <c r="H134" i="9"/>
  <c r="G134" i="9"/>
  <c r="F134" i="9"/>
  <c r="E134" i="9"/>
  <c r="D134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P132" i="9"/>
  <c r="O132" i="9"/>
  <c r="N132" i="9"/>
  <c r="M132" i="9"/>
  <c r="L132" i="9"/>
  <c r="K132" i="9"/>
  <c r="J132" i="9"/>
  <c r="I132" i="9"/>
  <c r="H132" i="9"/>
  <c r="G132" i="9"/>
  <c r="F132" i="9"/>
  <c r="E132" i="9"/>
  <c r="D132" i="9"/>
  <c r="D124" i="9"/>
  <c r="Q116" i="9"/>
  <c r="Q114" i="9"/>
  <c r="Q108" i="9"/>
  <c r="Q101" i="9"/>
  <c r="Q92" i="9"/>
  <c r="Q78" i="9"/>
  <c r="D69" i="9"/>
  <c r="D68" i="9"/>
  <c r="D67" i="9"/>
  <c r="Q57" i="9"/>
  <c r="Q54" i="9"/>
  <c r="D52" i="9"/>
  <c r="D52" i="1" s="1"/>
  <c r="D51" i="9"/>
  <c r="D50" i="9"/>
  <c r="Q39" i="9"/>
  <c r="D37" i="9"/>
  <c r="D36" i="9"/>
  <c r="D35" i="9"/>
  <c r="Q8" i="9"/>
  <c r="Q6" i="9"/>
  <c r="Q4" i="9"/>
  <c r="D151" i="10"/>
  <c r="P150" i="9"/>
  <c r="O150" i="9"/>
  <c r="N150" i="9"/>
  <c r="M150" i="9"/>
  <c r="L150" i="9"/>
  <c r="K150" i="9"/>
  <c r="P149" i="9"/>
  <c r="L149" i="9"/>
  <c r="D148" i="10"/>
  <c r="Q147" i="10"/>
  <c r="Q145" i="10"/>
  <c r="Q139" i="10"/>
  <c r="Q137" i="10"/>
  <c r="P133" i="10"/>
  <c r="O133" i="10"/>
  <c r="N133" i="10"/>
  <c r="M133" i="10"/>
  <c r="L133" i="10"/>
  <c r="K133" i="10"/>
  <c r="J133" i="10"/>
  <c r="G133" i="10"/>
  <c r="F133" i="10"/>
  <c r="P132" i="10"/>
  <c r="O132" i="10"/>
  <c r="N132" i="10"/>
  <c r="M132" i="10"/>
  <c r="L132" i="10"/>
  <c r="K132" i="10"/>
  <c r="J132" i="10"/>
  <c r="H132" i="10"/>
  <c r="G132" i="10"/>
  <c r="F132" i="10"/>
  <c r="D124" i="10"/>
  <c r="Q122" i="10"/>
  <c r="Q116" i="10"/>
  <c r="Q114" i="10"/>
  <c r="Q113" i="10"/>
  <c r="Q108" i="10"/>
  <c r="Q106" i="10"/>
  <c r="Q105" i="10"/>
  <c r="Q101" i="10"/>
  <c r="Q100" i="10"/>
  <c r="Q92" i="10"/>
  <c r="Q78" i="10"/>
  <c r="D69" i="10"/>
  <c r="D67" i="10"/>
  <c r="Q66" i="10"/>
  <c r="Q65" i="10"/>
  <c r="Q64" i="10"/>
  <c r="Q63" i="10"/>
  <c r="Q58" i="10"/>
  <c r="Q57" i="10"/>
  <c r="Q56" i="10"/>
  <c r="P55" i="10"/>
  <c r="O55" i="10"/>
  <c r="N55" i="10"/>
  <c r="M55" i="10"/>
  <c r="L55" i="10"/>
  <c r="K55" i="10"/>
  <c r="G67" i="10"/>
  <c r="G188" i="1" s="1"/>
  <c r="G201" i="1" s="1"/>
  <c r="G203" i="1" s="1"/>
  <c r="Q54" i="10"/>
  <c r="D51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D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P48" i="10"/>
  <c r="O48" i="10"/>
  <c r="N48" i="10"/>
  <c r="M48" i="10"/>
  <c r="L48" i="10"/>
  <c r="K48" i="10"/>
  <c r="P47" i="10"/>
  <c r="O47" i="10"/>
  <c r="N47" i="10"/>
  <c r="M47" i="10"/>
  <c r="L47" i="10"/>
  <c r="K47" i="10"/>
  <c r="P46" i="10"/>
  <c r="O46" i="10"/>
  <c r="N46" i="10"/>
  <c r="M46" i="10"/>
  <c r="L46" i="10"/>
  <c r="K46" i="10"/>
  <c r="P44" i="10"/>
  <c r="O44" i="10"/>
  <c r="N44" i="10"/>
  <c r="M44" i="10"/>
  <c r="L44" i="10"/>
  <c r="K44" i="10"/>
  <c r="P42" i="10"/>
  <c r="O42" i="10"/>
  <c r="N42" i="10"/>
  <c r="M42" i="10"/>
  <c r="L42" i="10"/>
  <c r="K42" i="10"/>
  <c r="P40" i="10"/>
  <c r="O40" i="10"/>
  <c r="N40" i="10"/>
  <c r="M40" i="10"/>
  <c r="L40" i="10"/>
  <c r="K40" i="10"/>
  <c r="Q39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D37" i="10"/>
  <c r="D36" i="10"/>
  <c r="D35" i="10"/>
  <c r="P34" i="10"/>
  <c r="O34" i="10"/>
  <c r="N34" i="10"/>
  <c r="M34" i="10"/>
  <c r="L34" i="10"/>
  <c r="K34" i="10"/>
  <c r="G36" i="10"/>
  <c r="P30" i="10"/>
  <c r="P184" i="1" s="1"/>
  <c r="O30" i="10"/>
  <c r="O184" i="1" s="1"/>
  <c r="N30" i="10"/>
  <c r="N184" i="1" s="1"/>
  <c r="M30" i="10"/>
  <c r="M184" i="1" s="1"/>
  <c r="L30" i="10"/>
  <c r="L184" i="1" s="1"/>
  <c r="K30" i="10"/>
  <c r="K184" i="1" s="1"/>
  <c r="J184" i="1"/>
  <c r="I184" i="1"/>
  <c r="P29" i="10"/>
  <c r="P183" i="1" s="1"/>
  <c r="O29" i="10"/>
  <c r="O183" i="1" s="1"/>
  <c r="N29" i="10"/>
  <c r="N183" i="1" s="1"/>
  <c r="M29" i="10"/>
  <c r="M183" i="1" s="1"/>
  <c r="L29" i="10"/>
  <c r="L183" i="1" s="1"/>
  <c r="K29" i="10"/>
  <c r="K183" i="1" s="1"/>
  <c r="J183" i="1"/>
  <c r="D124" i="1" l="1"/>
  <c r="I183" i="1"/>
  <c r="D50" i="1"/>
  <c r="D3" i="9"/>
  <c r="D7" i="9" s="1"/>
  <c r="D152" i="10"/>
  <c r="D151" i="1"/>
  <c r="D35" i="1"/>
  <c r="D37" i="1"/>
  <c r="D143" i="1"/>
  <c r="D144" i="1"/>
  <c r="D148" i="1"/>
  <c r="D117" i="1"/>
  <c r="AB40" i="13"/>
  <c r="AS40" i="13"/>
  <c r="V50" i="13"/>
  <c r="AM50" i="13"/>
  <c r="BA16" i="11" s="1"/>
  <c r="AD50" i="13"/>
  <c r="AU50" i="13"/>
  <c r="BI16" i="11" s="1"/>
  <c r="AC52" i="13"/>
  <c r="AT52" i="13"/>
  <c r="BH18" i="11" s="1"/>
  <c r="AP40" i="13"/>
  <c r="AC40" i="13"/>
  <c r="AT40" i="13"/>
  <c r="AG40" i="13"/>
  <c r="AX40" i="13"/>
  <c r="W50" i="13"/>
  <c r="AN50" i="13"/>
  <c r="BB16" i="11" s="1"/>
  <c r="AA50" i="13"/>
  <c r="AR50" i="13"/>
  <c r="BF16" i="11" s="1"/>
  <c r="AE50" i="13"/>
  <c r="AV50" i="13"/>
  <c r="BJ16" i="11" s="1"/>
  <c r="AM52" i="13"/>
  <c r="BA18" i="11" s="1"/>
  <c r="Z52" i="13"/>
  <c r="AQ52" i="13"/>
  <c r="BE18" i="11" s="1"/>
  <c r="AD52" i="13"/>
  <c r="AU52" i="13"/>
  <c r="BI18" i="11" s="1"/>
  <c r="AO40" i="13"/>
  <c r="AF40" i="13"/>
  <c r="AW40" i="13"/>
  <c r="Z50" i="13"/>
  <c r="AQ50" i="13"/>
  <c r="BE16" i="11" s="1"/>
  <c r="Y52" i="13"/>
  <c r="AP52" i="13"/>
  <c r="BD18" i="11" s="1"/>
  <c r="AM40" i="13"/>
  <c r="AQ40" i="13"/>
  <c r="AD40" i="13"/>
  <c r="AU40" i="13"/>
  <c r="X50" i="13"/>
  <c r="AO50" i="13"/>
  <c r="BC16" i="11" s="1"/>
  <c r="AB50" i="13"/>
  <c r="AS50" i="13"/>
  <c r="BG16" i="11" s="1"/>
  <c r="AF50" i="13"/>
  <c r="AW50" i="13"/>
  <c r="BK16" i="11" s="1"/>
  <c r="AN52" i="13"/>
  <c r="BB18" i="11" s="1"/>
  <c r="AA52" i="13"/>
  <c r="AR52" i="13"/>
  <c r="BF18" i="11" s="1"/>
  <c r="AE52" i="13"/>
  <c r="AV52" i="13"/>
  <c r="BJ18" i="11" s="1"/>
  <c r="AG52" i="13"/>
  <c r="AX52" i="13"/>
  <c r="BL18" i="11" s="1"/>
  <c r="AN40" i="13"/>
  <c r="AR40" i="13"/>
  <c r="AE40" i="13"/>
  <c r="AV40" i="13"/>
  <c r="Y50" i="13"/>
  <c r="AP50" i="13"/>
  <c r="BD16" i="11" s="1"/>
  <c r="AC50" i="13"/>
  <c r="AT50" i="13"/>
  <c r="BH16" i="11" s="1"/>
  <c r="AG50" i="13"/>
  <c r="AX50" i="13"/>
  <c r="BL16" i="11" s="1"/>
  <c r="X52" i="13"/>
  <c r="AO52" i="13"/>
  <c r="BC18" i="11" s="1"/>
  <c r="AB52" i="13"/>
  <c r="AS52" i="13"/>
  <c r="BG18" i="11" s="1"/>
  <c r="AF52" i="13"/>
  <c r="AW52" i="13"/>
  <c r="BK18" i="11" s="1"/>
  <c r="AH52" i="10"/>
  <c r="E151" i="10"/>
  <c r="M151" i="10"/>
  <c r="M149" i="9"/>
  <c r="Q150" i="9"/>
  <c r="F151" i="10"/>
  <c r="F151" i="1" s="1"/>
  <c r="J151" i="10"/>
  <c r="N151" i="10"/>
  <c r="N149" i="9"/>
  <c r="G151" i="10"/>
  <c r="K151" i="10"/>
  <c r="K149" i="9"/>
  <c r="O151" i="10"/>
  <c r="O149" i="9"/>
  <c r="H151" i="9"/>
  <c r="L151" i="9"/>
  <c r="P151" i="9"/>
  <c r="Q30" i="10"/>
  <c r="Q55" i="10"/>
  <c r="Q33" i="10"/>
  <c r="Q46" i="10"/>
  <c r="Q48" i="10"/>
  <c r="AH52" i="9"/>
  <c r="AH50" i="9"/>
  <c r="Q47" i="10"/>
  <c r="Q29" i="10"/>
  <c r="Q34" i="10"/>
  <c r="Q40" i="10"/>
  <c r="Q44" i="10"/>
  <c r="AH40" i="10"/>
  <c r="Q42" i="10"/>
  <c r="AH50" i="10"/>
  <c r="L151" i="10"/>
  <c r="P151" i="10"/>
  <c r="D152" i="1" l="1"/>
  <c r="P151" i="1"/>
  <c r="L151" i="1"/>
  <c r="H151" i="1"/>
  <c r="BM18" i="11"/>
  <c r="BM16" i="11"/>
  <c r="I151" i="9"/>
  <c r="I151" i="1" s="1"/>
  <c r="Q151" i="10"/>
  <c r="K151" i="9"/>
  <c r="K151" i="1" s="1"/>
  <c r="J151" i="9"/>
  <c r="J151" i="1" s="1"/>
  <c r="M151" i="9"/>
  <c r="M151" i="1" s="1"/>
  <c r="Q149" i="9"/>
  <c r="E151" i="9"/>
  <c r="E151" i="1" s="1"/>
  <c r="N151" i="9"/>
  <c r="N151" i="1" s="1"/>
  <c r="O151" i="9"/>
  <c r="O151" i="1" s="1"/>
  <c r="G151" i="9"/>
  <c r="G151" i="1" s="1"/>
  <c r="Q151" i="9" l="1"/>
  <c r="P146" i="19" l="1"/>
  <c r="O146" i="19"/>
  <c r="N146" i="19"/>
  <c r="M146" i="19"/>
  <c r="L146" i="19"/>
  <c r="K146" i="19"/>
  <c r="J146" i="19"/>
  <c r="I146" i="19"/>
  <c r="H146" i="19"/>
  <c r="G146" i="19"/>
  <c r="F146" i="19"/>
  <c r="E146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P126" i="19"/>
  <c r="O126" i="19"/>
  <c r="N126" i="19"/>
  <c r="M126" i="19"/>
  <c r="L126" i="19"/>
  <c r="K126" i="19"/>
  <c r="J126" i="19"/>
  <c r="I126" i="19"/>
  <c r="H126" i="19"/>
  <c r="G126" i="19"/>
  <c r="F126" i="19"/>
  <c r="E126" i="19"/>
  <c r="P77" i="19"/>
  <c r="O77" i="19"/>
  <c r="N77" i="19"/>
  <c r="M77" i="19"/>
  <c r="L77" i="19"/>
  <c r="K77" i="19"/>
  <c r="J77" i="19"/>
  <c r="I77" i="19"/>
  <c r="H77" i="19"/>
  <c r="G77" i="19"/>
  <c r="F77" i="19"/>
  <c r="E77" i="19"/>
  <c r="P75" i="19"/>
  <c r="O75" i="19"/>
  <c r="N75" i="19"/>
  <c r="M75" i="19"/>
  <c r="L75" i="19"/>
  <c r="K75" i="19"/>
  <c r="J75" i="19"/>
  <c r="I75" i="19"/>
  <c r="H75" i="19"/>
  <c r="G75" i="19"/>
  <c r="F75" i="19"/>
  <c r="E75" i="19"/>
  <c r="P124" i="19"/>
  <c r="O124" i="19"/>
  <c r="N124" i="19"/>
  <c r="M124" i="19"/>
  <c r="L124" i="19"/>
  <c r="K124" i="19"/>
  <c r="J124" i="19"/>
  <c r="I124" i="19"/>
  <c r="H124" i="19"/>
  <c r="G124" i="19"/>
  <c r="F124" i="19"/>
  <c r="E124" i="19"/>
  <c r="P142" i="19"/>
  <c r="O142" i="19"/>
  <c r="N142" i="19"/>
  <c r="M142" i="19"/>
  <c r="L142" i="19"/>
  <c r="K142" i="19"/>
  <c r="J142" i="19"/>
  <c r="I142" i="19"/>
  <c r="H142" i="19"/>
  <c r="G142" i="19"/>
  <c r="F142" i="19"/>
  <c r="E142" i="19"/>
  <c r="P141" i="19"/>
  <c r="O141" i="19"/>
  <c r="N141" i="19"/>
  <c r="M141" i="19"/>
  <c r="L141" i="19"/>
  <c r="K141" i="19"/>
  <c r="J141" i="19"/>
  <c r="I141" i="19"/>
  <c r="H141" i="19"/>
  <c r="G141" i="19"/>
  <c r="F141" i="19"/>
  <c r="E141" i="19"/>
  <c r="P154" i="19"/>
  <c r="O154" i="19"/>
  <c r="N154" i="19"/>
  <c r="M154" i="19"/>
  <c r="L154" i="19"/>
  <c r="K154" i="19"/>
  <c r="J154" i="19"/>
  <c r="I154" i="19"/>
  <c r="H154" i="19"/>
  <c r="G154" i="19"/>
  <c r="F154" i="19"/>
  <c r="E154" i="19"/>
  <c r="P160" i="19"/>
  <c r="O160" i="19"/>
  <c r="N160" i="19"/>
  <c r="M160" i="19"/>
  <c r="L160" i="19"/>
  <c r="K160" i="19"/>
  <c r="J160" i="19"/>
  <c r="I160" i="19"/>
  <c r="H160" i="19"/>
  <c r="G160" i="19"/>
  <c r="F160" i="19"/>
  <c r="E160" i="19"/>
  <c r="P159" i="19"/>
  <c r="O159" i="19"/>
  <c r="N159" i="19"/>
  <c r="M159" i="19"/>
  <c r="L159" i="19"/>
  <c r="K159" i="19"/>
  <c r="J159" i="19"/>
  <c r="I159" i="19"/>
  <c r="H159" i="19"/>
  <c r="G159" i="19"/>
  <c r="F159" i="19"/>
  <c r="E159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E161" i="19" l="1"/>
  <c r="Q141" i="19"/>
  <c r="Q142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P26" i="19" l="1"/>
  <c r="O26" i="19"/>
  <c r="N26" i="19"/>
  <c r="M26" i="19"/>
  <c r="L26" i="19"/>
  <c r="K26" i="19"/>
  <c r="J26" i="19"/>
  <c r="I26" i="19"/>
  <c r="H26" i="19"/>
  <c r="G26" i="19"/>
  <c r="F26" i="19"/>
  <c r="E26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P24" i="19"/>
  <c r="O24" i="19"/>
  <c r="N24" i="19"/>
  <c r="M24" i="19"/>
  <c r="L24" i="19"/>
  <c r="K24" i="19"/>
  <c r="K122" i="1" l="1"/>
  <c r="L122" i="1"/>
  <c r="M122" i="1"/>
  <c r="N122" i="1"/>
  <c r="O122" i="1"/>
  <c r="P122" i="1"/>
  <c r="K123" i="1"/>
  <c r="L123" i="1"/>
  <c r="M123" i="1"/>
  <c r="N123" i="1"/>
  <c r="O123" i="1"/>
  <c r="P123" i="1"/>
  <c r="K96" i="1"/>
  <c r="L96" i="1"/>
  <c r="M96" i="1"/>
  <c r="N96" i="1"/>
  <c r="O96" i="1"/>
  <c r="P96" i="1"/>
  <c r="K97" i="1"/>
  <c r="L97" i="1"/>
  <c r="M97" i="1"/>
  <c r="N97" i="1"/>
  <c r="O97" i="1"/>
  <c r="P97" i="1"/>
  <c r="K99" i="1"/>
  <c r="L99" i="1"/>
  <c r="M99" i="1"/>
  <c r="N99" i="1"/>
  <c r="O99" i="1"/>
  <c r="P99" i="1"/>
  <c r="K100" i="1"/>
  <c r="K100" i="9" s="1"/>
  <c r="L100" i="1"/>
  <c r="L100" i="9" s="1"/>
  <c r="M100" i="1"/>
  <c r="M100" i="9" s="1"/>
  <c r="N100" i="1"/>
  <c r="N100" i="9" s="1"/>
  <c r="O100" i="1"/>
  <c r="O100" i="9" s="1"/>
  <c r="P100" i="1"/>
  <c r="P100" i="9" s="1"/>
  <c r="K102" i="1"/>
  <c r="L102" i="1"/>
  <c r="M102" i="1"/>
  <c r="N102" i="1"/>
  <c r="O102" i="1"/>
  <c r="P102" i="1"/>
  <c r="K104" i="1"/>
  <c r="L104" i="1"/>
  <c r="M104" i="1"/>
  <c r="N104" i="1"/>
  <c r="O104" i="1"/>
  <c r="P104" i="1"/>
  <c r="K105" i="1"/>
  <c r="K105" i="9" s="1"/>
  <c r="L105" i="1"/>
  <c r="L105" i="9" s="1"/>
  <c r="M105" i="1"/>
  <c r="M105" i="9" s="1"/>
  <c r="N105" i="1"/>
  <c r="N105" i="9" s="1"/>
  <c r="O105" i="1"/>
  <c r="O105" i="9" s="1"/>
  <c r="P105" i="1"/>
  <c r="P105" i="9" s="1"/>
  <c r="K106" i="1"/>
  <c r="L106" i="1"/>
  <c r="M106" i="1"/>
  <c r="M106" i="9" s="1"/>
  <c r="N106" i="1"/>
  <c r="N106" i="9" s="1"/>
  <c r="O106" i="1"/>
  <c r="P106" i="1"/>
  <c r="K109" i="1"/>
  <c r="L109" i="1"/>
  <c r="M109" i="1"/>
  <c r="N109" i="1"/>
  <c r="O109" i="1"/>
  <c r="P109" i="1"/>
  <c r="K110" i="1"/>
  <c r="L110" i="1"/>
  <c r="M110" i="1"/>
  <c r="N110" i="1"/>
  <c r="O110" i="1"/>
  <c r="P110" i="1"/>
  <c r="K111" i="1"/>
  <c r="L111" i="1"/>
  <c r="M111" i="1"/>
  <c r="N111" i="1"/>
  <c r="O111" i="1"/>
  <c r="P111" i="1"/>
  <c r="K112" i="1"/>
  <c r="L112" i="1"/>
  <c r="M112" i="1"/>
  <c r="N112" i="1"/>
  <c r="O112" i="1"/>
  <c r="P112" i="1"/>
  <c r="K113" i="1"/>
  <c r="K113" i="9" s="1"/>
  <c r="L113" i="1"/>
  <c r="L113" i="9" s="1"/>
  <c r="M113" i="1"/>
  <c r="M113" i="9" s="1"/>
  <c r="N113" i="1"/>
  <c r="N113" i="9" s="1"/>
  <c r="O113" i="1"/>
  <c r="O113" i="9" s="1"/>
  <c r="P113" i="1"/>
  <c r="P113" i="9" s="1"/>
  <c r="K115" i="1"/>
  <c r="L115" i="1"/>
  <c r="M115" i="1"/>
  <c r="N115" i="1"/>
  <c r="O115" i="1"/>
  <c r="P115" i="1"/>
  <c r="W46" i="1"/>
  <c r="X46" i="1"/>
  <c r="Y46" i="1"/>
  <c r="Z46" i="1"/>
  <c r="AA46" i="1"/>
  <c r="K70" i="1"/>
  <c r="AB46" i="1" s="1"/>
  <c r="L70" i="1"/>
  <c r="AC46" i="1" s="1"/>
  <c r="M70" i="1"/>
  <c r="AD46" i="1" s="1"/>
  <c r="N70" i="1"/>
  <c r="AE46" i="1" s="1"/>
  <c r="O70" i="1"/>
  <c r="AF46" i="1" s="1"/>
  <c r="P70" i="1"/>
  <c r="AG46" i="1" s="1"/>
  <c r="K71" i="1"/>
  <c r="L71" i="1"/>
  <c r="M71" i="1"/>
  <c r="N71" i="1"/>
  <c r="O71" i="1"/>
  <c r="P71" i="1"/>
  <c r="K72" i="1"/>
  <c r="L72" i="1"/>
  <c r="M72" i="1"/>
  <c r="N72" i="1"/>
  <c r="O72" i="1"/>
  <c r="P72" i="1"/>
  <c r="W48" i="1"/>
  <c r="X48" i="1"/>
  <c r="Y48" i="1"/>
  <c r="Z48" i="1"/>
  <c r="AA48" i="1"/>
  <c r="K73" i="1"/>
  <c r="AB48" i="1" s="1"/>
  <c r="L73" i="1"/>
  <c r="AC48" i="1" s="1"/>
  <c r="M73" i="1"/>
  <c r="AD48" i="1" s="1"/>
  <c r="N73" i="1"/>
  <c r="AE48" i="1" s="1"/>
  <c r="O73" i="1"/>
  <c r="AF48" i="1" s="1"/>
  <c r="P73" i="1"/>
  <c r="AG48" i="1" s="1"/>
  <c r="W47" i="1"/>
  <c r="X47" i="1"/>
  <c r="Y47" i="1"/>
  <c r="Z47" i="1"/>
  <c r="AA47" i="1"/>
  <c r="K74" i="1"/>
  <c r="AB47" i="1" s="1"/>
  <c r="L74" i="1"/>
  <c r="AC47" i="1" s="1"/>
  <c r="M74" i="1"/>
  <c r="AD47" i="1" s="1"/>
  <c r="N74" i="1"/>
  <c r="AE47" i="1" s="1"/>
  <c r="O74" i="1"/>
  <c r="AF47" i="1" s="1"/>
  <c r="P74" i="1"/>
  <c r="AG47" i="1" s="1"/>
  <c r="K75" i="1"/>
  <c r="L75" i="1"/>
  <c r="M75" i="1"/>
  <c r="N75" i="1"/>
  <c r="O75" i="1"/>
  <c r="P75" i="1"/>
  <c r="K76" i="1"/>
  <c r="L76" i="1"/>
  <c r="M76" i="1"/>
  <c r="N76" i="1"/>
  <c r="O76" i="1"/>
  <c r="P76" i="1"/>
  <c r="W51" i="1"/>
  <c r="X51" i="1"/>
  <c r="Y51" i="1"/>
  <c r="Z51" i="1"/>
  <c r="AA51" i="1"/>
  <c r="K77" i="1"/>
  <c r="AB51" i="1" s="1"/>
  <c r="L77" i="1"/>
  <c r="AC51" i="1" s="1"/>
  <c r="M77" i="1"/>
  <c r="AD51" i="1" s="1"/>
  <c r="N77" i="1"/>
  <c r="AE51" i="1" s="1"/>
  <c r="O77" i="1"/>
  <c r="AF51" i="1" s="1"/>
  <c r="P77" i="1"/>
  <c r="AG51" i="1" s="1"/>
  <c r="W55" i="1"/>
  <c r="X55" i="1"/>
  <c r="Y55" i="1"/>
  <c r="Z55" i="1"/>
  <c r="AA55" i="1"/>
  <c r="K79" i="1"/>
  <c r="AB55" i="1" s="1"/>
  <c r="L79" i="1"/>
  <c r="AC55" i="1" s="1"/>
  <c r="M79" i="1"/>
  <c r="AD55" i="1" s="1"/>
  <c r="N79" i="1"/>
  <c r="AE55" i="1" s="1"/>
  <c r="O79" i="1"/>
  <c r="AF55" i="1" s="1"/>
  <c r="P79" i="1"/>
  <c r="AG55" i="1" s="1"/>
  <c r="W56" i="1"/>
  <c r="X56" i="1"/>
  <c r="Y56" i="1"/>
  <c r="Z56" i="1"/>
  <c r="AA56" i="1"/>
  <c r="K80" i="1"/>
  <c r="AB56" i="1" s="1"/>
  <c r="L80" i="1"/>
  <c r="AC56" i="1" s="1"/>
  <c r="M80" i="1"/>
  <c r="AD56" i="1" s="1"/>
  <c r="N80" i="1"/>
  <c r="AE56" i="1" s="1"/>
  <c r="O80" i="1"/>
  <c r="AF56" i="1" s="1"/>
  <c r="P80" i="1"/>
  <c r="AG56" i="1" s="1"/>
  <c r="W57" i="1"/>
  <c r="X57" i="1"/>
  <c r="Y57" i="1"/>
  <c r="Z57" i="1"/>
  <c r="AA57" i="1"/>
  <c r="K82" i="1"/>
  <c r="AB57" i="1" s="1"/>
  <c r="L82" i="1"/>
  <c r="AC57" i="1" s="1"/>
  <c r="M82" i="1"/>
  <c r="AD57" i="1" s="1"/>
  <c r="N82" i="1"/>
  <c r="AE57" i="1" s="1"/>
  <c r="O82" i="1"/>
  <c r="AF57" i="1" s="1"/>
  <c r="P82" i="1"/>
  <c r="AG57" i="1" s="1"/>
  <c r="K83" i="1"/>
  <c r="L83" i="1"/>
  <c r="M83" i="1"/>
  <c r="N83" i="1"/>
  <c r="O83" i="1"/>
  <c r="P83" i="1"/>
  <c r="K84" i="1"/>
  <c r="L84" i="1"/>
  <c r="M84" i="1"/>
  <c r="N84" i="1"/>
  <c r="O84" i="1"/>
  <c r="P84" i="1"/>
  <c r="W63" i="1"/>
  <c r="X63" i="1"/>
  <c r="Y63" i="1"/>
  <c r="Z63" i="1"/>
  <c r="AA63" i="1"/>
  <c r="K85" i="1"/>
  <c r="AB63" i="1" s="1"/>
  <c r="L85" i="1"/>
  <c r="AC63" i="1" s="1"/>
  <c r="M85" i="1"/>
  <c r="AD63" i="1" s="1"/>
  <c r="N85" i="1"/>
  <c r="AE63" i="1" s="1"/>
  <c r="O85" i="1"/>
  <c r="AF63" i="1" s="1"/>
  <c r="P85" i="1"/>
  <c r="AG63" i="1" s="1"/>
  <c r="W64" i="1"/>
  <c r="X64" i="1"/>
  <c r="Y64" i="1"/>
  <c r="Z64" i="1"/>
  <c r="AA64" i="1"/>
  <c r="K86" i="1"/>
  <c r="AB64" i="1" s="1"/>
  <c r="L86" i="1"/>
  <c r="AC64" i="1" s="1"/>
  <c r="M86" i="1"/>
  <c r="AD64" i="1" s="1"/>
  <c r="N86" i="1"/>
  <c r="AE64" i="1" s="1"/>
  <c r="O86" i="1"/>
  <c r="AF64" i="1" s="1"/>
  <c r="P86" i="1"/>
  <c r="AG64" i="1" s="1"/>
  <c r="W65" i="1"/>
  <c r="X65" i="1"/>
  <c r="Y65" i="1"/>
  <c r="Z65" i="1"/>
  <c r="AA65" i="1"/>
  <c r="K87" i="1"/>
  <c r="AB65" i="1" s="1"/>
  <c r="L87" i="1"/>
  <c r="AC65" i="1" s="1"/>
  <c r="M87" i="1"/>
  <c r="AD65" i="1" s="1"/>
  <c r="N87" i="1"/>
  <c r="AE65" i="1" s="1"/>
  <c r="O87" i="1"/>
  <c r="AF65" i="1" s="1"/>
  <c r="P87" i="1"/>
  <c r="AG65" i="1" s="1"/>
  <c r="W66" i="1"/>
  <c r="X66" i="1"/>
  <c r="Y66" i="1"/>
  <c r="Z66" i="1"/>
  <c r="AA66" i="1"/>
  <c r="K88" i="1"/>
  <c r="AB66" i="1" s="1"/>
  <c r="L88" i="1"/>
  <c r="AC66" i="1" s="1"/>
  <c r="M88" i="1"/>
  <c r="AD66" i="1" s="1"/>
  <c r="N88" i="1"/>
  <c r="AE66" i="1" s="1"/>
  <c r="O88" i="1"/>
  <c r="AF66" i="1" s="1"/>
  <c r="P88" i="1"/>
  <c r="AG66" i="1" s="1"/>
  <c r="W59" i="1"/>
  <c r="X59" i="1"/>
  <c r="Y59" i="1"/>
  <c r="Z59" i="1"/>
  <c r="AA59" i="1"/>
  <c r="K89" i="1"/>
  <c r="AB59" i="1" s="1"/>
  <c r="L89" i="1"/>
  <c r="AC59" i="1" s="1"/>
  <c r="M89" i="1"/>
  <c r="AD59" i="1" s="1"/>
  <c r="N89" i="1"/>
  <c r="AE59" i="1" s="1"/>
  <c r="O89" i="1"/>
  <c r="AF59" i="1" s="1"/>
  <c r="P89" i="1"/>
  <c r="AG59" i="1" s="1"/>
  <c r="W60" i="1"/>
  <c r="X60" i="1"/>
  <c r="Y60" i="1"/>
  <c r="Z60" i="1"/>
  <c r="AA60" i="1"/>
  <c r="K90" i="1"/>
  <c r="AB60" i="1" s="1"/>
  <c r="L90" i="1"/>
  <c r="AC60" i="1" s="1"/>
  <c r="M90" i="1"/>
  <c r="AD60" i="1" s="1"/>
  <c r="N90" i="1"/>
  <c r="AE60" i="1" s="1"/>
  <c r="O90" i="1"/>
  <c r="AF60" i="1" s="1"/>
  <c r="P90" i="1"/>
  <c r="AG60" i="1" s="1"/>
  <c r="W53" i="1"/>
  <c r="X53" i="1"/>
  <c r="Y53" i="1"/>
  <c r="Z53" i="1"/>
  <c r="AA53" i="1"/>
  <c r="K91" i="1"/>
  <c r="AB53" i="1" s="1"/>
  <c r="L91" i="1"/>
  <c r="AC53" i="1" s="1"/>
  <c r="M91" i="1"/>
  <c r="AD53" i="1" s="1"/>
  <c r="N91" i="1"/>
  <c r="AE53" i="1" s="1"/>
  <c r="O91" i="1"/>
  <c r="AF53" i="1" s="1"/>
  <c r="P91" i="1"/>
  <c r="AG53" i="1" s="1"/>
  <c r="W61" i="1"/>
  <c r="X61" i="1"/>
  <c r="Y61" i="1"/>
  <c r="Z61" i="1"/>
  <c r="AA61" i="1"/>
  <c r="K93" i="1"/>
  <c r="AB61" i="1" s="1"/>
  <c r="L93" i="1"/>
  <c r="AC61" i="1" s="1"/>
  <c r="M93" i="1"/>
  <c r="AD61" i="1" s="1"/>
  <c r="N93" i="1"/>
  <c r="AE61" i="1" s="1"/>
  <c r="O93" i="1"/>
  <c r="AF61" i="1" s="1"/>
  <c r="P93" i="1"/>
  <c r="AG61" i="1" s="1"/>
  <c r="W62" i="1"/>
  <c r="X62" i="1"/>
  <c r="Y62" i="1"/>
  <c r="Z62" i="1"/>
  <c r="AA62" i="1"/>
  <c r="K94" i="1"/>
  <c r="AB62" i="1" s="1"/>
  <c r="L94" i="1"/>
  <c r="AC62" i="1" s="1"/>
  <c r="M94" i="1"/>
  <c r="AD62" i="1" s="1"/>
  <c r="N94" i="1"/>
  <c r="AE62" i="1" s="1"/>
  <c r="O94" i="1"/>
  <c r="AF62" i="1" s="1"/>
  <c r="P94" i="1"/>
  <c r="AG62" i="1" s="1"/>
  <c r="V62" i="1"/>
  <c r="V51" i="1"/>
  <c r="V53" i="1"/>
  <c r="V60" i="1"/>
  <c r="V66" i="1"/>
  <c r="V59" i="1"/>
  <c r="V61" i="1"/>
  <c r="V65" i="1"/>
  <c r="V64" i="1"/>
  <c r="V63" i="1"/>
  <c r="V57" i="1"/>
  <c r="V56" i="1"/>
  <c r="V55" i="1"/>
  <c r="V47" i="1"/>
  <c r="V48" i="1"/>
  <c r="V46" i="1"/>
  <c r="F148" i="1"/>
  <c r="G148" i="1"/>
  <c r="H148" i="1"/>
  <c r="I148" i="1"/>
  <c r="J148" i="1"/>
  <c r="K146" i="1"/>
  <c r="K148" i="1" s="1"/>
  <c r="L146" i="1"/>
  <c r="L148" i="1" s="1"/>
  <c r="M146" i="1"/>
  <c r="M148" i="1" s="1"/>
  <c r="N146" i="1"/>
  <c r="N148" i="1" s="1"/>
  <c r="O146" i="1"/>
  <c r="O148" i="1" s="1"/>
  <c r="P146" i="1"/>
  <c r="P148" i="1" s="1"/>
  <c r="V74" i="1"/>
  <c r="W69" i="1"/>
  <c r="X69" i="1"/>
  <c r="K135" i="1"/>
  <c r="L135" i="1"/>
  <c r="M135" i="1"/>
  <c r="N135" i="1"/>
  <c r="O135" i="1"/>
  <c r="P135" i="1"/>
  <c r="K136" i="1"/>
  <c r="L136" i="1"/>
  <c r="M136" i="1"/>
  <c r="N136" i="1"/>
  <c r="O136" i="1"/>
  <c r="P136" i="1"/>
  <c r="D147" i="14"/>
  <c r="D146" i="14"/>
  <c r="C162" i="1"/>
  <c r="C163" i="1" s="1"/>
  <c r="C158" i="1"/>
  <c r="C159" i="1" s="1"/>
  <c r="K138" i="1" s="1"/>
  <c r="K59" i="1"/>
  <c r="K64" i="9" s="1"/>
  <c r="L59" i="1"/>
  <c r="L64" i="9" s="1"/>
  <c r="M59" i="1"/>
  <c r="M64" i="9" s="1"/>
  <c r="N59" i="1"/>
  <c r="N64" i="9" s="1"/>
  <c r="O59" i="1"/>
  <c r="O64" i="9" s="1"/>
  <c r="P59" i="1"/>
  <c r="P64" i="9" s="1"/>
  <c r="L53" i="1"/>
  <c r="M53" i="1"/>
  <c r="N53" i="1"/>
  <c r="O53" i="1"/>
  <c r="P53" i="1"/>
  <c r="W38" i="1"/>
  <c r="X38" i="1"/>
  <c r="K49" i="1"/>
  <c r="L49" i="1"/>
  <c r="M49" i="1"/>
  <c r="N49" i="1"/>
  <c r="O49" i="1"/>
  <c r="P49" i="1"/>
  <c r="V38" i="1"/>
  <c r="AA38" i="1" l="1"/>
  <c r="H13" i="31"/>
  <c r="Z38" i="1"/>
  <c r="G13" i="31"/>
  <c r="AA69" i="1"/>
  <c r="Z69" i="1"/>
  <c r="AG38" i="1"/>
  <c r="N13" i="31"/>
  <c r="Y38" i="1"/>
  <c r="F13" i="31"/>
  <c r="AG69" i="1"/>
  <c r="Y69" i="1"/>
  <c r="AF69" i="1"/>
  <c r="AB38" i="1"/>
  <c r="I13" i="31"/>
  <c r="AE38" i="1"/>
  <c r="L13" i="31"/>
  <c r="AE69" i="1"/>
  <c r="AB69" i="1"/>
  <c r="AF38" i="1"/>
  <c r="M13" i="31"/>
  <c r="AD69" i="1"/>
  <c r="AD38" i="1"/>
  <c r="K13" i="31"/>
  <c r="AC38" i="1"/>
  <c r="J13" i="31"/>
  <c r="M140" i="1"/>
  <c r="G140" i="1"/>
  <c r="E19" i="31" s="1"/>
  <c r="AC69" i="1"/>
  <c r="Q64" i="9"/>
  <c r="AD74" i="1"/>
  <c r="Z74" i="1"/>
  <c r="AB74" i="1"/>
  <c r="AC58" i="1"/>
  <c r="W58" i="1"/>
  <c r="M107" i="1"/>
  <c r="AD58" i="1"/>
  <c r="Q105" i="9"/>
  <c r="AA58" i="1"/>
  <c r="Y58" i="1"/>
  <c r="N107" i="1"/>
  <c r="AE77" i="9"/>
  <c r="AE84" i="9" s="1"/>
  <c r="X58" i="1"/>
  <c r="M66" i="9"/>
  <c r="L65" i="9"/>
  <c r="P137" i="1"/>
  <c r="P137" i="9" s="1"/>
  <c r="AF74" i="1"/>
  <c r="AE58" i="1"/>
  <c r="L107" i="1"/>
  <c r="L106" i="9"/>
  <c r="AC77" i="9" s="1"/>
  <c r="AC84" i="9" s="1"/>
  <c r="O137" i="1"/>
  <c r="O137" i="9" s="1"/>
  <c r="AE74" i="1"/>
  <c r="K107" i="1"/>
  <c r="K106" i="9"/>
  <c r="AB77" i="9" s="1"/>
  <c r="AB84" i="9" s="1"/>
  <c r="P118" i="1"/>
  <c r="P122" i="9"/>
  <c r="P122" i="11" s="1"/>
  <c r="AA41" i="1"/>
  <c r="K65" i="9"/>
  <c r="Z41" i="1"/>
  <c r="K66" i="9"/>
  <c r="N137" i="1"/>
  <c r="N137" i="9" s="1"/>
  <c r="Q100" i="9"/>
  <c r="AA77" i="9"/>
  <c r="AA84" i="9" s="1"/>
  <c r="O118" i="1"/>
  <c r="O122" i="9"/>
  <c r="O122" i="11" s="1"/>
  <c r="L66" i="9"/>
  <c r="Y41" i="1"/>
  <c r="M137" i="1"/>
  <c r="M137" i="9" s="1"/>
  <c r="AC74" i="1"/>
  <c r="AB58" i="1"/>
  <c r="Z77" i="9"/>
  <c r="Z84" i="9" s="1"/>
  <c r="N118" i="1"/>
  <c r="N122" i="9"/>
  <c r="N122" i="11" s="1"/>
  <c r="K56" i="1"/>
  <c r="AB41" i="1"/>
  <c r="X41" i="1"/>
  <c r="L137" i="1"/>
  <c r="L137" i="9" s="1"/>
  <c r="Y77" i="9"/>
  <c r="Y84" i="9" s="1"/>
  <c r="M118" i="1"/>
  <c r="M122" i="9"/>
  <c r="M122" i="11" s="1"/>
  <c r="V41" i="1"/>
  <c r="W41" i="1"/>
  <c r="K137" i="1"/>
  <c r="K137" i="9" s="1"/>
  <c r="AA74" i="1"/>
  <c r="Z58" i="1"/>
  <c r="V77" i="9"/>
  <c r="V84" i="9" s="1"/>
  <c r="X77" i="9"/>
  <c r="X84" i="9" s="1"/>
  <c r="L118" i="1"/>
  <c r="L122" i="9"/>
  <c r="L122" i="11" s="1"/>
  <c r="W77" i="9"/>
  <c r="W84" i="9" s="1"/>
  <c r="K118" i="1"/>
  <c r="K122" i="9"/>
  <c r="K122" i="11" s="1"/>
  <c r="P56" i="1"/>
  <c r="AG41" i="1"/>
  <c r="Y74" i="1"/>
  <c r="AD77" i="9"/>
  <c r="AD84" i="9" s="1"/>
  <c r="J122" i="11"/>
  <c r="O56" i="1"/>
  <c r="AF41" i="1"/>
  <c r="Q62" i="9"/>
  <c r="P65" i="9"/>
  <c r="K139" i="1"/>
  <c r="K139" i="9" s="1"/>
  <c r="X74" i="1"/>
  <c r="Q113" i="9"/>
  <c r="P107" i="1"/>
  <c r="P106" i="9"/>
  <c r="AG77" i="9" s="1"/>
  <c r="AG84" i="9" s="1"/>
  <c r="I122" i="11"/>
  <c r="N56" i="1"/>
  <c r="AE41" i="1"/>
  <c r="P66" i="9"/>
  <c r="O65" i="9"/>
  <c r="M141" i="9"/>
  <c r="W74" i="1"/>
  <c r="O107" i="1"/>
  <c r="O106" i="9"/>
  <c r="AF77" i="9" s="1"/>
  <c r="AF84" i="9" s="1"/>
  <c r="H122" i="11"/>
  <c r="O66" i="9"/>
  <c r="N65" i="9"/>
  <c r="AG58" i="1"/>
  <c r="M56" i="1"/>
  <c r="AD41" i="1"/>
  <c r="L55" i="1"/>
  <c r="AC41" i="1"/>
  <c r="N66" i="9"/>
  <c r="M65" i="9"/>
  <c r="AG74" i="1"/>
  <c r="AF58" i="1"/>
  <c r="L56" i="1"/>
  <c r="K55" i="1"/>
  <c r="O138" i="1"/>
  <c r="N138" i="1"/>
  <c r="P140" i="1"/>
  <c r="P141" i="9" s="1"/>
  <c r="O140" i="1"/>
  <c r="O141" i="9" s="1"/>
  <c r="N140" i="1"/>
  <c r="N141" i="9" s="1"/>
  <c r="L140" i="1"/>
  <c r="L141" i="9" s="1"/>
  <c r="K140" i="1"/>
  <c r="K141" i="9" s="1"/>
  <c r="P55" i="1"/>
  <c r="O55" i="1"/>
  <c r="N55" i="1"/>
  <c r="P138" i="1"/>
  <c r="M138" i="1"/>
  <c r="L138" i="1"/>
  <c r="M55" i="1"/>
  <c r="Q122" i="11" l="1"/>
  <c r="AB70" i="1"/>
  <c r="AE70" i="1"/>
  <c r="AF70" i="1"/>
  <c r="AA70" i="1"/>
  <c r="AC70" i="1"/>
  <c r="AG70" i="1"/>
  <c r="Q137" i="9"/>
  <c r="Z70" i="1"/>
  <c r="W70" i="1"/>
  <c r="AD70" i="1"/>
  <c r="K56" i="9"/>
  <c r="AB42" i="1"/>
  <c r="AH77" i="9"/>
  <c r="Q65" i="9"/>
  <c r="P56" i="9"/>
  <c r="AG42" i="1"/>
  <c r="Q122" i="9"/>
  <c r="Q61" i="9"/>
  <c r="L58" i="1"/>
  <c r="L55" i="9"/>
  <c r="Q66" i="9"/>
  <c r="Y70" i="1"/>
  <c r="L56" i="9"/>
  <c r="AC42" i="1"/>
  <c r="Q106" i="9"/>
  <c r="M139" i="1"/>
  <c r="M139" i="9" s="1"/>
  <c r="P139" i="1"/>
  <c r="P139" i="9" s="1"/>
  <c r="O139" i="1"/>
  <c r="O139" i="9" s="1"/>
  <c r="X70" i="1"/>
  <c r="AA42" i="1"/>
  <c r="Z42" i="1"/>
  <c r="O56" i="9"/>
  <c r="AF42" i="1"/>
  <c r="N139" i="1"/>
  <c r="N139" i="9" s="1"/>
  <c r="N56" i="9"/>
  <c r="AE42" i="1"/>
  <c r="V42" i="1"/>
  <c r="K58" i="1"/>
  <c r="K55" i="9"/>
  <c r="M56" i="9"/>
  <c r="AD42" i="1"/>
  <c r="L139" i="1"/>
  <c r="L139" i="9" s="1"/>
  <c r="N58" i="1"/>
  <c r="N55" i="9"/>
  <c r="O58" i="1"/>
  <c r="O55" i="9"/>
  <c r="X42" i="1"/>
  <c r="P58" i="1"/>
  <c r="P55" i="9"/>
  <c r="Y42" i="1"/>
  <c r="M58" i="1"/>
  <c r="M55" i="9"/>
  <c r="W42" i="1"/>
  <c r="K46" i="1"/>
  <c r="K46" i="9" s="1"/>
  <c r="L46" i="1"/>
  <c r="L46" i="9" s="1"/>
  <c r="M46" i="1"/>
  <c r="M46" i="9" s="1"/>
  <c r="N46" i="1"/>
  <c r="N46" i="9" s="1"/>
  <c r="O46" i="1"/>
  <c r="O46" i="9" s="1"/>
  <c r="P46" i="1"/>
  <c r="P46" i="9" s="1"/>
  <c r="K47" i="1"/>
  <c r="K47" i="9" s="1"/>
  <c r="L47" i="1"/>
  <c r="L47" i="9" s="1"/>
  <c r="M47" i="1"/>
  <c r="M47" i="9" s="1"/>
  <c r="N47" i="1"/>
  <c r="N47" i="9" s="1"/>
  <c r="O47" i="1"/>
  <c r="O47" i="9" s="1"/>
  <c r="P47" i="1"/>
  <c r="P47" i="9" s="1"/>
  <c r="K48" i="1"/>
  <c r="K48" i="9" s="1"/>
  <c r="L48" i="1"/>
  <c r="L48" i="9" s="1"/>
  <c r="M48" i="1"/>
  <c r="M48" i="9" s="1"/>
  <c r="N48" i="1"/>
  <c r="N48" i="9" s="1"/>
  <c r="O48" i="1"/>
  <c r="O48" i="9" s="1"/>
  <c r="P48" i="1"/>
  <c r="P48" i="9" s="1"/>
  <c r="G8" i="32"/>
  <c r="H8" i="32"/>
  <c r="K45" i="1"/>
  <c r="I8" i="32" s="1"/>
  <c r="L45" i="1"/>
  <c r="J8" i="32" s="1"/>
  <c r="M45" i="1"/>
  <c r="K8" i="32" s="1"/>
  <c r="N45" i="1"/>
  <c r="L8" i="32" s="1"/>
  <c r="O45" i="1"/>
  <c r="M8" i="32" s="1"/>
  <c r="P45" i="1"/>
  <c r="N8" i="32" s="1"/>
  <c r="V5" i="1"/>
  <c r="V16" i="1" s="1"/>
  <c r="W5" i="1"/>
  <c r="K43" i="1"/>
  <c r="L43" i="1"/>
  <c r="M43" i="1"/>
  <c r="N43" i="1"/>
  <c r="O43" i="1"/>
  <c r="P43" i="1"/>
  <c r="F7" i="32"/>
  <c r="F9" i="32" s="1"/>
  <c r="G7" i="32"/>
  <c r="H7" i="32"/>
  <c r="K41" i="1"/>
  <c r="I7" i="32" s="1"/>
  <c r="L41" i="1"/>
  <c r="J7" i="32" s="1"/>
  <c r="M41" i="1"/>
  <c r="K7" i="32" s="1"/>
  <c r="N41" i="1"/>
  <c r="L7" i="32" s="1"/>
  <c r="O41" i="1"/>
  <c r="M7" i="32" s="1"/>
  <c r="P41" i="1"/>
  <c r="N7" i="32" s="1"/>
  <c r="K38" i="1"/>
  <c r="L38" i="1"/>
  <c r="M38" i="1"/>
  <c r="N38" i="1"/>
  <c r="O38" i="1"/>
  <c r="P38" i="1"/>
  <c r="K34" i="1"/>
  <c r="K34" i="9" s="1"/>
  <c r="L34" i="1"/>
  <c r="L34" i="9" s="1"/>
  <c r="M34" i="1"/>
  <c r="M34" i="9" s="1"/>
  <c r="N34" i="1"/>
  <c r="N34" i="9" s="1"/>
  <c r="O34" i="1"/>
  <c r="O34" i="9" s="1"/>
  <c r="P34" i="1"/>
  <c r="P34" i="9" s="1"/>
  <c r="K33" i="1"/>
  <c r="K33" i="9" s="1"/>
  <c r="L33" i="1"/>
  <c r="L33" i="9" s="1"/>
  <c r="M33" i="1"/>
  <c r="M33" i="9" s="1"/>
  <c r="N33" i="1"/>
  <c r="N33" i="9" s="1"/>
  <c r="O33" i="1"/>
  <c r="O33" i="9" s="1"/>
  <c r="P33" i="1"/>
  <c r="P33" i="9" s="1"/>
  <c r="K32" i="1"/>
  <c r="L32" i="1"/>
  <c r="M32" i="1"/>
  <c r="N32" i="1"/>
  <c r="O32" i="1"/>
  <c r="P32" i="1"/>
  <c r="K26" i="1"/>
  <c r="L26" i="1"/>
  <c r="M26" i="1"/>
  <c r="O26" i="1"/>
  <c r="P26" i="1"/>
  <c r="AL64" i="20"/>
  <c r="AL65" i="20"/>
  <c r="AL66" i="20"/>
  <c r="AL67" i="20"/>
  <c r="AL68" i="20"/>
  <c r="AL63" i="20"/>
  <c r="AL7" i="20"/>
  <c r="AL8" i="20"/>
  <c r="AL9" i="20"/>
  <c r="AL10" i="20"/>
  <c r="AL11" i="20"/>
  <c r="AL12" i="20"/>
  <c r="AL6" i="20"/>
  <c r="Q9" i="18"/>
  <c r="Q5" i="18"/>
  <c r="Q6" i="18"/>
  <c r="Q7" i="18"/>
  <c r="Q4" i="18"/>
  <c r="Q3" i="18"/>
  <c r="R89" i="22"/>
  <c r="Q89" i="22"/>
  <c r="P89" i="22"/>
  <c r="O89" i="22"/>
  <c r="N89" i="22"/>
  <c r="M89" i="22"/>
  <c r="L89" i="22"/>
  <c r="K89" i="22"/>
  <c r="J89" i="22"/>
  <c r="I89" i="22"/>
  <c r="H89" i="22"/>
  <c r="G89" i="22"/>
  <c r="F89" i="22"/>
  <c r="E89" i="22"/>
  <c r="D89" i="22"/>
  <c r="C89" i="22"/>
  <c r="B89" i="22"/>
  <c r="R87" i="22"/>
  <c r="Q87" i="22"/>
  <c r="P87" i="22"/>
  <c r="O87" i="22"/>
  <c r="N87" i="22"/>
  <c r="M87" i="22"/>
  <c r="L87" i="22"/>
  <c r="K87" i="22"/>
  <c r="J87" i="22"/>
  <c r="I87" i="22"/>
  <c r="H87" i="22"/>
  <c r="G87" i="22"/>
  <c r="F87" i="22"/>
  <c r="E87" i="22"/>
  <c r="D87" i="22"/>
  <c r="C87" i="22"/>
  <c r="B87" i="22"/>
  <c r="N84" i="22"/>
  <c r="P82" i="22"/>
  <c r="O82" i="22"/>
  <c r="N82" i="22"/>
  <c r="L82" i="22"/>
  <c r="K82" i="22"/>
  <c r="J82" i="22"/>
  <c r="H82" i="22"/>
  <c r="G82" i="22"/>
  <c r="F82" i="22"/>
  <c r="D82" i="22"/>
  <c r="C82" i="22"/>
  <c r="B82" i="22"/>
  <c r="P80" i="22"/>
  <c r="O80" i="22"/>
  <c r="N80" i="22"/>
  <c r="L80" i="22"/>
  <c r="K80" i="22"/>
  <c r="J80" i="22"/>
  <c r="H80" i="22"/>
  <c r="G80" i="22"/>
  <c r="F80" i="22"/>
  <c r="D80" i="22"/>
  <c r="C80" i="22"/>
  <c r="B80" i="22"/>
  <c r="R69" i="22"/>
  <c r="R70" i="22" s="1"/>
  <c r="Q69" i="22"/>
  <c r="Q70" i="22" s="1"/>
  <c r="P69" i="22"/>
  <c r="O69" i="22"/>
  <c r="O73" i="22" s="1"/>
  <c r="N69" i="22"/>
  <c r="N70" i="22" s="1"/>
  <c r="M69" i="22"/>
  <c r="M70" i="22" s="1"/>
  <c r="L69" i="22"/>
  <c r="K69" i="22"/>
  <c r="K73" i="22" s="1"/>
  <c r="J69" i="22"/>
  <c r="J70" i="22" s="1"/>
  <c r="I69" i="22"/>
  <c r="I70" i="22" s="1"/>
  <c r="H69" i="22"/>
  <c r="H73" i="22" s="1"/>
  <c r="G69" i="22"/>
  <c r="G73" i="22" s="1"/>
  <c r="F69" i="22"/>
  <c r="F70" i="22" s="1"/>
  <c r="E69" i="22"/>
  <c r="E70" i="22" s="1"/>
  <c r="D69" i="22"/>
  <c r="C69" i="22"/>
  <c r="C73" i="22" s="1"/>
  <c r="B69" i="22"/>
  <c r="B70" i="22" s="1"/>
  <c r="R65" i="22"/>
  <c r="Q65" i="22"/>
  <c r="P65" i="22"/>
  <c r="P7" i="22" s="1"/>
  <c r="O65" i="22"/>
  <c r="O7" i="22" s="1"/>
  <c r="N65" i="22"/>
  <c r="N7" i="22" s="1"/>
  <c r="M65" i="22"/>
  <c r="L65" i="22"/>
  <c r="L7" i="22" s="1"/>
  <c r="K65" i="22"/>
  <c r="K7" i="22" s="1"/>
  <c r="J65" i="22"/>
  <c r="J7" i="22" s="1"/>
  <c r="I65" i="22"/>
  <c r="H65" i="22"/>
  <c r="H7" i="22" s="1"/>
  <c r="G65" i="22"/>
  <c r="G7" i="22" s="1"/>
  <c r="F65" i="22"/>
  <c r="F7" i="22" s="1"/>
  <c r="E65" i="22"/>
  <c r="D65" i="22"/>
  <c r="D7" i="22" s="1"/>
  <c r="C65" i="22"/>
  <c r="C7" i="22" s="1"/>
  <c r="B65" i="22"/>
  <c r="B7" i="22" s="1"/>
  <c r="R64" i="22"/>
  <c r="Q64" i="22"/>
  <c r="P64" i="22"/>
  <c r="P8" i="22" s="1"/>
  <c r="O64" i="22"/>
  <c r="O8" i="22" s="1"/>
  <c r="N64" i="22"/>
  <c r="N8" i="22" s="1"/>
  <c r="M64" i="22"/>
  <c r="L64" i="22"/>
  <c r="L8" i="22" s="1"/>
  <c r="K64" i="22"/>
  <c r="K8" i="22" s="1"/>
  <c r="J64" i="22"/>
  <c r="J8" i="22" s="1"/>
  <c r="I64" i="22"/>
  <c r="H64" i="22"/>
  <c r="H8" i="22" s="1"/>
  <c r="G64" i="22"/>
  <c r="G8" i="22" s="1"/>
  <c r="F64" i="22"/>
  <c r="F8" i="22" s="1"/>
  <c r="E64" i="22"/>
  <c r="D64" i="22"/>
  <c r="D8" i="22" s="1"/>
  <c r="C64" i="22"/>
  <c r="C8" i="22" s="1"/>
  <c r="B64" i="22"/>
  <c r="B8" i="22" s="1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C59" i="22"/>
  <c r="B59" i="22"/>
  <c r="P58" i="22"/>
  <c r="O58" i="22"/>
  <c r="N58" i="22"/>
  <c r="L58" i="22"/>
  <c r="K58" i="22"/>
  <c r="J58" i="22"/>
  <c r="H58" i="22"/>
  <c r="G58" i="22"/>
  <c r="F58" i="22"/>
  <c r="D58" i="22"/>
  <c r="C58" i="22"/>
  <c r="B58" i="22"/>
  <c r="P57" i="22"/>
  <c r="O57" i="22"/>
  <c r="N57" i="22"/>
  <c r="L57" i="22"/>
  <c r="K57" i="22"/>
  <c r="J57" i="22"/>
  <c r="H57" i="22"/>
  <c r="G57" i="22"/>
  <c r="F57" i="22"/>
  <c r="D57" i="22"/>
  <c r="C57" i="22"/>
  <c r="B57" i="22"/>
  <c r="P53" i="22"/>
  <c r="O53" i="22"/>
  <c r="N53" i="22"/>
  <c r="L53" i="22"/>
  <c r="K53" i="22"/>
  <c r="J53" i="22"/>
  <c r="H53" i="22"/>
  <c r="G53" i="22"/>
  <c r="F53" i="22"/>
  <c r="D53" i="22"/>
  <c r="C53" i="22"/>
  <c r="B53" i="22"/>
  <c r="P52" i="22"/>
  <c r="O52" i="22"/>
  <c r="N52" i="22"/>
  <c r="L52" i="22"/>
  <c r="K52" i="22"/>
  <c r="J52" i="22"/>
  <c r="H52" i="22"/>
  <c r="G52" i="22"/>
  <c r="F52" i="22"/>
  <c r="D52" i="22"/>
  <c r="C52" i="22"/>
  <c r="B52" i="22"/>
  <c r="P48" i="22"/>
  <c r="O48" i="22"/>
  <c r="N48" i="22"/>
  <c r="L48" i="22"/>
  <c r="K48" i="22"/>
  <c r="J48" i="22"/>
  <c r="H48" i="22"/>
  <c r="G48" i="22"/>
  <c r="F48" i="22"/>
  <c r="D48" i="22"/>
  <c r="C48" i="22"/>
  <c r="B48" i="22"/>
  <c r="P47" i="22"/>
  <c r="O47" i="22"/>
  <c r="N47" i="22"/>
  <c r="L47" i="22"/>
  <c r="K47" i="22"/>
  <c r="J47" i="22"/>
  <c r="H47" i="22"/>
  <c r="G47" i="22"/>
  <c r="F47" i="22"/>
  <c r="D47" i="22"/>
  <c r="C47" i="22"/>
  <c r="B47" i="22"/>
  <c r="R42" i="22"/>
  <c r="P41" i="22"/>
  <c r="O41" i="22"/>
  <c r="N41" i="22"/>
  <c r="L41" i="22"/>
  <c r="K41" i="22"/>
  <c r="J41" i="22"/>
  <c r="H41" i="22"/>
  <c r="G41" i="22"/>
  <c r="F41" i="22"/>
  <c r="D41" i="22"/>
  <c r="C41" i="22"/>
  <c r="B41" i="22"/>
  <c r="P39" i="22"/>
  <c r="O39" i="22"/>
  <c r="N39" i="22"/>
  <c r="L39" i="22"/>
  <c r="K39" i="22"/>
  <c r="J39" i="22"/>
  <c r="H39" i="22"/>
  <c r="G39" i="22"/>
  <c r="F39" i="22"/>
  <c r="D39" i="22"/>
  <c r="C39" i="22"/>
  <c r="B39" i="22"/>
  <c r="Q38" i="22"/>
  <c r="M38" i="22"/>
  <c r="I38" i="22"/>
  <c r="E38" i="22"/>
  <c r="P37" i="22"/>
  <c r="O37" i="22"/>
  <c r="N37" i="22"/>
  <c r="L37" i="22"/>
  <c r="K37" i="22"/>
  <c r="J37" i="22"/>
  <c r="H37" i="22"/>
  <c r="G37" i="22"/>
  <c r="F37" i="22"/>
  <c r="D37" i="22"/>
  <c r="C37" i="22"/>
  <c r="B37" i="22"/>
  <c r="R35" i="22"/>
  <c r="P34" i="22"/>
  <c r="O34" i="22"/>
  <c r="N34" i="22"/>
  <c r="L34" i="22"/>
  <c r="K34" i="22"/>
  <c r="J34" i="22"/>
  <c r="H34" i="22"/>
  <c r="G34" i="22"/>
  <c r="F34" i="22"/>
  <c r="D34" i="22"/>
  <c r="C34" i="22"/>
  <c r="B34" i="22"/>
  <c r="Q33" i="22"/>
  <c r="M33" i="22"/>
  <c r="I33" i="22"/>
  <c r="E33" i="22"/>
  <c r="P32" i="22"/>
  <c r="O32" i="22"/>
  <c r="N32" i="22"/>
  <c r="L32" i="22"/>
  <c r="K32" i="22"/>
  <c r="J32" i="22"/>
  <c r="H32" i="22"/>
  <c r="G32" i="22"/>
  <c r="F32" i="22"/>
  <c r="D32" i="22"/>
  <c r="C32" i="22"/>
  <c r="B32" i="22"/>
  <c r="V31" i="22"/>
  <c r="P31" i="22"/>
  <c r="O31" i="22"/>
  <c r="N31" i="22"/>
  <c r="L31" i="22"/>
  <c r="K31" i="22"/>
  <c r="J31" i="22"/>
  <c r="H31" i="22"/>
  <c r="G31" i="22"/>
  <c r="F31" i="22"/>
  <c r="D31" i="22"/>
  <c r="C31" i="22"/>
  <c r="B31" i="22"/>
  <c r="P27" i="22"/>
  <c r="Q27" i="22" s="1"/>
  <c r="R27" i="22" s="1"/>
  <c r="O27" i="22"/>
  <c r="N27" i="22"/>
  <c r="L27" i="22"/>
  <c r="M27" i="22" s="1"/>
  <c r="K27" i="22"/>
  <c r="J27" i="22"/>
  <c r="H27" i="22"/>
  <c r="I27" i="22" s="1"/>
  <c r="G27" i="22"/>
  <c r="F27" i="22"/>
  <c r="D27" i="22"/>
  <c r="E27" i="22" s="1"/>
  <c r="C27" i="22"/>
  <c r="B27" i="22"/>
  <c r="P26" i="22"/>
  <c r="O26" i="22"/>
  <c r="N26" i="22"/>
  <c r="Q26" i="22" s="1"/>
  <c r="L26" i="22"/>
  <c r="K26" i="22"/>
  <c r="J26" i="22"/>
  <c r="M26" i="22" s="1"/>
  <c r="H26" i="22"/>
  <c r="G26" i="22"/>
  <c r="F26" i="22"/>
  <c r="I26" i="22" s="1"/>
  <c r="D26" i="22"/>
  <c r="C26" i="22"/>
  <c r="B26" i="22"/>
  <c r="E26" i="22" s="1"/>
  <c r="R26" i="22" s="1"/>
  <c r="U25" i="22"/>
  <c r="W24" i="22"/>
  <c r="X24" i="22" s="1"/>
  <c r="Y24" i="22" s="1"/>
  <c r="Z24" i="22" s="1"/>
  <c r="AA24" i="22" s="1"/>
  <c r="Q24" i="22"/>
  <c r="M24" i="22"/>
  <c r="I24" i="22"/>
  <c r="U23" i="22"/>
  <c r="P23" i="22"/>
  <c r="O23" i="22"/>
  <c r="N23" i="22"/>
  <c r="L23" i="22"/>
  <c r="K23" i="22"/>
  <c r="J23" i="22"/>
  <c r="H23" i="22"/>
  <c r="G23" i="22"/>
  <c r="F23" i="22"/>
  <c r="D23" i="22"/>
  <c r="C23" i="22"/>
  <c r="B23" i="22"/>
  <c r="P22" i="22"/>
  <c r="O22" i="22"/>
  <c r="N22" i="22"/>
  <c r="L22" i="22"/>
  <c r="K22" i="22"/>
  <c r="J22" i="22"/>
  <c r="H22" i="22"/>
  <c r="G22" i="22"/>
  <c r="F22" i="22"/>
  <c r="D22" i="22"/>
  <c r="C22" i="22"/>
  <c r="B22" i="22"/>
  <c r="P21" i="22"/>
  <c r="O21" i="22"/>
  <c r="N21" i="22"/>
  <c r="L21" i="22"/>
  <c r="K21" i="22"/>
  <c r="J21" i="22"/>
  <c r="H21" i="22"/>
  <c r="G21" i="22"/>
  <c r="F21" i="22"/>
  <c r="D21" i="22"/>
  <c r="C21" i="22"/>
  <c r="B21" i="22"/>
  <c r="P20" i="22"/>
  <c r="O20" i="22"/>
  <c r="N20" i="22"/>
  <c r="L20" i="22"/>
  <c r="K20" i="22"/>
  <c r="J20" i="22"/>
  <c r="H20" i="22"/>
  <c r="G20" i="22"/>
  <c r="F20" i="22"/>
  <c r="D20" i="22"/>
  <c r="C20" i="22"/>
  <c r="B20" i="22"/>
  <c r="P19" i="22"/>
  <c r="P5" i="11" s="1"/>
  <c r="O19" i="22"/>
  <c r="O5" i="11" s="1"/>
  <c r="N19" i="22"/>
  <c r="N5" i="11" s="1"/>
  <c r="L19" i="22"/>
  <c r="M5" i="11" s="1"/>
  <c r="K19" i="22"/>
  <c r="L5" i="11" s="1"/>
  <c r="J19" i="22"/>
  <c r="K5" i="11" s="1"/>
  <c r="H19" i="22"/>
  <c r="J5" i="11" s="1"/>
  <c r="G19" i="22"/>
  <c r="I5" i="11" s="1"/>
  <c r="F19" i="22"/>
  <c r="H5" i="11" s="1"/>
  <c r="D19" i="22"/>
  <c r="G5" i="11" s="1"/>
  <c r="C19" i="22"/>
  <c r="F5" i="11" s="1"/>
  <c r="B19" i="22"/>
  <c r="P18" i="22"/>
  <c r="O18" i="22"/>
  <c r="N18" i="22"/>
  <c r="L18" i="22"/>
  <c r="K18" i="22"/>
  <c r="J18" i="22"/>
  <c r="H18" i="22"/>
  <c r="G18" i="22"/>
  <c r="F18" i="22"/>
  <c r="D18" i="22"/>
  <c r="C18" i="22"/>
  <c r="B18" i="22"/>
  <c r="R17" i="22"/>
  <c r="R68" i="22" s="1"/>
  <c r="Q17" i="22"/>
  <c r="P17" i="22"/>
  <c r="P68" i="22" s="1"/>
  <c r="O17" i="22"/>
  <c r="N17" i="22"/>
  <c r="N68" i="22" s="1"/>
  <c r="M17" i="22"/>
  <c r="M68" i="22" s="1"/>
  <c r="L17" i="22"/>
  <c r="L68" i="22" s="1"/>
  <c r="K17" i="22"/>
  <c r="J17" i="22"/>
  <c r="J68" i="22" s="1"/>
  <c r="I17" i="22"/>
  <c r="I68" i="22" s="1"/>
  <c r="H17" i="22"/>
  <c r="H68" i="22" s="1"/>
  <c r="G17" i="22"/>
  <c r="F17" i="22"/>
  <c r="F68" i="22" s="1"/>
  <c r="E17" i="22"/>
  <c r="E68" i="22" s="1"/>
  <c r="D17" i="22"/>
  <c r="D68" i="22" s="1"/>
  <c r="C17" i="22"/>
  <c r="B17" i="22"/>
  <c r="B68" i="22" s="1"/>
  <c r="Y16" i="22"/>
  <c r="P14" i="22"/>
  <c r="O14" i="22"/>
  <c r="N14" i="22"/>
  <c r="L14" i="22"/>
  <c r="K14" i="22"/>
  <c r="J14" i="22"/>
  <c r="H14" i="22"/>
  <c r="G14" i="22"/>
  <c r="F14" i="22"/>
  <c r="D14" i="22"/>
  <c r="C14" i="22"/>
  <c r="B14" i="22"/>
  <c r="Q13" i="22"/>
  <c r="M13" i="22"/>
  <c r="I13" i="22"/>
  <c r="E13" i="22"/>
  <c r="Y13" i="22" s="1"/>
  <c r="Q12" i="22"/>
  <c r="M12" i="22"/>
  <c r="I12" i="22"/>
  <c r="E12" i="22"/>
  <c r="Y12" i="22" s="1"/>
  <c r="P11" i="22"/>
  <c r="O11" i="22"/>
  <c r="N11" i="22"/>
  <c r="L11" i="22"/>
  <c r="K11" i="22"/>
  <c r="J11" i="22"/>
  <c r="H11" i="22"/>
  <c r="G11" i="22"/>
  <c r="F11" i="22"/>
  <c r="D11" i="22"/>
  <c r="C11" i="22"/>
  <c r="B11" i="22"/>
  <c r="P10" i="22"/>
  <c r="O10" i="22"/>
  <c r="N10" i="22"/>
  <c r="L10" i="22"/>
  <c r="K10" i="22"/>
  <c r="J10" i="22"/>
  <c r="H10" i="22"/>
  <c r="G10" i="22"/>
  <c r="F10" i="22"/>
  <c r="D10" i="22"/>
  <c r="C10" i="22"/>
  <c r="B10" i="22"/>
  <c r="P9" i="22"/>
  <c r="O9" i="22"/>
  <c r="N9" i="22"/>
  <c r="L9" i="22"/>
  <c r="K9" i="22"/>
  <c r="J9" i="22"/>
  <c r="H9" i="22"/>
  <c r="G9" i="22"/>
  <c r="F9" i="22"/>
  <c r="D9" i="22"/>
  <c r="C9" i="22"/>
  <c r="B9" i="22"/>
  <c r="E4" i="22"/>
  <c r="P54" i="22" l="1"/>
  <c r="P55" i="22" s="1"/>
  <c r="L6" i="32"/>
  <c r="N175" i="1"/>
  <c r="N194" i="1" s="1"/>
  <c r="H6" i="32"/>
  <c r="J175" i="1"/>
  <c r="J194" i="1" s="1"/>
  <c r="I6" i="32"/>
  <c r="K175" i="1"/>
  <c r="K194" i="1" s="1"/>
  <c r="K6" i="32"/>
  <c r="M175" i="1"/>
  <c r="M194" i="1" s="1"/>
  <c r="G6" i="32"/>
  <c r="I175" i="1"/>
  <c r="I194" i="1" s="1"/>
  <c r="M6" i="32"/>
  <c r="O175" i="1"/>
  <c r="O194" i="1" s="1"/>
  <c r="N6" i="32"/>
  <c r="P175" i="1"/>
  <c r="P194" i="1" s="1"/>
  <c r="J6" i="32"/>
  <c r="L175" i="1"/>
  <c r="L194" i="1" s="1"/>
  <c r="G54" i="22"/>
  <c r="G55" i="22" s="1"/>
  <c r="X5" i="1"/>
  <c r="F18" i="32"/>
  <c r="AE5" i="1"/>
  <c r="M18" i="32"/>
  <c r="AA5" i="1"/>
  <c r="I18" i="32"/>
  <c r="AB5" i="1"/>
  <c r="J18" i="32"/>
  <c r="AD5" i="1"/>
  <c r="L18" i="32"/>
  <c r="Z5" i="1"/>
  <c r="H18" i="32"/>
  <c r="AF5" i="1"/>
  <c r="N18" i="32"/>
  <c r="AC5" i="1"/>
  <c r="K18" i="32"/>
  <c r="Y5" i="1"/>
  <c r="G18" i="32"/>
  <c r="L49" i="22"/>
  <c r="L50" i="22" s="1"/>
  <c r="P49" i="22"/>
  <c r="P50" i="22" s="1"/>
  <c r="C60" i="22"/>
  <c r="C61" i="22" s="1"/>
  <c r="O40" i="1"/>
  <c r="O40" i="9" s="1"/>
  <c r="N40" i="1"/>
  <c r="N40" i="9" s="1"/>
  <c r="Q5" i="11"/>
  <c r="M40" i="1"/>
  <c r="M40" i="9" s="1"/>
  <c r="K40" i="1"/>
  <c r="K40" i="9" s="1"/>
  <c r="P40" i="1"/>
  <c r="P40" i="9" s="1"/>
  <c r="L40" i="1"/>
  <c r="L40" i="9" s="1"/>
  <c r="F54" i="22"/>
  <c r="F55" i="22" s="1"/>
  <c r="D54" i="22"/>
  <c r="D55" i="22" s="1"/>
  <c r="Q5" i="9"/>
  <c r="W28" i="1"/>
  <c r="H49" i="22"/>
  <c r="H50" i="22" s="1"/>
  <c r="H54" i="22"/>
  <c r="H55" i="22" s="1"/>
  <c r="B54" i="22"/>
  <c r="B55" i="22" s="1"/>
  <c r="C54" i="22"/>
  <c r="C55" i="22" s="1"/>
  <c r="D60" i="22"/>
  <c r="D61" i="22" s="1"/>
  <c r="K49" i="22"/>
  <c r="K50" i="22" s="1"/>
  <c r="C49" i="22"/>
  <c r="C50" i="22" s="1"/>
  <c r="O54" i="22"/>
  <c r="O55" i="22" s="1"/>
  <c r="J49" i="22"/>
  <c r="J50" i="22" s="1"/>
  <c r="N54" i="22"/>
  <c r="N55" i="22" s="1"/>
  <c r="K54" i="22"/>
  <c r="K55" i="22" s="1"/>
  <c r="F71" i="22"/>
  <c r="R71" i="22"/>
  <c r="N49" i="22"/>
  <c r="N50" i="22" s="1"/>
  <c r="B71" i="22"/>
  <c r="N71" i="22"/>
  <c r="F49" i="22"/>
  <c r="F50" i="22" s="1"/>
  <c r="B60" i="22"/>
  <c r="B61" i="22" s="1"/>
  <c r="O49" i="22"/>
  <c r="O50" i="22" s="1"/>
  <c r="M29" i="1"/>
  <c r="M29" i="9" s="1"/>
  <c r="AD28" i="1"/>
  <c r="M42" i="1"/>
  <c r="M42" i="9" s="1"/>
  <c r="AD35" i="1"/>
  <c r="M44" i="1"/>
  <c r="M44" i="9" s="1"/>
  <c r="AD36" i="1"/>
  <c r="L28" i="1"/>
  <c r="AC28" i="1"/>
  <c r="L42" i="1"/>
  <c r="L42" i="9" s="1"/>
  <c r="AC35" i="1"/>
  <c r="L44" i="1"/>
  <c r="L44" i="9" s="1"/>
  <c r="AC36" i="1"/>
  <c r="K63" i="1"/>
  <c r="K63" i="9" s="1"/>
  <c r="K58" i="9"/>
  <c r="AB40" i="9" s="1"/>
  <c r="BG6" i="11" s="1"/>
  <c r="BG40" i="11" s="1"/>
  <c r="K27" i="1"/>
  <c r="AB28" i="1"/>
  <c r="K42" i="1"/>
  <c r="K42" i="9" s="1"/>
  <c r="AB35" i="1"/>
  <c r="K44" i="1"/>
  <c r="K44" i="9" s="1"/>
  <c r="AB36" i="1"/>
  <c r="M63" i="1"/>
  <c r="M63" i="9" s="1"/>
  <c r="M58" i="9"/>
  <c r="AD40" i="9" s="1"/>
  <c r="BI6" i="11" s="1"/>
  <c r="BI40" i="11" s="1"/>
  <c r="O63" i="1"/>
  <c r="O63" i="9" s="1"/>
  <c r="O58" i="9"/>
  <c r="AF40" i="9" s="1"/>
  <c r="BK6" i="11" s="1"/>
  <c r="BK40" i="11" s="1"/>
  <c r="AA28" i="1"/>
  <c r="AA35" i="1"/>
  <c r="AA36" i="1"/>
  <c r="Q56" i="9"/>
  <c r="Z28" i="1"/>
  <c r="Z35" i="1"/>
  <c r="Z36" i="1"/>
  <c r="N63" i="1"/>
  <c r="N63" i="9" s="1"/>
  <c r="N58" i="9"/>
  <c r="AE40" i="9" s="1"/>
  <c r="BJ6" i="11" s="1"/>
  <c r="BJ40" i="11" s="1"/>
  <c r="Z40" i="9"/>
  <c r="BE6" i="11" s="1"/>
  <c r="BE40" i="11" s="1"/>
  <c r="L63" i="1"/>
  <c r="L63" i="9" s="1"/>
  <c r="L58" i="9"/>
  <c r="AC40" i="9" s="1"/>
  <c r="BH6" i="11" s="1"/>
  <c r="BH40" i="11" s="1"/>
  <c r="Q139" i="9"/>
  <c r="Y28" i="1"/>
  <c r="Y35" i="1"/>
  <c r="Y36" i="1"/>
  <c r="X28" i="1"/>
  <c r="Q34" i="9"/>
  <c r="X35" i="1"/>
  <c r="X36" i="1"/>
  <c r="P63" i="1"/>
  <c r="P63" i="9" s="1"/>
  <c r="P58" i="9"/>
  <c r="AG40" i="9" s="1"/>
  <c r="BL6" i="11" s="1"/>
  <c r="BL40" i="11" s="1"/>
  <c r="Q33" i="9"/>
  <c r="W35" i="1"/>
  <c r="W36" i="1"/>
  <c r="AA40" i="9"/>
  <c r="BF6" i="11" s="1"/>
  <c r="BF40" i="11" s="1"/>
  <c r="V35" i="1"/>
  <c r="V36" i="1"/>
  <c r="Q46" i="9"/>
  <c r="X40" i="9"/>
  <c r="BC6" i="11" s="1"/>
  <c r="BC40" i="11" s="1"/>
  <c r="Y40" i="9"/>
  <c r="BD6" i="11" s="1"/>
  <c r="BD40" i="11" s="1"/>
  <c r="P28" i="1"/>
  <c r="AG28" i="1"/>
  <c r="P42" i="1"/>
  <c r="P42" i="9" s="1"/>
  <c r="AG35" i="1"/>
  <c r="P44" i="1"/>
  <c r="P44" i="9" s="1"/>
  <c r="AG36" i="1"/>
  <c r="Q47" i="9"/>
  <c r="W40" i="9"/>
  <c r="BB6" i="11" s="1"/>
  <c r="BB40" i="11" s="1"/>
  <c r="V28" i="1"/>
  <c r="O27" i="1"/>
  <c r="AF28" i="1"/>
  <c r="O42" i="1"/>
  <c r="O42" i="9" s="1"/>
  <c r="AF35" i="1"/>
  <c r="O44" i="1"/>
  <c r="O44" i="9" s="1"/>
  <c r="AF36" i="1"/>
  <c r="Q48" i="9"/>
  <c r="Q55" i="9"/>
  <c r="N27" i="1"/>
  <c r="AE28" i="1"/>
  <c r="N42" i="1"/>
  <c r="N42" i="9" s="1"/>
  <c r="AE35" i="1"/>
  <c r="N44" i="1"/>
  <c r="N44" i="9" s="1"/>
  <c r="AE36" i="1"/>
  <c r="V40" i="9"/>
  <c r="I71" i="22"/>
  <c r="L60" i="22"/>
  <c r="L61" i="22" s="1"/>
  <c r="E80" i="22"/>
  <c r="J60" i="22"/>
  <c r="J61" i="22" s="1"/>
  <c r="D49" i="22"/>
  <c r="D50" i="22" s="1"/>
  <c r="F60" i="22"/>
  <c r="F61" i="22" s="1"/>
  <c r="E71" i="22"/>
  <c r="M41" i="22"/>
  <c r="M9" i="22"/>
  <c r="M10" i="22"/>
  <c r="M11" i="22"/>
  <c r="I34" i="22"/>
  <c r="N28" i="1"/>
  <c r="K28" i="1"/>
  <c r="I80" i="22"/>
  <c r="E34" i="22"/>
  <c r="M52" i="22"/>
  <c r="E22" i="22"/>
  <c r="Y22" i="22" s="1"/>
  <c r="E72" i="22"/>
  <c r="Q72" i="22"/>
  <c r="I37" i="22"/>
  <c r="Q53" i="22"/>
  <c r="G15" i="22"/>
  <c r="I11" i="19" s="1"/>
  <c r="I6" i="21" s="1"/>
  <c r="M71" i="22"/>
  <c r="M18" i="22"/>
  <c r="M21" i="22"/>
  <c r="M22" i="22"/>
  <c r="M34" i="22"/>
  <c r="E31" i="22"/>
  <c r="E58" i="22"/>
  <c r="Q22" i="22"/>
  <c r="Q34" i="22"/>
  <c r="G60" i="22"/>
  <c r="G61" i="22" s="1"/>
  <c r="M80" i="22"/>
  <c r="Q20" i="22"/>
  <c r="Q21" i="22"/>
  <c r="E32" i="22"/>
  <c r="R33" i="22"/>
  <c r="E53" i="22"/>
  <c r="Q18" i="22"/>
  <c r="M8" i="22"/>
  <c r="O28" i="1"/>
  <c r="E20" i="22"/>
  <c r="Y20" i="22" s="1"/>
  <c r="I20" i="22"/>
  <c r="Q39" i="22"/>
  <c r="O70" i="22"/>
  <c r="G49" i="22"/>
  <c r="G50" i="22" s="1"/>
  <c r="I22" i="22"/>
  <c r="I7" i="22"/>
  <c r="M20" i="22"/>
  <c r="E18" i="22"/>
  <c r="Y18" i="22" s="1"/>
  <c r="E47" i="22"/>
  <c r="G70" i="22"/>
  <c r="I18" i="22"/>
  <c r="I31" i="22"/>
  <c r="K70" i="22"/>
  <c r="C15" i="22"/>
  <c r="F11" i="19" s="1"/>
  <c r="O15" i="22"/>
  <c r="O11" i="19" s="1"/>
  <c r="M7" i="22"/>
  <c r="I39" i="22"/>
  <c r="P15" i="22"/>
  <c r="P11" i="19" s="1"/>
  <c r="P6" i="21" s="1"/>
  <c r="Q80" i="22"/>
  <c r="Q41" i="22"/>
  <c r="I53" i="22"/>
  <c r="E82" i="22"/>
  <c r="M53" i="22"/>
  <c r="Q7" i="22"/>
  <c r="Q9" i="22"/>
  <c r="Q10" i="22"/>
  <c r="Q11" i="22"/>
  <c r="M37" i="22"/>
  <c r="E48" i="22"/>
  <c r="H60" i="22"/>
  <c r="H61" i="22" s="1"/>
  <c r="M72" i="22"/>
  <c r="O29" i="1"/>
  <c r="O29" i="9" s="1"/>
  <c r="Q14" i="22"/>
  <c r="P29" i="1"/>
  <c r="P29" i="9" s="1"/>
  <c r="I19" i="22"/>
  <c r="M82" i="22"/>
  <c r="N29" i="1"/>
  <c r="N29" i="9" s="1"/>
  <c r="M31" i="22"/>
  <c r="I47" i="22"/>
  <c r="K60" i="22"/>
  <c r="K61" i="22" s="1"/>
  <c r="M58" i="22"/>
  <c r="O31" i="1"/>
  <c r="L29" i="1"/>
  <c r="L29" i="9" s="1"/>
  <c r="Q48" i="22"/>
  <c r="L15" i="22"/>
  <c r="M11" i="19" s="1"/>
  <c r="M6" i="21" s="1"/>
  <c r="B49" i="22"/>
  <c r="B50" i="22" s="1"/>
  <c r="I58" i="22"/>
  <c r="I72" i="22"/>
  <c r="R12" i="22"/>
  <c r="I14" i="22"/>
  <c r="Q23" i="22"/>
  <c r="Q37" i="22"/>
  <c r="I48" i="22"/>
  <c r="Q82" i="22"/>
  <c r="N31" i="1"/>
  <c r="K29" i="1"/>
  <c r="K29" i="9" s="1"/>
  <c r="I82" i="22"/>
  <c r="E39" i="22"/>
  <c r="L54" i="22"/>
  <c r="L55" i="22" s="1"/>
  <c r="M19" i="22"/>
  <c r="N60" i="22"/>
  <c r="N61" i="22" s="1"/>
  <c r="K31" i="1"/>
  <c r="Q31" i="22"/>
  <c r="M39" i="22"/>
  <c r="J54" i="22"/>
  <c r="J55" i="22" s="1"/>
  <c r="Q58" i="22"/>
  <c r="C70" i="22"/>
  <c r="J71" i="22"/>
  <c r="K15" i="22"/>
  <c r="L11" i="19" s="1"/>
  <c r="I8" i="22"/>
  <c r="I9" i="22"/>
  <c r="I11" i="22"/>
  <c r="M14" i="22"/>
  <c r="E23" i="22"/>
  <c r="U26" i="22"/>
  <c r="E37" i="22"/>
  <c r="R38" i="22"/>
  <c r="M48" i="22"/>
  <c r="I52" i="22"/>
  <c r="P60" i="22"/>
  <c r="P61" i="22" s="1"/>
  <c r="M31" i="1"/>
  <c r="P31" i="1"/>
  <c r="L31" i="1"/>
  <c r="M28" i="1"/>
  <c r="P27" i="1"/>
  <c r="L27" i="1"/>
  <c r="M27" i="1"/>
  <c r="J15" i="22"/>
  <c r="K11" i="19" s="1"/>
  <c r="R13" i="22"/>
  <c r="N15" i="22"/>
  <c r="N11" i="19" s="1"/>
  <c r="C68" i="22"/>
  <c r="C25" i="22"/>
  <c r="C28" i="22" s="1"/>
  <c r="C45" i="22" s="1"/>
  <c r="G68" i="22"/>
  <c r="G25" i="22"/>
  <c r="G28" i="22" s="1"/>
  <c r="G45" i="22" s="1"/>
  <c r="K68" i="22"/>
  <c r="K25" i="22"/>
  <c r="K28" i="22" s="1"/>
  <c r="K45" i="22" s="1"/>
  <c r="O68" i="22"/>
  <c r="O25" i="22"/>
  <c r="O28" i="22" s="1"/>
  <c r="O45" i="22" s="1"/>
  <c r="Y17" i="22"/>
  <c r="E7" i="22"/>
  <c r="Y7" i="22" s="1"/>
  <c r="H15" i="22"/>
  <c r="J11" i="19" s="1"/>
  <c r="E9" i="22"/>
  <c r="I10" i="22"/>
  <c r="B15" i="22"/>
  <c r="E11" i="19" s="1"/>
  <c r="E19" i="22"/>
  <c r="I21" i="22"/>
  <c r="M23" i="22"/>
  <c r="D15" i="22"/>
  <c r="G11" i="19" s="1"/>
  <c r="Q8" i="22"/>
  <c r="E10" i="22"/>
  <c r="E11" i="22"/>
  <c r="F15" i="22"/>
  <c r="H11" i="19" s="1"/>
  <c r="Q19" i="22"/>
  <c r="E21" i="22"/>
  <c r="I23" i="22"/>
  <c r="D72" i="22"/>
  <c r="D70" i="22"/>
  <c r="D71" i="22" s="1"/>
  <c r="P72" i="22"/>
  <c r="P70" i="22"/>
  <c r="P71" i="22" s="1"/>
  <c r="E8" i="22"/>
  <c r="Y8" i="22" s="1"/>
  <c r="E14" i="22"/>
  <c r="D25" i="22"/>
  <c r="D28" i="22" s="1"/>
  <c r="D45" i="22" s="1"/>
  <c r="H25" i="22"/>
  <c r="H28" i="22" s="1"/>
  <c r="H45" i="22" s="1"/>
  <c r="L25" i="22"/>
  <c r="L28" i="22" s="1"/>
  <c r="L45" i="22" s="1"/>
  <c r="P25" i="22"/>
  <c r="P28" i="22" s="1"/>
  <c r="P45" i="22" s="1"/>
  <c r="I32" i="22"/>
  <c r="M32" i="22"/>
  <c r="Q32" i="22"/>
  <c r="I41" i="22"/>
  <c r="Q47" i="22"/>
  <c r="E52" i="22"/>
  <c r="Q68" i="22"/>
  <c r="Q71" i="22" s="1"/>
  <c r="O60" i="22"/>
  <c r="O61" i="22" s="1"/>
  <c r="L72" i="22"/>
  <c r="L70" i="22"/>
  <c r="L71" i="22" s="1"/>
  <c r="E41" i="22"/>
  <c r="M47" i="22"/>
  <c r="Q52" i="22"/>
  <c r="L73" i="22"/>
  <c r="H72" i="22"/>
  <c r="H70" i="22"/>
  <c r="H71" i="22" s="1"/>
  <c r="D73" i="22"/>
  <c r="F25" i="22"/>
  <c r="F28" i="22" s="1"/>
  <c r="F45" i="22" s="1"/>
  <c r="J25" i="22"/>
  <c r="J28" i="22" s="1"/>
  <c r="J45" i="22" s="1"/>
  <c r="N25" i="22"/>
  <c r="N28" i="22" s="1"/>
  <c r="N45" i="22" s="1"/>
  <c r="P73" i="22"/>
  <c r="E57" i="22"/>
  <c r="I57" i="22"/>
  <c r="M57" i="22"/>
  <c r="Q57" i="22"/>
  <c r="B72" i="22"/>
  <c r="F72" i="22"/>
  <c r="J72" i="22"/>
  <c r="N72" i="22"/>
  <c r="R72" i="22"/>
  <c r="E73" i="22"/>
  <c r="I73" i="22"/>
  <c r="M73" i="22"/>
  <c r="C72" i="22"/>
  <c r="G72" i="22"/>
  <c r="K72" i="22"/>
  <c r="O72" i="22"/>
  <c r="B73" i="22"/>
  <c r="F73" i="22"/>
  <c r="J73" i="22"/>
  <c r="N73" i="22"/>
  <c r="Q40" i="9" l="1"/>
  <c r="F12" i="31"/>
  <c r="W4" i="1"/>
  <c r="X4" i="1"/>
  <c r="J6" i="21"/>
  <c r="H6" i="21"/>
  <c r="G6" i="21"/>
  <c r="Q11" i="19"/>
  <c r="E6" i="21"/>
  <c r="E7" i="21" s="1"/>
  <c r="K6" i="21"/>
  <c r="L6" i="21"/>
  <c r="O6" i="21"/>
  <c r="F6" i="21"/>
  <c r="N6" i="21"/>
  <c r="K71" i="22"/>
  <c r="G29" i="22"/>
  <c r="G36" i="22" s="1"/>
  <c r="G40" i="22" s="1"/>
  <c r="G43" i="22" s="1"/>
  <c r="M54" i="22"/>
  <c r="M55" i="22" s="1"/>
  <c r="Q29" i="9"/>
  <c r="AH40" i="9"/>
  <c r="BA6" i="11"/>
  <c r="L30" i="1"/>
  <c r="L30" i="9" s="1"/>
  <c r="AC29" i="1"/>
  <c r="P30" i="1"/>
  <c r="P30" i="9" s="1"/>
  <c r="AG29" i="1"/>
  <c r="V29" i="1"/>
  <c r="N30" i="1"/>
  <c r="N30" i="9" s="1"/>
  <c r="AE29" i="1"/>
  <c r="Q44" i="9"/>
  <c r="X29" i="1"/>
  <c r="O30" i="1"/>
  <c r="O30" i="9" s="1"/>
  <c r="AF29" i="1"/>
  <c r="Q42" i="9"/>
  <c r="Q58" i="9"/>
  <c r="AA29" i="1"/>
  <c r="K30" i="1"/>
  <c r="K30" i="9" s="1"/>
  <c r="AB29" i="1"/>
  <c r="Q63" i="9"/>
  <c r="W29" i="1"/>
  <c r="Z29" i="1"/>
  <c r="Y29" i="1"/>
  <c r="M30" i="1"/>
  <c r="M30" i="9" s="1"/>
  <c r="AD29" i="1"/>
  <c r="I60" i="22"/>
  <c r="I61" i="22" s="1"/>
  <c r="P29" i="22"/>
  <c r="P36" i="22" s="1"/>
  <c r="P40" i="22" s="1"/>
  <c r="P43" i="22" s="1"/>
  <c r="E49" i="22"/>
  <c r="E50" i="22" s="1"/>
  <c r="Q54" i="22"/>
  <c r="Q55" i="22" s="1"/>
  <c r="K29" i="22"/>
  <c r="K36" i="22" s="1"/>
  <c r="K40" i="22" s="1"/>
  <c r="K43" i="22" s="1"/>
  <c r="R39" i="22"/>
  <c r="R34" i="22"/>
  <c r="R31" i="22"/>
  <c r="O29" i="22"/>
  <c r="O36" i="22" s="1"/>
  <c r="O40" i="22" s="1"/>
  <c r="O43" i="22" s="1"/>
  <c r="L44" i="22"/>
  <c r="C29" i="22"/>
  <c r="C36" i="22" s="1"/>
  <c r="C40" i="22" s="1"/>
  <c r="C43" i="22" s="1"/>
  <c r="R53" i="22"/>
  <c r="I49" i="22"/>
  <c r="I50" i="22" s="1"/>
  <c r="R80" i="22"/>
  <c r="M25" i="22"/>
  <c r="M28" i="22" s="1"/>
  <c r="M45" i="22" s="1"/>
  <c r="O71" i="22"/>
  <c r="R22" i="22"/>
  <c r="R20" i="22"/>
  <c r="M49" i="22"/>
  <c r="M50" i="22" s="1"/>
  <c r="M15" i="22"/>
  <c r="R23" i="22"/>
  <c r="S23" i="22" s="1"/>
  <c r="U27" i="22" s="1"/>
  <c r="I54" i="22"/>
  <c r="I55" i="22" s="1"/>
  <c r="R18" i="22"/>
  <c r="M60" i="22"/>
  <c r="M61" i="22" s="1"/>
  <c r="K44" i="22"/>
  <c r="I15" i="22"/>
  <c r="R37" i="22"/>
  <c r="R58" i="22"/>
  <c r="R82" i="22"/>
  <c r="G71" i="22"/>
  <c r="I25" i="22"/>
  <c r="I28" i="22" s="1"/>
  <c r="I45" i="22" s="1"/>
  <c r="O44" i="22"/>
  <c r="R48" i="22"/>
  <c r="Q25" i="22"/>
  <c r="Q28" i="22" s="1"/>
  <c r="Q45" i="22" s="1"/>
  <c r="R14" i="22"/>
  <c r="C44" i="22"/>
  <c r="C71" i="22"/>
  <c r="R19" i="22"/>
  <c r="G44" i="22"/>
  <c r="Q60" i="22"/>
  <c r="Q61" i="22" s="1"/>
  <c r="Q49" i="22"/>
  <c r="Q50" i="22" s="1"/>
  <c r="R8" i="22"/>
  <c r="R11" i="22"/>
  <c r="R10" i="22"/>
  <c r="R9" i="22"/>
  <c r="Y10" i="22"/>
  <c r="Q15" i="22"/>
  <c r="P44" i="22"/>
  <c r="Y14" i="22"/>
  <c r="E15" i="22"/>
  <c r="R7" i="22"/>
  <c r="N44" i="22"/>
  <c r="N29" i="22"/>
  <c r="N36" i="22" s="1"/>
  <c r="N40" i="22" s="1"/>
  <c r="N43" i="22" s="1"/>
  <c r="E54" i="22"/>
  <c r="E55" i="22" s="1"/>
  <c r="R52" i="22"/>
  <c r="R21" i="22"/>
  <c r="F44" i="22"/>
  <c r="F29" i="22"/>
  <c r="F36" i="22" s="1"/>
  <c r="F40" i="22" s="1"/>
  <c r="F43" i="22" s="1"/>
  <c r="D44" i="22"/>
  <c r="D29" i="22"/>
  <c r="D36" i="22" s="1"/>
  <c r="D40" i="22" s="1"/>
  <c r="D43" i="22" s="1"/>
  <c r="G12" i="19" s="1"/>
  <c r="G84" i="21" s="1"/>
  <c r="L29" i="22"/>
  <c r="L36" i="22" s="1"/>
  <c r="L40" i="22" s="1"/>
  <c r="L43" i="22" s="1"/>
  <c r="R32" i="22"/>
  <c r="Y21" i="22"/>
  <c r="R57" i="22"/>
  <c r="E60" i="22"/>
  <c r="E61" i="22" s="1"/>
  <c r="R47" i="22"/>
  <c r="R41" i="22"/>
  <c r="Y11" i="22"/>
  <c r="Y9" i="22"/>
  <c r="H44" i="22"/>
  <c r="H29" i="22"/>
  <c r="H36" i="22" s="1"/>
  <c r="H40" i="22" s="1"/>
  <c r="H43" i="22" s="1"/>
  <c r="J44" i="22"/>
  <c r="J29" i="22"/>
  <c r="J36" i="22" s="1"/>
  <c r="J40" i="22" s="1"/>
  <c r="J43" i="22" s="1"/>
  <c r="Y19" i="22"/>
  <c r="F7" i="21" l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J81" i="22"/>
  <c r="J83" i="22" s="1"/>
  <c r="K12" i="19"/>
  <c r="K84" i="21" s="1"/>
  <c r="F81" i="22"/>
  <c r="F83" i="22" s="1"/>
  <c r="H12" i="19"/>
  <c r="H84" i="21" s="1"/>
  <c r="C62" i="22"/>
  <c r="F12" i="19"/>
  <c r="F84" i="21" s="1"/>
  <c r="L81" i="22"/>
  <c r="L83" i="22" s="1"/>
  <c r="M12" i="19"/>
  <c r="M84" i="21" s="1"/>
  <c r="N81" i="22"/>
  <c r="N83" i="22" s="1"/>
  <c r="N12" i="19"/>
  <c r="N84" i="21" s="1"/>
  <c r="P81" i="22"/>
  <c r="P83" i="22" s="1"/>
  <c r="P12" i="19"/>
  <c r="P84" i="21" s="1"/>
  <c r="H81" i="22"/>
  <c r="H83" i="22" s="1"/>
  <c r="J12" i="19"/>
  <c r="J84" i="21" s="1"/>
  <c r="O81" i="22"/>
  <c r="O83" i="22" s="1"/>
  <c r="O12" i="19"/>
  <c r="O84" i="21" s="1"/>
  <c r="K81" i="22"/>
  <c r="K83" i="22" s="1"/>
  <c r="L12" i="19"/>
  <c r="L84" i="21" s="1"/>
  <c r="G81" i="22"/>
  <c r="G83" i="22" s="1"/>
  <c r="I12" i="19"/>
  <c r="I84" i="21" s="1"/>
  <c r="Q30" i="9"/>
  <c r="BA40" i="11"/>
  <c r="BM6" i="11"/>
  <c r="BM40" i="11" s="1"/>
  <c r="Q29" i="22"/>
  <c r="Q36" i="22" s="1"/>
  <c r="Q40" i="22" s="1"/>
  <c r="Q43" i="22" s="1"/>
  <c r="R49" i="22"/>
  <c r="R50" i="22" s="1"/>
  <c r="C81" i="22"/>
  <c r="C83" i="22" s="1"/>
  <c r="R54" i="22"/>
  <c r="R55" i="22" s="1"/>
  <c r="M29" i="22"/>
  <c r="M36" i="22" s="1"/>
  <c r="M40" i="22" s="1"/>
  <c r="M43" i="22" s="1"/>
  <c r="I29" i="22"/>
  <c r="I36" i="22" s="1"/>
  <c r="I40" i="22" s="1"/>
  <c r="I43" i="22" s="1"/>
  <c r="R60" i="22"/>
  <c r="R61" i="22" s="1"/>
  <c r="R25" i="22"/>
  <c r="R28" i="22" s="1"/>
  <c r="R45" i="22" s="1"/>
  <c r="M44" i="22"/>
  <c r="Q44" i="22"/>
  <c r="R15" i="22"/>
  <c r="I44" i="22"/>
  <c r="V32" i="22"/>
  <c r="D62" i="22"/>
  <c r="D81" i="22"/>
  <c r="D83" i="22" s="1"/>
  <c r="Y15" i="22"/>
  <c r="Q83" i="22" l="1"/>
  <c r="I83" i="22"/>
  <c r="M83" i="22"/>
  <c r="Q81" i="22"/>
  <c r="I81" i="22"/>
  <c r="M81" i="22"/>
  <c r="R29" i="22"/>
  <c r="R36" i="22" s="1"/>
  <c r="R40" i="22" s="1"/>
  <c r="R43" i="22" s="1"/>
  <c r="Q4" i="19" l="1"/>
  <c r="Q5" i="19"/>
  <c r="Q6" i="19"/>
  <c r="Q8" i="19"/>
  <c r="Q80" i="19"/>
  <c r="Q160" i="19"/>
  <c r="Q159" i="19"/>
  <c r="Q155" i="19"/>
  <c r="Q154" i="19"/>
  <c r="Q153" i="19"/>
  <c r="Q146" i="19"/>
  <c r="Q145" i="19"/>
  <c r="Q144" i="19"/>
  <c r="Q143" i="19"/>
  <c r="Q135" i="19"/>
  <c r="Q134" i="19"/>
  <c r="Q133" i="19"/>
  <c r="Q132" i="19"/>
  <c r="Q131" i="19"/>
  <c r="Q130" i="19"/>
  <c r="Q126" i="19"/>
  <c r="Q125" i="19"/>
  <c r="Q124" i="19"/>
  <c r="Q120" i="19"/>
  <c r="Q119" i="19"/>
  <c r="Q118" i="19"/>
  <c r="Q117" i="19"/>
  <c r="Q116" i="19"/>
  <c r="Q115" i="19"/>
  <c r="Q114" i="19"/>
  <c r="Q113" i="19"/>
  <c r="Q112" i="19"/>
  <c r="Q111" i="19"/>
  <c r="Q110" i="19"/>
  <c r="Q109" i="19"/>
  <c r="Q108" i="19"/>
  <c r="Q107" i="19"/>
  <c r="Q106" i="19"/>
  <c r="Q105" i="19"/>
  <c r="Q101" i="19"/>
  <c r="Q100" i="19"/>
  <c r="Q99" i="19"/>
  <c r="Q98" i="19"/>
  <c r="Q97" i="19"/>
  <c r="Q96" i="19"/>
  <c r="Q95" i="19"/>
  <c r="Q94" i="19"/>
  <c r="Q93" i="19"/>
  <c r="Q92" i="19"/>
  <c r="Q91" i="19"/>
  <c r="Q90" i="19"/>
  <c r="Q89" i="19"/>
  <c r="Q88" i="19"/>
  <c r="Q87" i="19"/>
  <c r="Q86" i="19"/>
  <c r="Q85" i="19"/>
  <c r="Q84" i="19"/>
  <c r="Q83" i="19"/>
  <c r="Q82" i="19"/>
  <c r="Q81" i="19"/>
  <c r="Q79" i="19"/>
  <c r="Q78" i="19"/>
  <c r="Q77" i="19"/>
  <c r="Q76" i="19"/>
  <c r="Q75" i="19"/>
  <c r="Q74" i="19"/>
  <c r="Q68" i="19"/>
  <c r="Q67" i="19"/>
  <c r="Q66" i="19"/>
  <c r="Q65" i="19"/>
  <c r="Q64" i="19"/>
  <c r="Q63" i="19"/>
  <c r="Q62" i="19"/>
  <c r="Q61" i="19"/>
  <c r="Q60" i="19"/>
  <c r="Q59" i="19"/>
  <c r="Q58" i="19"/>
  <c r="Q57" i="19"/>
  <c r="Q56" i="19"/>
  <c r="Q55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2" i="19"/>
  <c r="Q31" i="19"/>
  <c r="Q30" i="19"/>
  <c r="Q29" i="19"/>
  <c r="Q28" i="19"/>
  <c r="Q27" i="19"/>
  <c r="Q26" i="19"/>
  <c r="Q25" i="19"/>
  <c r="Q139" i="18"/>
  <c r="Q137" i="18"/>
  <c r="Q129" i="18"/>
  <c r="Q130" i="18"/>
  <c r="Q131" i="18"/>
  <c r="Q119" i="18"/>
  <c r="Q120" i="18"/>
  <c r="Q121" i="18"/>
  <c r="Q122" i="18"/>
  <c r="Q123" i="18"/>
  <c r="Q118" i="18"/>
  <c r="Q115" i="18"/>
  <c r="Q99" i="18"/>
  <c r="Q98" i="18"/>
  <c r="Q100" i="18"/>
  <c r="Q101" i="18"/>
  <c r="Q102" i="18"/>
  <c r="Q103" i="18"/>
  <c r="Q104" i="18"/>
  <c r="Q105" i="18"/>
  <c r="Q106" i="18"/>
  <c r="Q107" i="18"/>
  <c r="Q108" i="18"/>
  <c r="Q109" i="18"/>
  <c r="Q110" i="18"/>
  <c r="Q111" i="18"/>
  <c r="Q112" i="18"/>
  <c r="Q93" i="18"/>
  <c r="Q94" i="18"/>
  <c r="Q95" i="18"/>
  <c r="Q92" i="18"/>
  <c r="Q91" i="18"/>
  <c r="Q90" i="18"/>
  <c r="Q89" i="18"/>
  <c r="Q88" i="18"/>
  <c r="Q87" i="18"/>
  <c r="Q86" i="18"/>
  <c r="Q85" i="18"/>
  <c r="Q84" i="18"/>
  <c r="Q83" i="18"/>
  <c r="Q82" i="18"/>
  <c r="Q81" i="18"/>
  <c r="Q80" i="18"/>
  <c r="Q79" i="18"/>
  <c r="Q78" i="18"/>
  <c r="Q77" i="18"/>
  <c r="Q76" i="18"/>
  <c r="Q75" i="18"/>
  <c r="Q74" i="18"/>
  <c r="Q73" i="18"/>
  <c r="Q72" i="18"/>
  <c r="Q70" i="18"/>
  <c r="Q68" i="18"/>
  <c r="Q64" i="18"/>
  <c r="Q63" i="18"/>
  <c r="Q62" i="18"/>
  <c r="Q61" i="18"/>
  <c r="Q60" i="18"/>
  <c r="Q59" i="18"/>
  <c r="Q58" i="18"/>
  <c r="Q56" i="18"/>
  <c r="Q55" i="18"/>
  <c r="Q54" i="18"/>
  <c r="Q53" i="18"/>
  <c r="Q52" i="18"/>
  <c r="Q47" i="18"/>
  <c r="Q46" i="18"/>
  <c r="Q45" i="18"/>
  <c r="Q44" i="18"/>
  <c r="Q42" i="18"/>
  <c r="Q40" i="18"/>
  <c r="Q38" i="18"/>
  <c r="Q37" i="18"/>
  <c r="Q32" i="18"/>
  <c r="Q29" i="18"/>
  <c r="Q28" i="18"/>
  <c r="Q27" i="18"/>
  <c r="C2" i="20" l="1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AM2" i="20"/>
  <c r="AM99" i="20" s="1"/>
  <c r="AN2" i="20"/>
  <c r="AN99" i="20" s="1"/>
  <c r="AO2" i="20"/>
  <c r="AO99" i="20" s="1"/>
  <c r="AP2" i="20"/>
  <c r="AQ2" i="20"/>
  <c r="AQ99" i="20" s="1"/>
  <c r="AR2" i="20"/>
  <c r="AR99" i="20" s="1"/>
  <c r="AS2" i="20"/>
  <c r="AS99" i="20" s="1"/>
  <c r="AT2" i="20"/>
  <c r="AU2" i="20"/>
  <c r="AU99" i="20" s="1"/>
  <c r="AV2" i="20"/>
  <c r="AV99" i="20" s="1"/>
  <c r="AW2" i="20"/>
  <c r="AW99" i="20" s="1"/>
  <c r="AX2" i="20"/>
  <c r="AY2" i="20"/>
  <c r="AY99" i="20" s="1"/>
  <c r="AZ2" i="20"/>
  <c r="AZ99" i="20" s="1"/>
  <c r="BA2" i="20"/>
  <c r="BA99" i="20" s="1"/>
  <c r="BB2" i="20"/>
  <c r="BC2" i="20"/>
  <c r="BE2" i="20"/>
  <c r="F3" i="20"/>
  <c r="X3" i="20"/>
  <c r="U6" i="20"/>
  <c r="V6" i="20"/>
  <c r="W6" i="20"/>
  <c r="Y6" i="20"/>
  <c r="Z6" i="20"/>
  <c r="AA6" i="20"/>
  <c r="AC6" i="20"/>
  <c r="AD6" i="20"/>
  <c r="AE6" i="20"/>
  <c r="AG6" i="20"/>
  <c r="AH6" i="20"/>
  <c r="AI6" i="20"/>
  <c r="AM6" i="20"/>
  <c r="E142" i="17" s="1"/>
  <c r="AN6" i="20"/>
  <c r="F142" i="17" s="1"/>
  <c r="AO6" i="20"/>
  <c r="G142" i="17" s="1"/>
  <c r="AQ6" i="20"/>
  <c r="H142" i="17" s="1"/>
  <c r="AR6" i="20"/>
  <c r="I142" i="17" s="1"/>
  <c r="AS6" i="20"/>
  <c r="J142" i="17" s="1"/>
  <c r="AU6" i="20"/>
  <c r="K142" i="17" s="1"/>
  <c r="AV6" i="20"/>
  <c r="L142" i="17" s="1"/>
  <c r="AW6" i="20"/>
  <c r="M142" i="17" s="1"/>
  <c r="AY6" i="20"/>
  <c r="N142" i="17" s="1"/>
  <c r="AZ6" i="20"/>
  <c r="O142" i="17" s="1"/>
  <c r="BA6" i="20"/>
  <c r="P142" i="17" s="1"/>
  <c r="U7" i="20"/>
  <c r="V7" i="20"/>
  <c r="W7" i="20"/>
  <c r="Y7" i="20"/>
  <c r="Z7" i="20"/>
  <c r="AA7" i="20"/>
  <c r="AC7" i="20"/>
  <c r="AD7" i="20"/>
  <c r="AE7" i="20"/>
  <c r="AG7" i="20"/>
  <c r="AH7" i="20"/>
  <c r="AI7" i="20"/>
  <c r="AM7" i="20"/>
  <c r="AN7" i="20"/>
  <c r="AO7" i="20"/>
  <c r="AQ7" i="20"/>
  <c r="AR7" i="20"/>
  <c r="AS7" i="20"/>
  <c r="AU7" i="20"/>
  <c r="K7" i="20" s="1"/>
  <c r="AV7" i="20"/>
  <c r="AW7" i="20"/>
  <c r="AY7" i="20"/>
  <c r="AZ7" i="20"/>
  <c r="BA7" i="20"/>
  <c r="U8" i="20"/>
  <c r="V8" i="20"/>
  <c r="W8" i="20"/>
  <c r="Y8" i="20"/>
  <c r="Z8" i="20"/>
  <c r="AA8" i="20"/>
  <c r="AC8" i="20"/>
  <c r="AD8" i="20"/>
  <c r="AE8" i="20"/>
  <c r="AG8" i="20"/>
  <c r="AH8" i="20"/>
  <c r="AI8" i="20"/>
  <c r="AM8" i="20"/>
  <c r="AN8" i="20"/>
  <c r="F141" i="17" s="1"/>
  <c r="AO8" i="20"/>
  <c r="G141" i="17" s="1"/>
  <c r="AQ8" i="20"/>
  <c r="AR8" i="20"/>
  <c r="I141" i="17" s="1"/>
  <c r="AS8" i="20"/>
  <c r="J141" i="17" s="1"/>
  <c r="AU8" i="20"/>
  <c r="AV8" i="20"/>
  <c r="AW8" i="20"/>
  <c r="M141" i="17" s="1"/>
  <c r="AY8" i="20"/>
  <c r="AZ8" i="20"/>
  <c r="O141" i="17" s="1"/>
  <c r="BA8" i="20"/>
  <c r="P141" i="17" s="1"/>
  <c r="U9" i="20"/>
  <c r="V9" i="20"/>
  <c r="W9" i="20"/>
  <c r="Y9" i="20"/>
  <c r="Z9" i="20"/>
  <c r="AA9" i="20"/>
  <c r="AC9" i="20"/>
  <c r="AD9" i="20"/>
  <c r="AE9" i="20"/>
  <c r="AG9" i="20"/>
  <c r="AH9" i="20"/>
  <c r="AI9" i="20"/>
  <c r="AM9" i="20"/>
  <c r="AN9" i="20"/>
  <c r="AO9" i="20"/>
  <c r="AQ9" i="20"/>
  <c r="AR9" i="20"/>
  <c r="AS9" i="20"/>
  <c r="AU9" i="20"/>
  <c r="AV9" i="20"/>
  <c r="L141" i="17" s="1"/>
  <c r="AW9" i="20"/>
  <c r="AY9" i="20"/>
  <c r="AZ9" i="20"/>
  <c r="BA9" i="20"/>
  <c r="U10" i="20"/>
  <c r="V10" i="20"/>
  <c r="W10" i="20"/>
  <c r="Y10" i="20"/>
  <c r="Z10" i="20"/>
  <c r="AA10" i="20"/>
  <c r="AC10" i="20"/>
  <c r="AD10" i="20"/>
  <c r="AE10" i="20"/>
  <c r="AG10" i="20"/>
  <c r="AH10" i="20"/>
  <c r="AI10" i="20"/>
  <c r="AM10" i="20"/>
  <c r="AN10" i="20"/>
  <c r="AO10" i="20"/>
  <c r="AQ10" i="20"/>
  <c r="AR10" i="20"/>
  <c r="AS10" i="20"/>
  <c r="AU10" i="20"/>
  <c r="K10" i="20" s="1"/>
  <c r="AV10" i="20"/>
  <c r="AW10" i="20"/>
  <c r="AY10" i="20"/>
  <c r="AZ10" i="20"/>
  <c r="BA10" i="20"/>
  <c r="BI10" i="20"/>
  <c r="F11" i="20"/>
  <c r="J11" i="20"/>
  <c r="N11" i="20"/>
  <c r="R11" i="20"/>
  <c r="X11" i="20"/>
  <c r="AP11" i="20" s="1"/>
  <c r="AB11" i="20"/>
  <c r="AF11" i="20"/>
  <c r="AX11" i="20" s="1"/>
  <c r="AJ11" i="20"/>
  <c r="BB11" i="20" s="1"/>
  <c r="AM11" i="20"/>
  <c r="AN11" i="20"/>
  <c r="AO11" i="20"/>
  <c r="AQ11" i="20"/>
  <c r="AR11" i="20"/>
  <c r="AS11" i="20"/>
  <c r="AU11" i="20"/>
  <c r="AV11" i="20"/>
  <c r="AW11" i="20"/>
  <c r="AY11" i="20"/>
  <c r="AZ11" i="20"/>
  <c r="BA11" i="20"/>
  <c r="U25" i="20"/>
  <c r="E51" i="18" s="1"/>
  <c r="V25" i="20"/>
  <c r="F51" i="18" s="1"/>
  <c r="F65" i="18" s="1"/>
  <c r="W25" i="20"/>
  <c r="G51" i="18" s="1"/>
  <c r="G65" i="18" s="1"/>
  <c r="Y25" i="20"/>
  <c r="H51" i="18" s="1"/>
  <c r="H65" i="18" s="1"/>
  <c r="Z25" i="20"/>
  <c r="I51" i="18" s="1"/>
  <c r="I65" i="18" s="1"/>
  <c r="AA25" i="20"/>
  <c r="J51" i="18" s="1"/>
  <c r="J65" i="18" s="1"/>
  <c r="AC25" i="20"/>
  <c r="K51" i="18" s="1"/>
  <c r="K65" i="18" s="1"/>
  <c r="AD25" i="20"/>
  <c r="L51" i="18" s="1"/>
  <c r="L65" i="18" s="1"/>
  <c r="AE25" i="20"/>
  <c r="M51" i="18" s="1"/>
  <c r="M65" i="18" s="1"/>
  <c r="AG25" i="20"/>
  <c r="N51" i="18" s="1"/>
  <c r="N65" i="18" s="1"/>
  <c r="AH25" i="20"/>
  <c r="O51" i="18" s="1"/>
  <c r="O65" i="18" s="1"/>
  <c r="AI25" i="20"/>
  <c r="P51" i="18" s="1"/>
  <c r="AM25" i="20"/>
  <c r="E55" i="17" s="1"/>
  <c r="E58" i="17" s="1"/>
  <c r="AN25" i="20"/>
  <c r="F55" i="17" s="1"/>
  <c r="F58" i="17" s="1"/>
  <c r="AO25" i="20"/>
  <c r="G55" i="17" s="1"/>
  <c r="G58" i="17" s="1"/>
  <c r="AQ25" i="20"/>
  <c r="H55" i="17" s="1"/>
  <c r="H58" i="17" s="1"/>
  <c r="AR25" i="20"/>
  <c r="I55" i="17" s="1"/>
  <c r="I58" i="17" s="1"/>
  <c r="AS25" i="20"/>
  <c r="J55" i="17" s="1"/>
  <c r="J58" i="17" s="1"/>
  <c r="AU25" i="20"/>
  <c r="K55" i="17" s="1"/>
  <c r="K58" i="17" s="1"/>
  <c r="AV25" i="20"/>
  <c r="L55" i="17" s="1"/>
  <c r="L58" i="17" s="1"/>
  <c r="AW25" i="20"/>
  <c r="M55" i="17" s="1"/>
  <c r="M58" i="17" s="1"/>
  <c r="AY25" i="20"/>
  <c r="N55" i="17" s="1"/>
  <c r="N58" i="17" s="1"/>
  <c r="AZ25" i="20"/>
  <c r="O55" i="17" s="1"/>
  <c r="O58" i="17" s="1"/>
  <c r="BA25" i="20"/>
  <c r="P55" i="17" s="1"/>
  <c r="P58" i="17" s="1"/>
  <c r="U26" i="20"/>
  <c r="V26" i="20"/>
  <c r="W26" i="20"/>
  <c r="Y26" i="20"/>
  <c r="Z26" i="20"/>
  <c r="AA26" i="20"/>
  <c r="AC26" i="20"/>
  <c r="AD26" i="20"/>
  <c r="AE26" i="20"/>
  <c r="AG26" i="20"/>
  <c r="AH26" i="20"/>
  <c r="AI26" i="20"/>
  <c r="AM26" i="20"/>
  <c r="AN26" i="20"/>
  <c r="AO26" i="20"/>
  <c r="AQ26" i="20"/>
  <c r="AR26" i="20"/>
  <c r="AS26" i="20"/>
  <c r="AU26" i="20"/>
  <c r="AV26" i="20"/>
  <c r="AW26" i="20"/>
  <c r="AY26" i="20"/>
  <c r="O26" i="20" s="1"/>
  <c r="AZ26" i="20"/>
  <c r="BA26" i="20"/>
  <c r="U27" i="20"/>
  <c r="E71" i="18" s="1"/>
  <c r="V27" i="20"/>
  <c r="F71" i="18" s="1"/>
  <c r="W27" i="20"/>
  <c r="Y27" i="20"/>
  <c r="Z27" i="20"/>
  <c r="I71" i="18" s="1"/>
  <c r="AA27" i="20"/>
  <c r="J71" i="18" s="1"/>
  <c r="AC27" i="20"/>
  <c r="K71" i="18" s="1"/>
  <c r="AD27" i="20"/>
  <c r="L71" i="18" s="1"/>
  <c r="AE27" i="20"/>
  <c r="M71" i="18" s="1"/>
  <c r="AG27" i="20"/>
  <c r="N71" i="18" s="1"/>
  <c r="AH27" i="20"/>
  <c r="O71" i="18" s="1"/>
  <c r="AI27" i="20"/>
  <c r="AM27" i="20"/>
  <c r="AN27" i="20"/>
  <c r="F77" i="17" s="1"/>
  <c r="AO27" i="20"/>
  <c r="G77" i="17" s="1"/>
  <c r="AQ27" i="20"/>
  <c r="H77" i="17" s="1"/>
  <c r="AR27" i="20"/>
  <c r="I77" i="17" s="1"/>
  <c r="AS27" i="20"/>
  <c r="J77" i="17" s="1"/>
  <c r="AU27" i="20"/>
  <c r="AV27" i="20"/>
  <c r="L77" i="17" s="1"/>
  <c r="AW27" i="20"/>
  <c r="M77" i="17" s="1"/>
  <c r="AY27" i="20"/>
  <c r="N77" i="17" s="1"/>
  <c r="AZ27" i="20"/>
  <c r="O77" i="17" s="1"/>
  <c r="BA27" i="20"/>
  <c r="P77" i="17" s="1"/>
  <c r="U29" i="20"/>
  <c r="E57" i="18" s="1"/>
  <c r="E66" i="18" s="1"/>
  <c r="V29" i="20"/>
  <c r="F57" i="18" s="1"/>
  <c r="F66" i="18" s="1"/>
  <c r="W29" i="20"/>
  <c r="G57" i="18" s="1"/>
  <c r="G66" i="18" s="1"/>
  <c r="Y29" i="20"/>
  <c r="H57" i="18" s="1"/>
  <c r="H66" i="18" s="1"/>
  <c r="Z29" i="20"/>
  <c r="I57" i="18" s="1"/>
  <c r="AA29" i="20"/>
  <c r="J57" i="18" s="1"/>
  <c r="J66" i="18" s="1"/>
  <c r="AC29" i="20"/>
  <c r="K57" i="18" s="1"/>
  <c r="K67" i="18" s="1"/>
  <c r="AA11" i="18" s="1"/>
  <c r="AD29" i="20"/>
  <c r="L57" i="18" s="1"/>
  <c r="L66" i="18" s="1"/>
  <c r="AE29" i="20"/>
  <c r="M57" i="18" s="1"/>
  <c r="M66" i="18" s="1"/>
  <c r="AG29" i="20"/>
  <c r="N57" i="18" s="1"/>
  <c r="N66" i="18" s="1"/>
  <c r="AH29" i="20"/>
  <c r="O57" i="18" s="1"/>
  <c r="O67" i="18" s="1"/>
  <c r="AE11" i="18" s="1"/>
  <c r="AI29" i="20"/>
  <c r="P57" i="18" s="1"/>
  <c r="P66" i="18" s="1"/>
  <c r="AM29" i="20"/>
  <c r="E61" i="17" s="1"/>
  <c r="AN29" i="20"/>
  <c r="AO29" i="20"/>
  <c r="G61" i="17" s="1"/>
  <c r="AQ29" i="20"/>
  <c r="H61" i="17" s="1"/>
  <c r="AR29" i="20"/>
  <c r="AS29" i="20"/>
  <c r="J61" i="17" s="1"/>
  <c r="AU29" i="20"/>
  <c r="K61" i="17" s="1"/>
  <c r="AV29" i="20"/>
  <c r="L61" i="17" s="1"/>
  <c r="AW29" i="20"/>
  <c r="M61" i="17" s="1"/>
  <c r="AY29" i="20"/>
  <c r="N61" i="17" s="1"/>
  <c r="AZ29" i="20"/>
  <c r="O61" i="17" s="1"/>
  <c r="BA29" i="20"/>
  <c r="P61" i="17" s="1"/>
  <c r="AM30" i="20"/>
  <c r="E75" i="17" s="1"/>
  <c r="E124" i="17" s="1"/>
  <c r="AN30" i="20"/>
  <c r="F75" i="17" s="1"/>
  <c r="F124" i="17" s="1"/>
  <c r="AO30" i="20"/>
  <c r="G75" i="17" s="1"/>
  <c r="G124" i="17" s="1"/>
  <c r="AQ30" i="20"/>
  <c r="H75" i="17" s="1"/>
  <c r="H124" i="17" s="1"/>
  <c r="AR30" i="20"/>
  <c r="I75" i="17" s="1"/>
  <c r="I124" i="17" s="1"/>
  <c r="AS30" i="20"/>
  <c r="J75" i="17" s="1"/>
  <c r="J124" i="17" s="1"/>
  <c r="AU30" i="20"/>
  <c r="K75" i="17" s="1"/>
  <c r="K124" i="17" s="1"/>
  <c r="AV30" i="20"/>
  <c r="L75" i="17" s="1"/>
  <c r="L124" i="17" s="1"/>
  <c r="AW30" i="20"/>
  <c r="M75" i="17" s="1"/>
  <c r="M124" i="17" s="1"/>
  <c r="AY30" i="20"/>
  <c r="N75" i="17" s="1"/>
  <c r="N124" i="17" s="1"/>
  <c r="AZ30" i="20"/>
  <c r="O75" i="17" s="1"/>
  <c r="O124" i="17" s="1"/>
  <c r="BA30" i="20"/>
  <c r="P75" i="17" s="1"/>
  <c r="P124" i="17" s="1"/>
  <c r="U31" i="20"/>
  <c r="E116" i="18" s="1"/>
  <c r="V31" i="20"/>
  <c r="F116" i="18" s="1"/>
  <c r="W31" i="20"/>
  <c r="Y31" i="20"/>
  <c r="H116" i="18" s="1"/>
  <c r="Z31" i="20"/>
  <c r="I116" i="18" s="1"/>
  <c r="AA31" i="20"/>
  <c r="J116" i="18" s="1"/>
  <c r="AC31" i="20"/>
  <c r="AD31" i="20"/>
  <c r="L116" i="18" s="1"/>
  <c r="L123" i="10" s="1"/>
  <c r="L123" i="9" s="1"/>
  <c r="AE31" i="20"/>
  <c r="M116" i="18" s="1"/>
  <c r="M123" i="10" s="1"/>
  <c r="M123" i="9" s="1"/>
  <c r="AG31" i="20"/>
  <c r="N116" i="18" s="1"/>
  <c r="N123" i="10" s="1"/>
  <c r="N123" i="9" s="1"/>
  <c r="AH31" i="20"/>
  <c r="O116" i="18" s="1"/>
  <c r="O123" i="10" s="1"/>
  <c r="O123" i="9" s="1"/>
  <c r="AI31" i="20"/>
  <c r="P116" i="18" s="1"/>
  <c r="P123" i="10" s="1"/>
  <c r="P123" i="9" s="1"/>
  <c r="AM31" i="20"/>
  <c r="AN31" i="20"/>
  <c r="F126" i="17" s="1"/>
  <c r="AO31" i="20"/>
  <c r="G126" i="17" s="1"/>
  <c r="AQ31" i="20"/>
  <c r="AR31" i="20"/>
  <c r="I126" i="17" s="1"/>
  <c r="AS31" i="20"/>
  <c r="AU31" i="20"/>
  <c r="K126" i="17" s="1"/>
  <c r="AV31" i="20"/>
  <c r="L126" i="17" s="1"/>
  <c r="AW31" i="20"/>
  <c r="M126" i="17" s="1"/>
  <c r="AY31" i="20"/>
  <c r="N126" i="17" s="1"/>
  <c r="AZ31" i="20"/>
  <c r="O126" i="17" s="1"/>
  <c r="BA31" i="20"/>
  <c r="C32" i="20"/>
  <c r="D32" i="20"/>
  <c r="E32" i="20"/>
  <c r="G32" i="20"/>
  <c r="H32" i="20"/>
  <c r="I32" i="20"/>
  <c r="K32" i="20"/>
  <c r="L32" i="20"/>
  <c r="M32" i="20"/>
  <c r="O32" i="20"/>
  <c r="P32" i="20"/>
  <c r="Q32" i="20"/>
  <c r="X32" i="20"/>
  <c r="AP32" i="20" s="1"/>
  <c r="AB32" i="20"/>
  <c r="AT32" i="20" s="1"/>
  <c r="AF32" i="20"/>
  <c r="AX32" i="20" s="1"/>
  <c r="AJ32" i="20"/>
  <c r="BB32" i="20" s="1"/>
  <c r="U44" i="20"/>
  <c r="E36" i="18" s="1"/>
  <c r="E48" i="18" s="1"/>
  <c r="V44" i="20"/>
  <c r="F36" i="18" s="1"/>
  <c r="F48" i="18" s="1"/>
  <c r="W44" i="20"/>
  <c r="G36" i="18" s="1"/>
  <c r="G48" i="18" s="1"/>
  <c r="Y44" i="20"/>
  <c r="H36" i="18" s="1"/>
  <c r="H48" i="18" s="1"/>
  <c r="Z44" i="20"/>
  <c r="AA44" i="20"/>
  <c r="AC44" i="20"/>
  <c r="AD44" i="20"/>
  <c r="L36" i="18" s="1"/>
  <c r="L48" i="18" s="1"/>
  <c r="AE44" i="20"/>
  <c r="M36" i="18" s="1"/>
  <c r="M48" i="18" s="1"/>
  <c r="AG44" i="20"/>
  <c r="N36" i="18" s="1"/>
  <c r="N48" i="18" s="1"/>
  <c r="AH44" i="20"/>
  <c r="O36" i="18" s="1"/>
  <c r="O48" i="18" s="1"/>
  <c r="AI44" i="20"/>
  <c r="AM44" i="20"/>
  <c r="E38" i="17" s="1"/>
  <c r="AN44" i="20"/>
  <c r="F38" i="17" s="1"/>
  <c r="AO44" i="20"/>
  <c r="G38" i="17" s="1"/>
  <c r="AQ44" i="20"/>
  <c r="H38" i="17" s="1"/>
  <c r="AR44" i="20"/>
  <c r="I38" i="17" s="1"/>
  <c r="AS44" i="20"/>
  <c r="J38" i="17" s="1"/>
  <c r="AU44" i="20"/>
  <c r="K38" i="17" s="1"/>
  <c r="AV44" i="20"/>
  <c r="L38" i="17" s="1"/>
  <c r="AW44" i="20"/>
  <c r="M38" i="17" s="1"/>
  <c r="AY44" i="20"/>
  <c r="N38" i="17" s="1"/>
  <c r="AZ44" i="20"/>
  <c r="O38" i="17" s="1"/>
  <c r="BA44" i="20"/>
  <c r="P38" i="17" s="1"/>
  <c r="C45" i="20"/>
  <c r="D45" i="20"/>
  <c r="E45" i="20"/>
  <c r="G45" i="20"/>
  <c r="H45" i="20"/>
  <c r="I45" i="20"/>
  <c r="K45" i="20"/>
  <c r="L45" i="20"/>
  <c r="M45" i="20"/>
  <c r="O45" i="20"/>
  <c r="P45" i="20"/>
  <c r="Q45" i="20"/>
  <c r="X45" i="20"/>
  <c r="AP45" i="20" s="1"/>
  <c r="AB45" i="20"/>
  <c r="AT45" i="20" s="1"/>
  <c r="AF45" i="20"/>
  <c r="AX45" i="20" s="1"/>
  <c r="AJ45" i="20"/>
  <c r="BB45" i="20" s="1"/>
  <c r="U46" i="20"/>
  <c r="E41" i="18" s="1"/>
  <c r="V46" i="20"/>
  <c r="F41" i="18" s="1"/>
  <c r="W46" i="20"/>
  <c r="G41" i="18" s="1"/>
  <c r="Y46" i="20"/>
  <c r="H41" i="18" s="1"/>
  <c r="Z46" i="20"/>
  <c r="I41" i="18" s="1"/>
  <c r="AA46" i="20"/>
  <c r="J41" i="18" s="1"/>
  <c r="AC46" i="20"/>
  <c r="AD46" i="20"/>
  <c r="L41" i="18" s="1"/>
  <c r="AE46" i="20"/>
  <c r="M41" i="18" s="1"/>
  <c r="AG46" i="20"/>
  <c r="N41" i="18" s="1"/>
  <c r="AH46" i="20"/>
  <c r="O41" i="18" s="1"/>
  <c r="AI46" i="20"/>
  <c r="P41" i="18" s="1"/>
  <c r="AM46" i="20"/>
  <c r="E43" i="17" s="1"/>
  <c r="AN46" i="20"/>
  <c r="F43" i="17" s="1"/>
  <c r="AO46" i="20"/>
  <c r="G43" i="17" s="1"/>
  <c r="AQ46" i="20"/>
  <c r="H43" i="17" s="1"/>
  <c r="AR46" i="20"/>
  <c r="I43" i="17" s="1"/>
  <c r="AS46" i="20"/>
  <c r="J43" i="17" s="1"/>
  <c r="AU46" i="20"/>
  <c r="K43" i="17" s="1"/>
  <c r="AV46" i="20"/>
  <c r="L43" i="17" s="1"/>
  <c r="AW46" i="20"/>
  <c r="M43" i="17" s="1"/>
  <c r="AY46" i="20"/>
  <c r="N43" i="17" s="1"/>
  <c r="AZ46" i="20"/>
  <c r="O43" i="17" s="1"/>
  <c r="BA46" i="20"/>
  <c r="P43" i="17" s="1"/>
  <c r="U47" i="20"/>
  <c r="E39" i="18" s="1"/>
  <c r="V47" i="20"/>
  <c r="W47" i="20"/>
  <c r="G39" i="18" s="1"/>
  <c r="Y47" i="20"/>
  <c r="H39" i="18" s="1"/>
  <c r="Z47" i="20"/>
  <c r="AA47" i="20"/>
  <c r="J39" i="18" s="1"/>
  <c r="AC47" i="20"/>
  <c r="K39" i="18" s="1"/>
  <c r="AD47" i="20"/>
  <c r="L39" i="18" s="1"/>
  <c r="AE47" i="20"/>
  <c r="M39" i="18" s="1"/>
  <c r="AG47" i="20"/>
  <c r="N39" i="18" s="1"/>
  <c r="AH47" i="20"/>
  <c r="O39" i="18" s="1"/>
  <c r="AI47" i="20"/>
  <c r="P39" i="18" s="1"/>
  <c r="AM47" i="20"/>
  <c r="E41" i="17" s="1"/>
  <c r="AN47" i="20"/>
  <c r="F41" i="17" s="1"/>
  <c r="AO47" i="20"/>
  <c r="G41" i="17" s="1"/>
  <c r="AQ47" i="20"/>
  <c r="H41" i="17" s="1"/>
  <c r="AR47" i="20"/>
  <c r="I41" i="17" s="1"/>
  <c r="AS47" i="20"/>
  <c r="J41" i="17" s="1"/>
  <c r="AU47" i="20"/>
  <c r="K41" i="17" s="1"/>
  <c r="AV47" i="20"/>
  <c r="L41" i="17" s="1"/>
  <c r="AW47" i="20"/>
  <c r="M41" i="17" s="1"/>
  <c r="AY47" i="20"/>
  <c r="N41" i="17" s="1"/>
  <c r="AZ47" i="20"/>
  <c r="O41" i="17" s="1"/>
  <c r="BA47" i="20"/>
  <c r="P41" i="17" s="1"/>
  <c r="U48" i="20"/>
  <c r="V48" i="20"/>
  <c r="W48" i="20"/>
  <c r="E48" i="20" s="1"/>
  <c r="Y48" i="20"/>
  <c r="Z48" i="20"/>
  <c r="H48" i="20" s="1"/>
  <c r="AA48" i="20"/>
  <c r="I48" i="20" s="1"/>
  <c r="AC48" i="20"/>
  <c r="AD48" i="20"/>
  <c r="L48" i="20" s="1"/>
  <c r="AE48" i="20"/>
  <c r="M48" i="20" s="1"/>
  <c r="AG48" i="20"/>
  <c r="AH48" i="20"/>
  <c r="P48" i="20" s="1"/>
  <c r="AI48" i="20"/>
  <c r="Q48" i="20" s="1"/>
  <c r="U49" i="20"/>
  <c r="V49" i="20"/>
  <c r="W49" i="20"/>
  <c r="Y49" i="20"/>
  <c r="Z49" i="20"/>
  <c r="AA49" i="20"/>
  <c r="AC49" i="20"/>
  <c r="AD49" i="20"/>
  <c r="AE49" i="20"/>
  <c r="AG49" i="20"/>
  <c r="AH49" i="20"/>
  <c r="AI49" i="20"/>
  <c r="AM49" i="20"/>
  <c r="AN49" i="20"/>
  <c r="AO49" i="20"/>
  <c r="AQ49" i="20"/>
  <c r="AR49" i="20"/>
  <c r="AS49" i="20"/>
  <c r="AU49" i="20"/>
  <c r="AV49" i="20"/>
  <c r="AW49" i="20"/>
  <c r="AY49" i="20"/>
  <c r="AZ49" i="20"/>
  <c r="BA49" i="20"/>
  <c r="C50" i="20"/>
  <c r="D50" i="20"/>
  <c r="E50" i="20"/>
  <c r="G50" i="20"/>
  <c r="H50" i="20"/>
  <c r="I50" i="20"/>
  <c r="K50" i="20"/>
  <c r="L50" i="20"/>
  <c r="M50" i="20"/>
  <c r="O50" i="20"/>
  <c r="P50" i="20"/>
  <c r="Q50" i="20"/>
  <c r="X50" i="20"/>
  <c r="AP50" i="20" s="1"/>
  <c r="AB50" i="20"/>
  <c r="AT50" i="20" s="1"/>
  <c r="AF50" i="20"/>
  <c r="AX50" i="20" s="1"/>
  <c r="AJ50" i="20"/>
  <c r="BB50" i="20" s="1"/>
  <c r="U51" i="20"/>
  <c r="E43" i="18" s="1"/>
  <c r="E49" i="18" s="1"/>
  <c r="V51" i="20"/>
  <c r="F43" i="18" s="1"/>
  <c r="F49" i="18" s="1"/>
  <c r="W51" i="20"/>
  <c r="G43" i="18" s="1"/>
  <c r="G49" i="18" s="1"/>
  <c r="Y51" i="20"/>
  <c r="Z51" i="20"/>
  <c r="I43" i="18" s="1"/>
  <c r="I49" i="18" s="1"/>
  <c r="AA51" i="20"/>
  <c r="J43" i="18" s="1"/>
  <c r="J49" i="18" s="1"/>
  <c r="AC51" i="20"/>
  <c r="K43" i="18" s="1"/>
  <c r="K49" i="18" s="1"/>
  <c r="AD51" i="20"/>
  <c r="L43" i="18" s="1"/>
  <c r="L49" i="18" s="1"/>
  <c r="AE51" i="20"/>
  <c r="M43" i="18" s="1"/>
  <c r="M49" i="18" s="1"/>
  <c r="AG51" i="20"/>
  <c r="N43" i="18" s="1"/>
  <c r="N49" i="18" s="1"/>
  <c r="AH51" i="20"/>
  <c r="O43" i="18" s="1"/>
  <c r="O49" i="18" s="1"/>
  <c r="AI51" i="20"/>
  <c r="P43" i="18" s="1"/>
  <c r="P49" i="18" s="1"/>
  <c r="AM51" i="20"/>
  <c r="E45" i="17" s="1"/>
  <c r="AN51" i="20"/>
  <c r="AO51" i="20"/>
  <c r="G45" i="17" s="1"/>
  <c r="AQ51" i="20"/>
  <c r="H45" i="17" s="1"/>
  <c r="AR51" i="20"/>
  <c r="AS51" i="20"/>
  <c r="J45" i="17" s="1"/>
  <c r="AU51" i="20"/>
  <c r="K45" i="17" s="1"/>
  <c r="AV51" i="20"/>
  <c r="AW51" i="20"/>
  <c r="M45" i="17" s="1"/>
  <c r="AY51" i="20"/>
  <c r="N45" i="17" s="1"/>
  <c r="AZ51" i="20"/>
  <c r="BA51" i="20"/>
  <c r="P45" i="17" s="1"/>
  <c r="U63" i="20"/>
  <c r="E24" i="18" s="1"/>
  <c r="V63" i="20"/>
  <c r="F24" i="18" s="1"/>
  <c r="W63" i="20"/>
  <c r="G24" i="18" s="1"/>
  <c r="Y63" i="20"/>
  <c r="H24" i="18" s="1"/>
  <c r="Z63" i="20"/>
  <c r="I24" i="18" s="1"/>
  <c r="AA63" i="20"/>
  <c r="J24" i="18" s="1"/>
  <c r="AC63" i="20"/>
  <c r="K24" i="18" s="1"/>
  <c r="AD63" i="20"/>
  <c r="L24" i="18" s="1"/>
  <c r="AE63" i="20"/>
  <c r="M24" i="18" s="1"/>
  <c r="AG63" i="20"/>
  <c r="N24" i="18" s="1"/>
  <c r="AH63" i="20"/>
  <c r="AI63" i="20"/>
  <c r="AM63" i="20"/>
  <c r="AN63" i="20"/>
  <c r="AO63" i="20"/>
  <c r="AQ63" i="20"/>
  <c r="AR63" i="20"/>
  <c r="AS63" i="20"/>
  <c r="AU63" i="20"/>
  <c r="AV63" i="20"/>
  <c r="AW63" i="20"/>
  <c r="AY63" i="20"/>
  <c r="AZ63" i="20"/>
  <c r="BA63" i="20"/>
  <c r="U64" i="20"/>
  <c r="E25" i="18" s="1"/>
  <c r="V64" i="20"/>
  <c r="W64" i="20"/>
  <c r="G25" i="18" s="1"/>
  <c r="Y64" i="20"/>
  <c r="H25" i="18" s="1"/>
  <c r="Z64" i="20"/>
  <c r="AA64" i="20"/>
  <c r="J25" i="18" s="1"/>
  <c r="AC64" i="20"/>
  <c r="K25" i="18" s="1"/>
  <c r="AD64" i="20"/>
  <c r="L25" i="18" s="1"/>
  <c r="AE64" i="20"/>
  <c r="M25" i="18" s="1"/>
  <c r="AG64" i="20"/>
  <c r="N25" i="18" s="1"/>
  <c r="AH64" i="20"/>
  <c r="AI64" i="20"/>
  <c r="P25" i="18" s="1"/>
  <c r="AM64" i="20"/>
  <c r="E25" i="17" s="1"/>
  <c r="AN64" i="20"/>
  <c r="AO64" i="20"/>
  <c r="AQ64" i="20"/>
  <c r="I25" i="17" s="1"/>
  <c r="AR64" i="20"/>
  <c r="J25" i="17" s="1"/>
  <c r="AS64" i="20"/>
  <c r="K25" i="17" s="1"/>
  <c r="AU64" i="20"/>
  <c r="M25" i="17" s="1"/>
  <c r="AV64" i="20"/>
  <c r="N25" i="17" s="1"/>
  <c r="AW64" i="20"/>
  <c r="O25" i="17" s="1"/>
  <c r="AY64" i="20"/>
  <c r="AZ64" i="20"/>
  <c r="BA64" i="20"/>
  <c r="U65" i="20"/>
  <c r="E26" i="18" s="1"/>
  <c r="V65" i="20"/>
  <c r="F26" i="18" s="1"/>
  <c r="W65" i="20"/>
  <c r="G26" i="18" s="1"/>
  <c r="Y65" i="20"/>
  <c r="H26" i="18" s="1"/>
  <c r="Z65" i="20"/>
  <c r="I26" i="18" s="1"/>
  <c r="AA65" i="20"/>
  <c r="J26" i="18" s="1"/>
  <c r="AC65" i="20"/>
  <c r="K26" i="18" s="1"/>
  <c r="AD65" i="20"/>
  <c r="AE65" i="20"/>
  <c r="M26" i="18" s="1"/>
  <c r="AG65" i="20"/>
  <c r="N26" i="18" s="1"/>
  <c r="AH65" i="20"/>
  <c r="AI65" i="20"/>
  <c r="P26" i="18" s="1"/>
  <c r="AM65" i="20"/>
  <c r="AN65" i="20"/>
  <c r="AO65" i="20"/>
  <c r="AQ65" i="20"/>
  <c r="AR65" i="20"/>
  <c r="AS65" i="20"/>
  <c r="AU65" i="20"/>
  <c r="AV65" i="20"/>
  <c r="AW65" i="20"/>
  <c r="AY65" i="20"/>
  <c r="AZ65" i="20"/>
  <c r="BA65" i="20"/>
  <c r="U66" i="20"/>
  <c r="E30" i="18" s="1"/>
  <c r="V66" i="20"/>
  <c r="F30" i="18" s="1"/>
  <c r="F34" i="18" s="1"/>
  <c r="W66" i="20"/>
  <c r="G30" i="18" s="1"/>
  <c r="G34" i="18" s="1"/>
  <c r="Y66" i="20"/>
  <c r="H30" i="18" s="1"/>
  <c r="H34" i="18" s="1"/>
  <c r="Z66" i="20"/>
  <c r="I30" i="18" s="1"/>
  <c r="I34" i="18" s="1"/>
  <c r="AA66" i="20"/>
  <c r="J30" i="18" s="1"/>
  <c r="J34" i="18" s="1"/>
  <c r="AC66" i="20"/>
  <c r="K30" i="18" s="1"/>
  <c r="K34" i="18" s="1"/>
  <c r="AD66" i="20"/>
  <c r="L30" i="18" s="1"/>
  <c r="L34" i="18" s="1"/>
  <c r="AE66" i="20"/>
  <c r="M30" i="18" s="1"/>
  <c r="M34" i="18" s="1"/>
  <c r="AG66" i="20"/>
  <c r="N30" i="18" s="1" a="1"/>
  <c r="AH66" i="20"/>
  <c r="AI66" i="20"/>
  <c r="P30" i="18" s="1" a="1"/>
  <c r="P30" i="18" s="1"/>
  <c r="AM66" i="20"/>
  <c r="E30" i="17" s="1"/>
  <c r="AN66" i="20"/>
  <c r="F30" i="17" s="1"/>
  <c r="AO66" i="20"/>
  <c r="G30" i="17" s="1"/>
  <c r="AQ66" i="20"/>
  <c r="H30" i="17" s="1"/>
  <c r="AR66" i="20"/>
  <c r="I30" i="17" s="1"/>
  <c r="AS66" i="20"/>
  <c r="J30" i="17" s="1"/>
  <c r="AU66" i="20"/>
  <c r="K30" i="17" s="1"/>
  <c r="AV66" i="20"/>
  <c r="AW66" i="20"/>
  <c r="M30" i="17" s="1"/>
  <c r="AY66" i="20"/>
  <c r="N30" i="17" s="1"/>
  <c r="AZ66" i="20"/>
  <c r="O30" i="17" s="1"/>
  <c r="BA66" i="20"/>
  <c r="P30" i="17" s="1"/>
  <c r="U78" i="20"/>
  <c r="E141" i="18" s="1"/>
  <c r="V78" i="20"/>
  <c r="W78" i="20"/>
  <c r="G141" i="18" s="1"/>
  <c r="Y78" i="20"/>
  <c r="H141" i="18" s="1"/>
  <c r="Z78" i="20"/>
  <c r="I141" i="18" s="1"/>
  <c r="AA78" i="20"/>
  <c r="AC78" i="20"/>
  <c r="K141" i="18" s="1"/>
  <c r="AD78" i="20"/>
  <c r="L141" i="18" s="1"/>
  <c r="AE78" i="20"/>
  <c r="M141" i="18" s="1"/>
  <c r="AG78" i="20"/>
  <c r="N141" i="18" s="1"/>
  <c r="AH78" i="20"/>
  <c r="O141" i="18" s="1"/>
  <c r="AI78" i="20"/>
  <c r="P141" i="18" s="1"/>
  <c r="AM78" i="20"/>
  <c r="AN78" i="20"/>
  <c r="F159" i="17" s="1"/>
  <c r="F160" i="17" s="1"/>
  <c r="AO78" i="20"/>
  <c r="G159" i="17" s="1"/>
  <c r="G160" i="17" s="1"/>
  <c r="AQ78" i="20"/>
  <c r="AR78" i="20"/>
  <c r="I159" i="17" s="1"/>
  <c r="I160" i="17" s="1"/>
  <c r="AS78" i="20"/>
  <c r="AU78" i="20"/>
  <c r="AV78" i="20"/>
  <c r="L159" i="17" s="1"/>
  <c r="L160" i="17" s="1"/>
  <c r="AW78" i="20"/>
  <c r="AY78" i="20"/>
  <c r="N159" i="17" s="1"/>
  <c r="N160" i="17" s="1"/>
  <c r="AZ78" i="20"/>
  <c r="O159" i="17" s="1"/>
  <c r="O160" i="17" s="1"/>
  <c r="BA78" i="20"/>
  <c r="U79" i="20"/>
  <c r="E142" i="18" s="1"/>
  <c r="V79" i="20"/>
  <c r="W79" i="20"/>
  <c r="G142" i="18" s="1"/>
  <c r="Y79" i="20"/>
  <c r="H142" i="18" s="1"/>
  <c r="Z79" i="20"/>
  <c r="I142" i="18" s="1"/>
  <c r="AA79" i="20"/>
  <c r="J142" i="18" s="1"/>
  <c r="AC79" i="20"/>
  <c r="K142" i="18" s="1"/>
  <c r="AD79" i="20"/>
  <c r="L142" i="18" s="1"/>
  <c r="AE79" i="20"/>
  <c r="M142" i="18" s="1"/>
  <c r="AG79" i="20"/>
  <c r="N142" i="18" s="1"/>
  <c r="AH79" i="20"/>
  <c r="O142" i="18" s="1"/>
  <c r="AI79" i="20"/>
  <c r="AM79" i="20"/>
  <c r="AN79" i="20"/>
  <c r="AO79" i="20"/>
  <c r="AQ79" i="20"/>
  <c r="AR79" i="20"/>
  <c r="AS79" i="20"/>
  <c r="AU79" i="20"/>
  <c r="AV79" i="20"/>
  <c r="AW79" i="20"/>
  <c r="AY79" i="20"/>
  <c r="AZ79" i="20"/>
  <c r="BA79" i="20"/>
  <c r="X80" i="20"/>
  <c r="AP80" i="20" s="1"/>
  <c r="AB80" i="20"/>
  <c r="AT80" i="20" s="1"/>
  <c r="AF80" i="20"/>
  <c r="AJ80" i="20"/>
  <c r="BB80" i="20" s="1"/>
  <c r="AM80" i="20"/>
  <c r="C80" i="20" s="1"/>
  <c r="AN80" i="20"/>
  <c r="D80" i="20" s="1"/>
  <c r="AO80" i="20"/>
  <c r="E80" i="20" s="1"/>
  <c r="AQ80" i="20"/>
  <c r="G80" i="20" s="1"/>
  <c r="AR80" i="20"/>
  <c r="H80" i="20" s="1"/>
  <c r="AS80" i="20"/>
  <c r="I80" i="20" s="1"/>
  <c r="AU80" i="20"/>
  <c r="K80" i="20" s="1"/>
  <c r="AV80" i="20"/>
  <c r="L80" i="20" s="1"/>
  <c r="AW80" i="20"/>
  <c r="M80" i="20" s="1"/>
  <c r="AY80" i="20"/>
  <c r="O80" i="20" s="1"/>
  <c r="AZ80" i="20"/>
  <c r="P80" i="20" s="1"/>
  <c r="BA80" i="20"/>
  <c r="Q80" i="20" s="1"/>
  <c r="U81" i="20"/>
  <c r="V81" i="20"/>
  <c r="W81" i="20"/>
  <c r="Y81" i="20"/>
  <c r="Z81" i="20"/>
  <c r="AA81" i="20"/>
  <c r="AC81" i="20"/>
  <c r="AD81" i="20"/>
  <c r="AE81" i="20"/>
  <c r="AG81" i="20"/>
  <c r="AH81" i="20"/>
  <c r="AI81" i="20"/>
  <c r="AM81" i="20"/>
  <c r="AN81" i="20"/>
  <c r="AO81" i="20"/>
  <c r="AQ81" i="20"/>
  <c r="AR81" i="20"/>
  <c r="AS81" i="20"/>
  <c r="AU81" i="20"/>
  <c r="AV81" i="20"/>
  <c r="AW81" i="20"/>
  <c r="AY81" i="20"/>
  <c r="AZ81" i="20"/>
  <c r="BA81" i="20"/>
  <c r="F96" i="20"/>
  <c r="X96" i="20"/>
  <c r="X98" i="20"/>
  <c r="AB98" i="20"/>
  <c r="AT98" i="20" s="1"/>
  <c r="AF98" i="20"/>
  <c r="AX98" i="20" s="1"/>
  <c r="AJ98" i="20"/>
  <c r="BB98" i="20" s="1"/>
  <c r="AM98" i="20"/>
  <c r="C98" i="20" s="1"/>
  <c r="AN98" i="20"/>
  <c r="D98" i="20" s="1"/>
  <c r="AO98" i="20"/>
  <c r="E98" i="20" s="1"/>
  <c r="AQ98" i="20"/>
  <c r="G98" i="20" s="1"/>
  <c r="AR98" i="20"/>
  <c r="H98" i="20" s="1"/>
  <c r="AS98" i="20"/>
  <c r="I98" i="20" s="1"/>
  <c r="AU98" i="20"/>
  <c r="K98" i="20" s="1"/>
  <c r="AV98" i="20"/>
  <c r="L98" i="20" s="1"/>
  <c r="AW98" i="20"/>
  <c r="M98" i="20" s="1"/>
  <c r="AY98" i="20"/>
  <c r="O98" i="20" s="1"/>
  <c r="AZ98" i="20"/>
  <c r="P98" i="20" s="1"/>
  <c r="BA98" i="20"/>
  <c r="Q98" i="20" s="1"/>
  <c r="U99" i="20"/>
  <c r="V99" i="20"/>
  <c r="W99" i="20"/>
  <c r="Y99" i="20"/>
  <c r="Z99" i="20"/>
  <c r="AA99" i="20"/>
  <c r="AC99" i="20"/>
  <c r="AD99" i="20"/>
  <c r="AE99" i="20"/>
  <c r="AG99" i="20"/>
  <c r="AH99" i="20"/>
  <c r="AI99" i="20"/>
  <c r="U100" i="20"/>
  <c r="V100" i="20"/>
  <c r="AN100" i="20" s="1"/>
  <c r="D100" i="20" s="1"/>
  <c r="W100" i="20"/>
  <c r="Y100" i="20"/>
  <c r="Z100" i="20"/>
  <c r="AR100" i="20" s="1"/>
  <c r="H100" i="20" s="1"/>
  <c r="AA100" i="20"/>
  <c r="AC100" i="20"/>
  <c r="AD100" i="20"/>
  <c r="AV100" i="20" s="1"/>
  <c r="L100" i="20" s="1"/>
  <c r="AE100" i="20"/>
  <c r="AG100" i="20"/>
  <c r="AH100" i="20"/>
  <c r="AZ100" i="20" s="1"/>
  <c r="P100" i="20" s="1"/>
  <c r="AI100" i="20"/>
  <c r="U101" i="20"/>
  <c r="V101" i="20"/>
  <c r="W101" i="20"/>
  <c r="AO101" i="20" s="1"/>
  <c r="E101" i="20" s="1"/>
  <c r="Y101" i="20"/>
  <c r="AQ101" i="20" s="1"/>
  <c r="Z101" i="20"/>
  <c r="AA101" i="20"/>
  <c r="AS101" i="20" s="1"/>
  <c r="I101" i="20" s="1"/>
  <c r="AC101" i="20"/>
  <c r="AU101" i="20" s="1"/>
  <c r="K101" i="20" s="1"/>
  <c r="AD101" i="20"/>
  <c r="AE101" i="20"/>
  <c r="AW101" i="20" s="1"/>
  <c r="M101" i="20" s="1"/>
  <c r="AG101" i="20"/>
  <c r="AY101" i="20" s="1"/>
  <c r="AH101" i="20"/>
  <c r="AI101" i="20"/>
  <c r="BA101" i="20" s="1"/>
  <c r="Q101" i="20" s="1"/>
  <c r="U102" i="20"/>
  <c r="V102" i="20"/>
  <c r="AN102" i="20" s="1"/>
  <c r="D102" i="20" s="1"/>
  <c r="W102" i="20"/>
  <c r="Y102" i="20"/>
  <c r="Z102" i="20"/>
  <c r="AA102" i="20"/>
  <c r="AC102" i="20"/>
  <c r="AD102" i="20"/>
  <c r="AV102" i="20" s="1"/>
  <c r="AE102" i="20"/>
  <c r="AG102" i="20"/>
  <c r="AH102" i="20"/>
  <c r="AI102" i="20"/>
  <c r="U103" i="20"/>
  <c r="AM103" i="20" s="1"/>
  <c r="C103" i="20" s="1"/>
  <c r="V103" i="20"/>
  <c r="W103" i="20"/>
  <c r="Y103" i="20"/>
  <c r="AQ103" i="20" s="1"/>
  <c r="G103" i="20" s="1"/>
  <c r="Z103" i="20"/>
  <c r="AA103" i="20"/>
  <c r="AS103" i="20" s="1"/>
  <c r="AC103" i="20"/>
  <c r="AU103" i="20" s="1"/>
  <c r="K103" i="20" s="1"/>
  <c r="AD103" i="20"/>
  <c r="AE103" i="20"/>
  <c r="AW103" i="20" s="1"/>
  <c r="AG103" i="20"/>
  <c r="AY103" i="20" s="1"/>
  <c r="O103" i="20" s="1"/>
  <c r="AH103" i="20"/>
  <c r="AI103" i="20"/>
  <c r="BA103" i="20" s="1"/>
  <c r="U104" i="20"/>
  <c r="U28" i="20" s="1"/>
  <c r="E114" i="18" s="1"/>
  <c r="V104" i="20"/>
  <c r="V28" i="20" s="1"/>
  <c r="F114" i="18" s="1"/>
  <c r="W104" i="20"/>
  <c r="Y104" i="20"/>
  <c r="Y28" i="20" s="1"/>
  <c r="H114" i="18" s="1"/>
  <c r="Z104" i="20"/>
  <c r="Z28" i="20" s="1"/>
  <c r="I114" i="18" s="1"/>
  <c r="I124" i="10" s="1"/>
  <c r="AA104" i="20"/>
  <c r="AC104" i="20"/>
  <c r="AC28" i="20" s="1"/>
  <c r="K114" i="18" s="1"/>
  <c r="K118" i="10" s="1"/>
  <c r="AD104" i="20"/>
  <c r="AD28" i="20" s="1"/>
  <c r="L114" i="18" s="1"/>
  <c r="L118" i="10" s="1"/>
  <c r="AE104" i="20"/>
  <c r="AG104" i="20"/>
  <c r="AG28" i="20" s="1"/>
  <c r="N114" i="18" s="1"/>
  <c r="N118" i="10" s="1"/>
  <c r="AH104" i="20"/>
  <c r="AH28" i="20" s="1"/>
  <c r="O114" i="18" s="1"/>
  <c r="O118" i="10" s="1"/>
  <c r="AI104" i="20"/>
  <c r="C109" i="20"/>
  <c r="D109" i="20"/>
  <c r="E109" i="20"/>
  <c r="F109" i="20"/>
  <c r="G109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U109" i="20"/>
  <c r="V109" i="20"/>
  <c r="W109" i="20"/>
  <c r="X109" i="20"/>
  <c r="Y109" i="20"/>
  <c r="Z109" i="20"/>
  <c r="AA109" i="20"/>
  <c r="AB109" i="20"/>
  <c r="AC109" i="20"/>
  <c r="AD109" i="20"/>
  <c r="AE109" i="20"/>
  <c r="AF109" i="20"/>
  <c r="AG109" i="20"/>
  <c r="AH109" i="20"/>
  <c r="AI109" i="20"/>
  <c r="AJ109" i="20"/>
  <c r="AK109" i="20"/>
  <c r="AM109" i="20"/>
  <c r="AN109" i="20"/>
  <c r="AO109" i="20"/>
  <c r="AP109" i="20"/>
  <c r="AQ109" i="20"/>
  <c r="AR109" i="20"/>
  <c r="AS109" i="20"/>
  <c r="AT109" i="20"/>
  <c r="AU109" i="20"/>
  <c r="AV109" i="20"/>
  <c r="AW109" i="20"/>
  <c r="AX109" i="20"/>
  <c r="AY109" i="20"/>
  <c r="AZ109" i="20"/>
  <c r="BA109" i="20"/>
  <c r="BB109" i="20"/>
  <c r="BC109" i="20"/>
  <c r="C110" i="20"/>
  <c r="D110" i="20"/>
  <c r="E110" i="20"/>
  <c r="F110" i="20"/>
  <c r="G110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U110" i="20"/>
  <c r="V110" i="20"/>
  <c r="W110" i="20"/>
  <c r="X110" i="20"/>
  <c r="Y110" i="20"/>
  <c r="Z110" i="20"/>
  <c r="AA110" i="20"/>
  <c r="AB110" i="20"/>
  <c r="AC110" i="20"/>
  <c r="AD110" i="20"/>
  <c r="AE110" i="20"/>
  <c r="AF110" i="20"/>
  <c r="AG110" i="20"/>
  <c r="AH110" i="20"/>
  <c r="AI110" i="20"/>
  <c r="AJ110" i="20"/>
  <c r="AK110" i="20"/>
  <c r="AM110" i="20"/>
  <c r="AN110" i="20"/>
  <c r="AO110" i="20"/>
  <c r="AP110" i="20"/>
  <c r="AQ110" i="20"/>
  <c r="AR110" i="20"/>
  <c r="AS110" i="20"/>
  <c r="AT110" i="20"/>
  <c r="AU110" i="20"/>
  <c r="AV110" i="20"/>
  <c r="AW110" i="20"/>
  <c r="AX110" i="20"/>
  <c r="AY110" i="20"/>
  <c r="AZ110" i="20"/>
  <c r="BA110" i="20"/>
  <c r="BB110" i="20"/>
  <c r="BC110" i="20"/>
  <c r="C111" i="20"/>
  <c r="D111" i="20"/>
  <c r="E111" i="20"/>
  <c r="F111" i="20"/>
  <c r="G111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U111" i="20"/>
  <c r="V111" i="20"/>
  <c r="W111" i="20"/>
  <c r="X111" i="20"/>
  <c r="Y111" i="20"/>
  <c r="Z111" i="20"/>
  <c r="AA111" i="20"/>
  <c r="AB111" i="20"/>
  <c r="AC111" i="20"/>
  <c r="AD111" i="20"/>
  <c r="AE111" i="20"/>
  <c r="AF111" i="20"/>
  <c r="AG111" i="20"/>
  <c r="AH111" i="20"/>
  <c r="AI111" i="20"/>
  <c r="AJ111" i="20"/>
  <c r="AK111" i="20"/>
  <c r="AM111" i="20"/>
  <c r="AN111" i="20"/>
  <c r="AO111" i="20"/>
  <c r="AP111" i="20"/>
  <c r="AQ111" i="20"/>
  <c r="AR111" i="20"/>
  <c r="AS111" i="20"/>
  <c r="AT111" i="20"/>
  <c r="AU111" i="20"/>
  <c r="AV111" i="20"/>
  <c r="AW111" i="20"/>
  <c r="AX111" i="20"/>
  <c r="AY111" i="20"/>
  <c r="AZ111" i="20"/>
  <c r="BA111" i="20"/>
  <c r="BB111" i="20"/>
  <c r="BC111" i="20"/>
  <c r="C112" i="20"/>
  <c r="D112" i="20"/>
  <c r="E112" i="20"/>
  <c r="F112" i="20"/>
  <c r="G112" i="20"/>
  <c r="H112" i="20"/>
  <c r="I112" i="20"/>
  <c r="J112" i="20"/>
  <c r="K112" i="20"/>
  <c r="L112" i="20"/>
  <c r="M112" i="20"/>
  <c r="N112" i="20"/>
  <c r="O112" i="20"/>
  <c r="P112" i="20"/>
  <c r="Q112" i="20"/>
  <c r="R112" i="20"/>
  <c r="S112" i="20"/>
  <c r="U112" i="20"/>
  <c r="V112" i="20"/>
  <c r="W112" i="20"/>
  <c r="X112" i="20"/>
  <c r="Y112" i="20"/>
  <c r="Z112" i="20"/>
  <c r="AA112" i="20"/>
  <c r="AB112" i="20"/>
  <c r="AC112" i="20"/>
  <c r="AD112" i="20"/>
  <c r="AE112" i="20"/>
  <c r="AF112" i="20"/>
  <c r="AG112" i="20"/>
  <c r="AH112" i="20"/>
  <c r="AI112" i="20"/>
  <c r="AJ112" i="20"/>
  <c r="AK112" i="20"/>
  <c r="AM112" i="20"/>
  <c r="AN112" i="20"/>
  <c r="AO112" i="20"/>
  <c r="AP112" i="20"/>
  <c r="AQ112" i="20"/>
  <c r="AR112" i="20"/>
  <c r="AS112" i="20"/>
  <c r="AT112" i="20"/>
  <c r="AU112" i="20"/>
  <c r="AV112" i="20"/>
  <c r="AW112" i="20"/>
  <c r="AX112" i="20"/>
  <c r="AY112" i="20"/>
  <c r="AZ112" i="20"/>
  <c r="BA112" i="20"/>
  <c r="BB112" i="20"/>
  <c r="BC112" i="20"/>
  <c r="C113" i="20"/>
  <c r="D113" i="20"/>
  <c r="E113" i="20"/>
  <c r="F113" i="20"/>
  <c r="G113" i="20"/>
  <c r="H113" i="20"/>
  <c r="I113" i="20"/>
  <c r="J113" i="20"/>
  <c r="K113" i="20"/>
  <c r="L113" i="20"/>
  <c r="M113" i="20"/>
  <c r="N113" i="20"/>
  <c r="O113" i="20"/>
  <c r="P113" i="20"/>
  <c r="Q113" i="20"/>
  <c r="R113" i="20"/>
  <c r="S113" i="20"/>
  <c r="U113" i="20"/>
  <c r="V113" i="20"/>
  <c r="W113" i="20"/>
  <c r="X113" i="20"/>
  <c r="Y113" i="20"/>
  <c r="Z113" i="20"/>
  <c r="AA113" i="20"/>
  <c r="AB113" i="20"/>
  <c r="AC113" i="20"/>
  <c r="AD113" i="20"/>
  <c r="AE113" i="20"/>
  <c r="AF113" i="20"/>
  <c r="AG113" i="20"/>
  <c r="AH113" i="20"/>
  <c r="AI113" i="20"/>
  <c r="AJ113" i="20"/>
  <c r="AK113" i="20"/>
  <c r="AM113" i="20"/>
  <c r="AN113" i="20"/>
  <c r="AO113" i="20"/>
  <c r="AP113" i="20"/>
  <c r="AQ113" i="20"/>
  <c r="AR113" i="20"/>
  <c r="AS113" i="20"/>
  <c r="AT113" i="20"/>
  <c r="AU113" i="20"/>
  <c r="AV113" i="20"/>
  <c r="AW113" i="20"/>
  <c r="AX113" i="20"/>
  <c r="AY113" i="20"/>
  <c r="AZ113" i="20"/>
  <c r="BA113" i="20"/>
  <c r="BB113" i="20"/>
  <c r="BC113" i="20"/>
  <c r="C114" i="20"/>
  <c r="D114" i="20"/>
  <c r="E114" i="20"/>
  <c r="F114" i="20"/>
  <c r="G114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U114" i="20"/>
  <c r="V114" i="20"/>
  <c r="W114" i="20"/>
  <c r="X114" i="20"/>
  <c r="Y114" i="20"/>
  <c r="Z114" i="20"/>
  <c r="AA114" i="20"/>
  <c r="AB114" i="20"/>
  <c r="AC114" i="20"/>
  <c r="AD114" i="20"/>
  <c r="AE114" i="20"/>
  <c r="AF114" i="20"/>
  <c r="AG114" i="20"/>
  <c r="AH114" i="20"/>
  <c r="AI114" i="20"/>
  <c r="AJ114" i="20"/>
  <c r="AK114" i="20"/>
  <c r="AM114" i="20"/>
  <c r="AN114" i="20"/>
  <c r="AO114" i="20"/>
  <c r="AP114" i="20"/>
  <c r="AQ114" i="20"/>
  <c r="AR114" i="20"/>
  <c r="AS114" i="20"/>
  <c r="AT114" i="20"/>
  <c r="AU114" i="20"/>
  <c r="AV114" i="20"/>
  <c r="AW114" i="20"/>
  <c r="AX114" i="20"/>
  <c r="AY114" i="20"/>
  <c r="AZ114" i="20"/>
  <c r="BA114" i="20"/>
  <c r="BB114" i="20"/>
  <c r="BC114" i="20"/>
  <c r="C116" i="20"/>
  <c r="D116" i="20"/>
  <c r="E116" i="20"/>
  <c r="F116" i="20"/>
  <c r="G116" i="20"/>
  <c r="H116" i="20"/>
  <c r="I116" i="20"/>
  <c r="J116" i="20"/>
  <c r="K116" i="20"/>
  <c r="L116" i="20"/>
  <c r="M116" i="20"/>
  <c r="N116" i="20"/>
  <c r="O116" i="20"/>
  <c r="P116" i="20"/>
  <c r="Q116" i="20"/>
  <c r="R116" i="20"/>
  <c r="S116" i="20"/>
  <c r="U116" i="20"/>
  <c r="V116" i="20"/>
  <c r="W116" i="20"/>
  <c r="X116" i="20"/>
  <c r="Y116" i="20"/>
  <c r="Z116" i="20"/>
  <c r="AA116" i="20"/>
  <c r="AB116" i="20"/>
  <c r="AC116" i="20"/>
  <c r="AD116" i="20"/>
  <c r="AE116" i="20"/>
  <c r="AF116" i="20"/>
  <c r="AG116" i="20"/>
  <c r="AH116" i="20"/>
  <c r="AI116" i="20"/>
  <c r="AJ116" i="20"/>
  <c r="AK116" i="20"/>
  <c r="AM116" i="20"/>
  <c r="AN116" i="20"/>
  <c r="AO116" i="20"/>
  <c r="AP116" i="20"/>
  <c r="AQ116" i="20"/>
  <c r="AR116" i="20"/>
  <c r="AS116" i="20"/>
  <c r="AT116" i="20"/>
  <c r="AU116" i="20"/>
  <c r="AV116" i="20"/>
  <c r="AW116" i="20"/>
  <c r="AX116" i="20"/>
  <c r="AY116" i="20"/>
  <c r="AZ116" i="20"/>
  <c r="BA116" i="20"/>
  <c r="BB116" i="20"/>
  <c r="BC116" i="20"/>
  <c r="F119" i="20"/>
  <c r="F121" i="20"/>
  <c r="J121" i="20"/>
  <c r="N121" i="20"/>
  <c r="R121" i="20"/>
  <c r="C123" i="20"/>
  <c r="F123" i="20" s="1"/>
  <c r="D123" i="20"/>
  <c r="E123" i="20"/>
  <c r="V124" i="20"/>
  <c r="V128" i="20" s="1"/>
  <c r="C126" i="20"/>
  <c r="D126" i="20"/>
  <c r="E126" i="20"/>
  <c r="G126" i="20"/>
  <c r="H126" i="20"/>
  <c r="I126" i="20"/>
  <c r="K126" i="20"/>
  <c r="L126" i="20"/>
  <c r="M126" i="20"/>
  <c r="O126" i="20"/>
  <c r="P126" i="20"/>
  <c r="Q126" i="20"/>
  <c r="V126" i="20"/>
  <c r="F130" i="20"/>
  <c r="J130" i="20"/>
  <c r="N130" i="20"/>
  <c r="R130" i="20"/>
  <c r="C132" i="20"/>
  <c r="F132" i="20" s="1"/>
  <c r="S132" i="20" s="1"/>
  <c r="F137" i="20"/>
  <c r="J137" i="20"/>
  <c r="N137" i="20"/>
  <c r="R137" i="20"/>
  <c r="C140" i="20"/>
  <c r="D140" i="20"/>
  <c r="E140" i="20"/>
  <c r="G140" i="20"/>
  <c r="H140" i="20"/>
  <c r="I140" i="20"/>
  <c r="K140" i="20"/>
  <c r="L140" i="20"/>
  <c r="M140" i="20"/>
  <c r="O140" i="20"/>
  <c r="P140" i="20"/>
  <c r="Q140" i="20"/>
  <c r="V140" i="20"/>
  <c r="F141" i="20"/>
  <c r="J141" i="20"/>
  <c r="N141" i="20"/>
  <c r="R141" i="20"/>
  <c r="F142" i="20"/>
  <c r="J142" i="20"/>
  <c r="N142" i="20"/>
  <c r="R142" i="20"/>
  <c r="V147" i="20"/>
  <c r="V150" i="20" s="1"/>
  <c r="C152" i="20"/>
  <c r="D152" i="20"/>
  <c r="D154" i="20" s="1"/>
  <c r="D144" i="20" s="1"/>
  <c r="D155" i="20" s="1"/>
  <c r="E152" i="20"/>
  <c r="E154" i="20" s="1"/>
  <c r="E144" i="20" s="1"/>
  <c r="E155" i="20" s="1"/>
  <c r="J152" i="20"/>
  <c r="N152" i="20"/>
  <c r="R152" i="20"/>
  <c r="F153" i="20"/>
  <c r="J153" i="20"/>
  <c r="N153" i="20"/>
  <c r="R153" i="20"/>
  <c r="G154" i="20"/>
  <c r="G144" i="20" s="1"/>
  <c r="H154" i="20"/>
  <c r="H144" i="20" s="1"/>
  <c r="H155" i="20" s="1"/>
  <c r="I154" i="20"/>
  <c r="I144" i="20" s="1"/>
  <c r="I155" i="20" s="1"/>
  <c r="K154" i="20"/>
  <c r="K144" i="20" s="1"/>
  <c r="L154" i="20"/>
  <c r="L144" i="20" s="1"/>
  <c r="M154" i="20"/>
  <c r="M144" i="20" s="1"/>
  <c r="M155" i="20" s="1"/>
  <c r="O154" i="20"/>
  <c r="O144" i="20" s="1"/>
  <c r="P154" i="20"/>
  <c r="P144" i="20" s="1"/>
  <c r="P155" i="20" s="1"/>
  <c r="Q154" i="20"/>
  <c r="Q144" i="20" s="1"/>
  <c r="Q155" i="20" s="1"/>
  <c r="V155" i="20"/>
  <c r="V157" i="20"/>
  <c r="C157" i="20" s="1"/>
  <c r="C158" i="20"/>
  <c r="F158" i="20" s="1"/>
  <c r="D158" i="20"/>
  <c r="E158" i="20"/>
  <c r="G158" i="20"/>
  <c r="J158" i="20" s="1"/>
  <c r="H158" i="20"/>
  <c r="I158" i="20"/>
  <c r="K158" i="20"/>
  <c r="N158" i="20" s="1"/>
  <c r="L158" i="20"/>
  <c r="M158" i="20"/>
  <c r="O158" i="20"/>
  <c r="R158" i="20" s="1"/>
  <c r="P158" i="20"/>
  <c r="Q158" i="20"/>
  <c r="F159" i="20"/>
  <c r="J159" i="20"/>
  <c r="N159" i="20"/>
  <c r="R159" i="20"/>
  <c r="F164" i="20"/>
  <c r="X164" i="20"/>
  <c r="U166" i="20"/>
  <c r="V166" i="20"/>
  <c r="W166" i="20"/>
  <c r="Y166" i="20"/>
  <c r="Z166" i="20"/>
  <c r="AA166" i="20"/>
  <c r="AC166" i="20"/>
  <c r="AD166" i="20"/>
  <c r="AE166" i="20"/>
  <c r="AG166" i="20"/>
  <c r="AH166" i="20"/>
  <c r="AI166" i="20"/>
  <c r="AM166" i="20"/>
  <c r="AN166" i="20"/>
  <c r="AO166" i="20"/>
  <c r="AQ166" i="20"/>
  <c r="AR166" i="20"/>
  <c r="AS166" i="20"/>
  <c r="AU166" i="20"/>
  <c r="AV166" i="20"/>
  <c r="AW166" i="20"/>
  <c r="AY166" i="20"/>
  <c r="AZ166" i="20"/>
  <c r="BA166" i="20"/>
  <c r="U167" i="20"/>
  <c r="V167" i="20"/>
  <c r="Y167" i="20"/>
  <c r="Z167" i="20"/>
  <c r="AC167" i="20"/>
  <c r="AD167" i="20"/>
  <c r="AE167" i="20"/>
  <c r="AG167" i="20"/>
  <c r="AH167" i="20"/>
  <c r="AI167" i="20"/>
  <c r="AM167" i="20"/>
  <c r="AN167" i="20"/>
  <c r="AO167" i="20"/>
  <c r="E167" i="20" s="1"/>
  <c r="AQ167" i="20"/>
  <c r="AR167" i="20"/>
  <c r="AS167" i="20"/>
  <c r="I167" i="20" s="1"/>
  <c r="AU167" i="20"/>
  <c r="AV167" i="20"/>
  <c r="AW167" i="20"/>
  <c r="AY167" i="20"/>
  <c r="AZ167" i="20"/>
  <c r="BA167" i="20"/>
  <c r="U168" i="20"/>
  <c r="V168" i="20"/>
  <c r="W168" i="20"/>
  <c r="Y168" i="20"/>
  <c r="Z168" i="20"/>
  <c r="AA168" i="20"/>
  <c r="AC168" i="20"/>
  <c r="AD168" i="20"/>
  <c r="AE168" i="20"/>
  <c r="AG168" i="20"/>
  <c r="AH168" i="20"/>
  <c r="AI168" i="20"/>
  <c r="AM168" i="20"/>
  <c r="AN168" i="20"/>
  <c r="AO168" i="20"/>
  <c r="AQ168" i="20"/>
  <c r="AR168" i="20"/>
  <c r="AS168" i="20"/>
  <c r="AU168" i="20"/>
  <c r="AV168" i="20"/>
  <c r="AW168" i="20"/>
  <c r="AY168" i="20"/>
  <c r="AZ168" i="20"/>
  <c r="BA168" i="20"/>
  <c r="F171" i="20"/>
  <c r="J171" i="20"/>
  <c r="N171" i="20"/>
  <c r="R171" i="20"/>
  <c r="V173" i="20"/>
  <c r="C173" i="20" s="1"/>
  <c r="AL177" i="20"/>
  <c r="AM177" i="20"/>
  <c r="AN177" i="20"/>
  <c r="AO177" i="20"/>
  <c r="AQ177" i="20"/>
  <c r="AR177" i="20"/>
  <c r="AS177" i="20"/>
  <c r="AU177" i="20"/>
  <c r="AV177" i="20"/>
  <c r="AW177" i="20"/>
  <c r="AY177" i="20"/>
  <c r="AZ177" i="20"/>
  <c r="BA177" i="20"/>
  <c r="AM179" i="20"/>
  <c r="AN179" i="20"/>
  <c r="AO179" i="20"/>
  <c r="AP179" i="20"/>
  <c r="AQ179" i="20"/>
  <c r="AR179" i="20"/>
  <c r="AS179" i="20"/>
  <c r="AT179" i="20"/>
  <c r="AU179" i="20"/>
  <c r="AV179" i="20"/>
  <c r="AW179" i="20"/>
  <c r="AX179" i="20"/>
  <c r="AY179" i="20"/>
  <c r="AZ179" i="20"/>
  <c r="BA179" i="20"/>
  <c r="BB179" i="20"/>
  <c r="BC179" i="20"/>
  <c r="BD179" i="20"/>
  <c r="U180" i="20"/>
  <c r="V180" i="20"/>
  <c r="W180" i="20"/>
  <c r="Y180" i="20"/>
  <c r="Z180" i="20"/>
  <c r="AA180" i="20"/>
  <c r="AC180" i="20"/>
  <c r="AD180" i="20"/>
  <c r="AE180" i="20"/>
  <c r="AG180" i="20"/>
  <c r="AH180" i="20"/>
  <c r="AI180" i="20"/>
  <c r="AN180" i="20"/>
  <c r="AO180" i="20" s="1"/>
  <c r="F181" i="20"/>
  <c r="AM183" i="20"/>
  <c r="AM176" i="20" s="1"/>
  <c r="AN183" i="20"/>
  <c r="AO183" i="20"/>
  <c r="AO176" i="20" s="1"/>
  <c r="AP183" i="20"/>
  <c r="AQ183" i="20"/>
  <c r="AR183" i="20"/>
  <c r="AS183" i="20"/>
  <c r="AS176" i="20" s="1"/>
  <c r="AT183" i="20"/>
  <c r="AU183" i="20"/>
  <c r="AU176" i="20" s="1"/>
  <c r="AV183" i="20"/>
  <c r="AW183" i="20"/>
  <c r="AX183" i="20"/>
  <c r="AY183" i="20"/>
  <c r="AY176" i="20" s="1"/>
  <c r="AZ183" i="20"/>
  <c r="AZ176" i="20" s="1"/>
  <c r="BA183" i="20"/>
  <c r="BB183" i="20"/>
  <c r="BC183" i="20"/>
  <c r="AM184" i="20"/>
  <c r="AN184" i="20"/>
  <c r="AO184" i="20"/>
  <c r="AP184" i="20"/>
  <c r="AQ184" i="20"/>
  <c r="AR184" i="20"/>
  <c r="AS184" i="20"/>
  <c r="AT184" i="20"/>
  <c r="AU184" i="20"/>
  <c r="AV184" i="20"/>
  <c r="AW184" i="20"/>
  <c r="AX184" i="20"/>
  <c r="AY184" i="20"/>
  <c r="AZ184" i="20"/>
  <c r="BA184" i="20"/>
  <c r="BB184" i="20"/>
  <c r="BC184" i="20"/>
  <c r="F185" i="20"/>
  <c r="F186" i="20" s="1"/>
  <c r="C186" i="20"/>
  <c r="D186" i="20"/>
  <c r="E186" i="20"/>
  <c r="T186" i="20"/>
  <c r="F188" i="20"/>
  <c r="X188" i="20"/>
  <c r="U190" i="20"/>
  <c r="E138" i="18" s="1"/>
  <c r="E140" i="18" s="1"/>
  <c r="U14" i="18" s="1"/>
  <c r="V190" i="20"/>
  <c r="F138" i="18" s="1"/>
  <c r="F140" i="18" s="1"/>
  <c r="W190" i="20"/>
  <c r="G138" i="18" s="1"/>
  <c r="G140" i="18" s="1"/>
  <c r="W14" i="18" s="1"/>
  <c r="Y190" i="20"/>
  <c r="H138" i="18" s="1"/>
  <c r="H140" i="18" s="1"/>
  <c r="Z190" i="20"/>
  <c r="I138" i="18" s="1"/>
  <c r="I140" i="18" s="1"/>
  <c r="Y14" i="18" s="1"/>
  <c r="AA190" i="20"/>
  <c r="J138" i="18" s="1"/>
  <c r="J140" i="18" s="1"/>
  <c r="Z14" i="18" s="1"/>
  <c r="AC190" i="20"/>
  <c r="K138" i="18" s="1"/>
  <c r="K140" i="18" s="1"/>
  <c r="AA14" i="18" s="1"/>
  <c r="AD190" i="20"/>
  <c r="L138" i="18" s="1"/>
  <c r="L140" i="18" s="1"/>
  <c r="AB14" i="18" s="1"/>
  <c r="AE190" i="20"/>
  <c r="M138" i="18" s="1"/>
  <c r="M140" i="18" s="1"/>
  <c r="AC14" i="18" s="1"/>
  <c r="AG190" i="20"/>
  <c r="N138" i="18" s="1"/>
  <c r="N140" i="18" s="1"/>
  <c r="AD14" i="18" s="1"/>
  <c r="AH190" i="20"/>
  <c r="O138" i="18" s="1"/>
  <c r="O140" i="18" s="1"/>
  <c r="AE14" i="18" s="1"/>
  <c r="AI190" i="20"/>
  <c r="AM190" i="20"/>
  <c r="E154" i="17" s="1"/>
  <c r="AN190" i="20"/>
  <c r="F154" i="17" s="1"/>
  <c r="AO190" i="20"/>
  <c r="G154" i="17" s="1"/>
  <c r="AQ190" i="20"/>
  <c r="H154" i="17" s="1"/>
  <c r="AR190" i="20"/>
  <c r="I154" i="17" s="1"/>
  <c r="AS190" i="20"/>
  <c r="J154" i="17" s="1"/>
  <c r="AU190" i="20"/>
  <c r="K154" i="17" s="1"/>
  <c r="AV190" i="20"/>
  <c r="L154" i="17" s="1"/>
  <c r="AW190" i="20"/>
  <c r="M154" i="17" s="1"/>
  <c r="AY190" i="20"/>
  <c r="N154" i="17" s="1"/>
  <c r="AZ190" i="20"/>
  <c r="O154" i="17" s="1"/>
  <c r="BA190" i="20"/>
  <c r="P154" i="17" s="1"/>
  <c r="U191" i="20"/>
  <c r="V191" i="20"/>
  <c r="W191" i="20"/>
  <c r="Y191" i="20"/>
  <c r="Z191" i="20"/>
  <c r="AA191" i="20"/>
  <c r="AC191" i="20"/>
  <c r="AD191" i="20"/>
  <c r="AE191" i="20"/>
  <c r="AG191" i="20"/>
  <c r="AH191" i="20"/>
  <c r="AI191" i="20"/>
  <c r="AM191" i="20"/>
  <c r="AN191" i="20"/>
  <c r="AO191" i="20"/>
  <c r="AQ191" i="20"/>
  <c r="AR191" i="20"/>
  <c r="AS191" i="20"/>
  <c r="AU191" i="20"/>
  <c r="AV191" i="20"/>
  <c r="AW191" i="20"/>
  <c r="AY191" i="20"/>
  <c r="AZ191" i="20"/>
  <c r="BA191" i="20"/>
  <c r="D33" i="19"/>
  <c r="K33" i="19"/>
  <c r="L33" i="19"/>
  <c r="M33" i="19"/>
  <c r="N33" i="19"/>
  <c r="O33" i="19"/>
  <c r="P33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D35" i="19"/>
  <c r="K35" i="19"/>
  <c r="L35" i="19"/>
  <c r="AB3" i="19" s="1"/>
  <c r="M35" i="19"/>
  <c r="N35" i="19"/>
  <c r="O35" i="19"/>
  <c r="P35" i="19"/>
  <c r="AF3" i="19" s="1"/>
  <c r="D50" i="19"/>
  <c r="E50" i="19"/>
  <c r="F50" i="19"/>
  <c r="G50" i="19"/>
  <c r="H50" i="19"/>
  <c r="I50" i="19"/>
  <c r="J50" i="19"/>
  <c r="K50" i="19"/>
  <c r="L50" i="19"/>
  <c r="M50" i="19"/>
  <c r="N50" i="19"/>
  <c r="O50" i="19"/>
  <c r="P50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P51" i="19"/>
  <c r="D52" i="19"/>
  <c r="E52" i="19"/>
  <c r="U4" i="19" s="1"/>
  <c r="F52" i="19"/>
  <c r="G52" i="19"/>
  <c r="H52" i="19"/>
  <c r="X5" i="19" s="1"/>
  <c r="I52" i="19"/>
  <c r="Y4" i="19" s="1"/>
  <c r="J52" i="19"/>
  <c r="K52" i="19"/>
  <c r="L52" i="19"/>
  <c r="AB5" i="19" s="1"/>
  <c r="M52" i="19"/>
  <c r="AC5" i="19" s="1"/>
  <c r="N52" i="19"/>
  <c r="O52" i="19"/>
  <c r="P52" i="19"/>
  <c r="AF5" i="19" s="1"/>
  <c r="D69" i="19"/>
  <c r="E69" i="19"/>
  <c r="F69" i="19"/>
  <c r="G69" i="19"/>
  <c r="H69" i="19"/>
  <c r="I69" i="19"/>
  <c r="J69" i="19"/>
  <c r="K69" i="19"/>
  <c r="L69" i="19"/>
  <c r="M69" i="19"/>
  <c r="N69" i="19"/>
  <c r="O69" i="19"/>
  <c r="P69" i="19"/>
  <c r="D70" i="19"/>
  <c r="E70" i="19"/>
  <c r="F70" i="19"/>
  <c r="G70" i="19"/>
  <c r="H70" i="19"/>
  <c r="I70" i="19"/>
  <c r="J70" i="19"/>
  <c r="K70" i="19"/>
  <c r="L70" i="19"/>
  <c r="M70" i="19"/>
  <c r="N70" i="19"/>
  <c r="O70" i="19"/>
  <c r="P70" i="19"/>
  <c r="D71" i="19"/>
  <c r="E71" i="19"/>
  <c r="U6" i="19" s="1"/>
  <c r="F71" i="19"/>
  <c r="V6" i="19" s="1"/>
  <c r="G71" i="19"/>
  <c r="W6" i="19" s="1"/>
  <c r="H71" i="19"/>
  <c r="X6" i="19" s="1"/>
  <c r="I71" i="19"/>
  <c r="Y6" i="19" s="1"/>
  <c r="J71" i="19"/>
  <c r="Z6" i="19" s="1"/>
  <c r="K71" i="19"/>
  <c r="AA6" i="19" s="1"/>
  <c r="L71" i="19"/>
  <c r="M71" i="19"/>
  <c r="AC6" i="19" s="1"/>
  <c r="N71" i="19"/>
  <c r="AD6" i="19" s="1"/>
  <c r="O71" i="19"/>
  <c r="AE6" i="19" s="1"/>
  <c r="P71" i="19"/>
  <c r="AF6" i="19" s="1"/>
  <c r="D102" i="19"/>
  <c r="E102" i="19"/>
  <c r="F102" i="19"/>
  <c r="G102" i="19"/>
  <c r="H102" i="19"/>
  <c r="I102" i="19"/>
  <c r="J102" i="19"/>
  <c r="K102" i="19"/>
  <c r="L102" i="19"/>
  <c r="M102" i="19"/>
  <c r="N102" i="19"/>
  <c r="O102" i="19"/>
  <c r="P102" i="19"/>
  <c r="D121" i="19"/>
  <c r="E121" i="19"/>
  <c r="F121" i="19"/>
  <c r="G121" i="19"/>
  <c r="H121" i="19"/>
  <c r="I121" i="19"/>
  <c r="J121" i="19"/>
  <c r="K121" i="19"/>
  <c r="L121" i="19"/>
  <c r="M121" i="19"/>
  <c r="N121" i="19"/>
  <c r="O121" i="19"/>
  <c r="P121" i="19"/>
  <c r="D127" i="19"/>
  <c r="E127" i="19"/>
  <c r="F127" i="19"/>
  <c r="G127" i="19"/>
  <c r="H127" i="19"/>
  <c r="I127" i="19"/>
  <c r="J127" i="19"/>
  <c r="K127" i="19"/>
  <c r="L127" i="19"/>
  <c r="M127" i="19"/>
  <c r="N127" i="19"/>
  <c r="O127" i="19"/>
  <c r="P127" i="19"/>
  <c r="D136" i="19"/>
  <c r="E136" i="19"/>
  <c r="F136" i="19"/>
  <c r="G136" i="19"/>
  <c r="H136" i="19"/>
  <c r="I136" i="19"/>
  <c r="J136" i="19"/>
  <c r="K136" i="19"/>
  <c r="L136" i="19"/>
  <c r="M136" i="19"/>
  <c r="N136" i="19"/>
  <c r="O136" i="19"/>
  <c r="P136" i="19"/>
  <c r="D137" i="19"/>
  <c r="E137" i="19"/>
  <c r="F137" i="19"/>
  <c r="G137" i="19"/>
  <c r="H137" i="19"/>
  <c r="I137" i="19"/>
  <c r="J137" i="19"/>
  <c r="K137" i="19"/>
  <c r="L137" i="19"/>
  <c r="M137" i="19"/>
  <c r="N137" i="19"/>
  <c r="O137" i="19"/>
  <c r="P137" i="19"/>
  <c r="D138" i="19"/>
  <c r="E138" i="19"/>
  <c r="F138" i="19"/>
  <c r="G138" i="19"/>
  <c r="H138" i="19"/>
  <c r="I138" i="19"/>
  <c r="J138" i="19"/>
  <c r="K138" i="19"/>
  <c r="L138" i="19"/>
  <c r="M138" i="19"/>
  <c r="N138" i="19"/>
  <c r="O138" i="19"/>
  <c r="P138" i="19"/>
  <c r="D148" i="19"/>
  <c r="E148" i="19"/>
  <c r="F148" i="19"/>
  <c r="G148" i="19"/>
  <c r="H148" i="19"/>
  <c r="I148" i="19"/>
  <c r="J148" i="19"/>
  <c r="K148" i="19"/>
  <c r="L148" i="19"/>
  <c r="M148" i="19"/>
  <c r="N148" i="19"/>
  <c r="O148" i="19"/>
  <c r="P148" i="19"/>
  <c r="D149" i="19"/>
  <c r="E149" i="19"/>
  <c r="F149" i="19"/>
  <c r="G149" i="19"/>
  <c r="H149" i="19"/>
  <c r="I149" i="19"/>
  <c r="J149" i="19"/>
  <c r="K149" i="19"/>
  <c r="L149" i="19"/>
  <c r="M149" i="19"/>
  <c r="N149" i="19"/>
  <c r="O149" i="19"/>
  <c r="P149" i="19"/>
  <c r="D150" i="19"/>
  <c r="E150" i="19"/>
  <c r="U7" i="19" s="1"/>
  <c r="F150" i="19"/>
  <c r="V7" i="19" s="1"/>
  <c r="G150" i="19"/>
  <c r="W7" i="19" s="1"/>
  <c r="H150" i="19"/>
  <c r="X7" i="19" s="1"/>
  <c r="I150" i="19"/>
  <c r="Y7" i="19" s="1"/>
  <c r="J150" i="19"/>
  <c r="Z7" i="19" s="1"/>
  <c r="K150" i="19"/>
  <c r="AA7" i="19" s="1"/>
  <c r="L150" i="19"/>
  <c r="AB7" i="19" s="1"/>
  <c r="M150" i="19"/>
  <c r="AC7" i="19" s="1"/>
  <c r="N150" i="19"/>
  <c r="AD7" i="19" s="1"/>
  <c r="O150" i="19"/>
  <c r="AE7" i="19" s="1"/>
  <c r="P150" i="19"/>
  <c r="AF7" i="19" s="1"/>
  <c r="D156" i="19"/>
  <c r="E156" i="19"/>
  <c r="U8" i="19" s="1"/>
  <c r="F156" i="19"/>
  <c r="G156" i="19"/>
  <c r="W8" i="19" s="1"/>
  <c r="H156" i="19"/>
  <c r="X8" i="19" s="1"/>
  <c r="I156" i="19"/>
  <c r="Y8" i="19" s="1"/>
  <c r="J156" i="19"/>
  <c r="Z8" i="19" s="1"/>
  <c r="K156" i="19"/>
  <c r="AA8" i="19" s="1"/>
  <c r="L156" i="19"/>
  <c r="AB8" i="19" s="1"/>
  <c r="M156" i="19"/>
  <c r="AC8" i="19" s="1"/>
  <c r="N156" i="19"/>
  <c r="AD8" i="19" s="1"/>
  <c r="O156" i="19"/>
  <c r="AE8" i="19" s="1"/>
  <c r="P156" i="19"/>
  <c r="AF8" i="19" s="1"/>
  <c r="D161" i="19"/>
  <c r="F161" i="19"/>
  <c r="G161" i="19"/>
  <c r="H161" i="19"/>
  <c r="I161" i="19"/>
  <c r="J161" i="19"/>
  <c r="K161" i="19"/>
  <c r="L161" i="19"/>
  <c r="M161" i="19"/>
  <c r="N161" i="19"/>
  <c r="O161" i="19"/>
  <c r="P161" i="19"/>
  <c r="D33" i="18"/>
  <c r="D34" i="18"/>
  <c r="D35" i="18"/>
  <c r="D48" i="18"/>
  <c r="D49" i="18"/>
  <c r="D50" i="18"/>
  <c r="D65" i="18"/>
  <c r="D66" i="18"/>
  <c r="I66" i="18"/>
  <c r="D67" i="18"/>
  <c r="D96" i="18"/>
  <c r="E97" i="18"/>
  <c r="F97" i="18"/>
  <c r="F113" i="18" s="1"/>
  <c r="G97" i="18"/>
  <c r="G113" i="18" s="1"/>
  <c r="H97" i="18"/>
  <c r="H113" i="18" s="1"/>
  <c r="I97" i="18"/>
  <c r="I113" i="18" s="1"/>
  <c r="J97" i="18"/>
  <c r="J113" i="18" s="1"/>
  <c r="K97" i="18"/>
  <c r="K113" i="18" s="1"/>
  <c r="L97" i="18"/>
  <c r="L113" i="18" s="1"/>
  <c r="M97" i="18"/>
  <c r="M113" i="18" s="1"/>
  <c r="N97" i="18"/>
  <c r="N113" i="18" s="1"/>
  <c r="O97" i="18"/>
  <c r="O113" i="18" s="1"/>
  <c r="P97" i="18"/>
  <c r="P113" i="18" s="1"/>
  <c r="D113" i="18"/>
  <c r="G116" i="18"/>
  <c r="D117" i="18"/>
  <c r="D124" i="18"/>
  <c r="E124" i="18"/>
  <c r="F124" i="18"/>
  <c r="G124" i="18"/>
  <c r="H124" i="18"/>
  <c r="I124" i="18"/>
  <c r="J124" i="18"/>
  <c r="K124" i="18"/>
  <c r="L124" i="18"/>
  <c r="M124" i="18"/>
  <c r="N124" i="18"/>
  <c r="O124" i="18"/>
  <c r="P124" i="18"/>
  <c r="D125" i="18"/>
  <c r="E125" i="18"/>
  <c r="F125" i="18"/>
  <c r="G125" i="18"/>
  <c r="H125" i="18"/>
  <c r="I125" i="18"/>
  <c r="J125" i="18"/>
  <c r="K125" i="18"/>
  <c r="L125" i="18"/>
  <c r="M125" i="18"/>
  <c r="N125" i="18"/>
  <c r="O125" i="18"/>
  <c r="P125" i="18"/>
  <c r="D126" i="18"/>
  <c r="E126" i="18"/>
  <c r="F126" i="18"/>
  <c r="G126" i="18"/>
  <c r="H126" i="18"/>
  <c r="I126" i="18"/>
  <c r="J126" i="18"/>
  <c r="K126" i="18"/>
  <c r="L126" i="18"/>
  <c r="M126" i="18"/>
  <c r="N126" i="18"/>
  <c r="O126" i="18"/>
  <c r="P126" i="18"/>
  <c r="D134" i="18"/>
  <c r="D135" i="18"/>
  <c r="D136" i="18"/>
  <c r="D140" i="18"/>
  <c r="D143" i="18"/>
  <c r="V11" i="17"/>
  <c r="W11" i="17"/>
  <c r="X11" i="17"/>
  <c r="Y11" i="17"/>
  <c r="Z11" i="17"/>
  <c r="AA11" i="17"/>
  <c r="AB11" i="17"/>
  <c r="AC11" i="17"/>
  <c r="AD11" i="17"/>
  <c r="AE11" i="17"/>
  <c r="AF11" i="17"/>
  <c r="V12" i="17"/>
  <c r="W12" i="17"/>
  <c r="X12" i="17"/>
  <c r="Y12" i="17"/>
  <c r="Z12" i="17"/>
  <c r="AA12" i="17"/>
  <c r="AB12" i="17"/>
  <c r="AC12" i="17"/>
  <c r="AD12" i="17"/>
  <c r="AE12" i="17"/>
  <c r="AF12" i="17"/>
  <c r="V13" i="17"/>
  <c r="W13" i="17"/>
  <c r="X13" i="17"/>
  <c r="Y13" i="17"/>
  <c r="Z13" i="17"/>
  <c r="AA13" i="17"/>
  <c r="AB13" i="17"/>
  <c r="AC13" i="17"/>
  <c r="AD13" i="17"/>
  <c r="AE13" i="17"/>
  <c r="AF13" i="17"/>
  <c r="U14" i="17"/>
  <c r="V14" i="17"/>
  <c r="W14" i="17"/>
  <c r="X14" i="17"/>
  <c r="Y14" i="17"/>
  <c r="Z14" i="17"/>
  <c r="AA14" i="17"/>
  <c r="AB14" i="17"/>
  <c r="AC14" i="17"/>
  <c r="AD14" i="17"/>
  <c r="AE14" i="17"/>
  <c r="AF14" i="17"/>
  <c r="V15" i="17"/>
  <c r="W15" i="17"/>
  <c r="X15" i="17"/>
  <c r="Y15" i="17"/>
  <c r="Z15" i="17"/>
  <c r="AA15" i="17"/>
  <c r="AB15" i="17"/>
  <c r="AC15" i="17"/>
  <c r="AD15" i="17"/>
  <c r="AE15" i="17"/>
  <c r="AF15" i="17"/>
  <c r="V16" i="17"/>
  <c r="W16" i="17"/>
  <c r="X16" i="17"/>
  <c r="Y16" i="17"/>
  <c r="Z16" i="17"/>
  <c r="AA16" i="17"/>
  <c r="AB16" i="17"/>
  <c r="AC16" i="17"/>
  <c r="AD16" i="17"/>
  <c r="AE16" i="17"/>
  <c r="AF16" i="17"/>
  <c r="U3" i="17"/>
  <c r="U11" i="17" s="1"/>
  <c r="U4" i="17"/>
  <c r="U12" i="17" s="1"/>
  <c r="U5" i="17"/>
  <c r="U13" i="17" s="1"/>
  <c r="U6" i="17"/>
  <c r="V6" i="17"/>
  <c r="W6" i="17"/>
  <c r="X6" i="17"/>
  <c r="Y6" i="17"/>
  <c r="Z6" i="17"/>
  <c r="AA6" i="17"/>
  <c r="AB6" i="17"/>
  <c r="AC6" i="17"/>
  <c r="AD6" i="17"/>
  <c r="AE6" i="17"/>
  <c r="AF6" i="17"/>
  <c r="D136" i="17"/>
  <c r="E136" i="17"/>
  <c r="F136" i="17"/>
  <c r="G136" i="17"/>
  <c r="H136" i="17"/>
  <c r="I136" i="17"/>
  <c r="J136" i="17"/>
  <c r="K136" i="17"/>
  <c r="L136" i="17"/>
  <c r="M136" i="17"/>
  <c r="N136" i="17"/>
  <c r="O136" i="17"/>
  <c r="P136" i="17"/>
  <c r="D137" i="17"/>
  <c r="E137" i="17"/>
  <c r="F137" i="17"/>
  <c r="G137" i="17"/>
  <c r="H137" i="17"/>
  <c r="I137" i="17"/>
  <c r="J137" i="17"/>
  <c r="K137" i="17"/>
  <c r="L137" i="17"/>
  <c r="M137" i="17"/>
  <c r="N137" i="17"/>
  <c r="O137" i="17"/>
  <c r="P137" i="17"/>
  <c r="D138" i="17"/>
  <c r="E138" i="17"/>
  <c r="F138" i="17"/>
  <c r="G138" i="17"/>
  <c r="H138" i="17"/>
  <c r="I138" i="17"/>
  <c r="J138" i="17"/>
  <c r="K138" i="17"/>
  <c r="L138" i="17"/>
  <c r="M138" i="17"/>
  <c r="N138" i="17"/>
  <c r="O138" i="17"/>
  <c r="P138" i="17"/>
  <c r="U7" i="17"/>
  <c r="U15" i="17" s="1"/>
  <c r="U8" i="17"/>
  <c r="U16" i="17" s="1"/>
  <c r="I152" i="10" l="1"/>
  <c r="I19" i="10"/>
  <c r="I168" i="20"/>
  <c r="Q166" i="20"/>
  <c r="G10" i="20"/>
  <c r="G9" i="20"/>
  <c r="G7" i="20"/>
  <c r="K9" i="20"/>
  <c r="I81" i="20"/>
  <c r="O79" i="20"/>
  <c r="G26" i="20"/>
  <c r="C10" i="20"/>
  <c r="C9" i="20"/>
  <c r="C7" i="20"/>
  <c r="E81" i="20"/>
  <c r="I123" i="11"/>
  <c r="O123" i="11"/>
  <c r="M123" i="11"/>
  <c r="P123" i="11"/>
  <c r="H123" i="11"/>
  <c r="L123" i="11"/>
  <c r="J124" i="13"/>
  <c r="N123" i="11"/>
  <c r="G79" i="20"/>
  <c r="G166" i="20"/>
  <c r="I117" i="18"/>
  <c r="C166" i="20"/>
  <c r="G143" i="18"/>
  <c r="H117" i="18"/>
  <c r="N127" i="18"/>
  <c r="N134" i="18" s="1"/>
  <c r="I67" i="18"/>
  <c r="Y11" i="18" s="1"/>
  <c r="L167" i="20"/>
  <c r="M166" i="20"/>
  <c r="O9" i="20"/>
  <c r="H35" i="18"/>
  <c r="O10" i="20"/>
  <c r="M33" i="18"/>
  <c r="N143" i="18"/>
  <c r="E67" i="18"/>
  <c r="U11" i="18" s="1"/>
  <c r="O117" i="18"/>
  <c r="I166" i="20"/>
  <c r="O128" i="18"/>
  <c r="O135" i="18" s="1"/>
  <c r="K166" i="20"/>
  <c r="K168" i="20"/>
  <c r="AX186" i="20"/>
  <c r="O143" i="18"/>
  <c r="F45" i="20"/>
  <c r="R45" i="20"/>
  <c r="F127" i="18"/>
  <c r="F134" i="18" s="1"/>
  <c r="N45" i="20"/>
  <c r="AK98" i="20"/>
  <c r="BC98" i="20" s="1"/>
  <c r="X27" i="20"/>
  <c r="R154" i="20"/>
  <c r="S121" i="20"/>
  <c r="N154" i="20"/>
  <c r="K143" i="18"/>
  <c r="J45" i="20"/>
  <c r="J154" i="20"/>
  <c r="F67" i="18"/>
  <c r="V11" i="18" s="1"/>
  <c r="K99" i="20"/>
  <c r="J33" i="18"/>
  <c r="R50" i="20"/>
  <c r="I143" i="18"/>
  <c r="S153" i="20"/>
  <c r="AK80" i="20"/>
  <c r="BC80" i="20" s="1"/>
  <c r="E78" i="20"/>
  <c r="AC92" i="20"/>
  <c r="K79" i="20"/>
  <c r="AN186" i="20"/>
  <c r="AV104" i="20"/>
  <c r="L104" i="20" s="1"/>
  <c r="X101" i="20"/>
  <c r="H33" i="18"/>
  <c r="AG169" i="20"/>
  <c r="AG12" i="20" s="1"/>
  <c r="N132" i="18" s="1"/>
  <c r="AF46" i="20"/>
  <c r="E191" i="20"/>
  <c r="AP185" i="20"/>
  <c r="D64" i="20"/>
  <c r="AB46" i="20"/>
  <c r="C99" i="20"/>
  <c r="AT185" i="20"/>
  <c r="G81" i="20"/>
  <c r="E33" i="18"/>
  <c r="AZ186" i="20"/>
  <c r="Z115" i="20"/>
  <c r="Z117" i="20" s="1"/>
  <c r="D115" i="20"/>
  <c r="D117" i="20" s="1"/>
  <c r="W92" i="20"/>
  <c r="O101" i="20"/>
  <c r="Y169" i="20"/>
  <c r="Y12" i="20" s="1"/>
  <c r="Y23" i="20" s="1"/>
  <c r="W169" i="20"/>
  <c r="W12" i="20" s="1"/>
  <c r="G132" i="18" s="1"/>
  <c r="AF101" i="20"/>
  <c r="AZ104" i="20"/>
  <c r="P104" i="20" s="1"/>
  <c r="AB101" i="20"/>
  <c r="V105" i="20"/>
  <c r="V106" i="20" s="1"/>
  <c r="O50" i="18"/>
  <c r="AE10" i="18" s="1"/>
  <c r="S158" i="20"/>
  <c r="Q149" i="19"/>
  <c r="AM101" i="20"/>
  <c r="C101" i="20" s="1"/>
  <c r="N50" i="20"/>
  <c r="O46" i="20"/>
  <c r="K27" i="20"/>
  <c r="K77" i="17"/>
  <c r="L127" i="18"/>
  <c r="L134" i="18" s="1"/>
  <c r="L128" i="18"/>
  <c r="L135" i="18" s="1"/>
  <c r="G24" i="17"/>
  <c r="F26" i="17"/>
  <c r="F24" i="17"/>
  <c r="G26" i="17"/>
  <c r="E24" i="17"/>
  <c r="E26" i="17"/>
  <c r="M127" i="18"/>
  <c r="M134" i="18" s="1"/>
  <c r="G127" i="18"/>
  <c r="G134" i="18" s="1"/>
  <c r="AA169" i="20"/>
  <c r="AA12" i="20" s="1"/>
  <c r="J132" i="18" s="1"/>
  <c r="C133" i="20"/>
  <c r="D132" i="20" s="1"/>
  <c r="D133" i="20" s="1"/>
  <c r="E132" i="20" s="1"/>
  <c r="E133" i="20" s="1"/>
  <c r="G132" i="20" s="1"/>
  <c r="AJ101" i="20"/>
  <c r="AP98" i="20"/>
  <c r="M78" i="20"/>
  <c r="M159" i="17"/>
  <c r="M160" i="17" s="1"/>
  <c r="M143" i="18"/>
  <c r="N33" i="18"/>
  <c r="P51" i="20"/>
  <c r="O45" i="17"/>
  <c r="C46" i="20"/>
  <c r="I31" i="20"/>
  <c r="J126" i="17"/>
  <c r="J67" i="18"/>
  <c r="Z11" i="18" s="1"/>
  <c r="K8" i="20"/>
  <c r="K141" i="17"/>
  <c r="K127" i="18"/>
  <c r="K134" i="18" s="1"/>
  <c r="K128" i="18"/>
  <c r="K135" i="18" s="1"/>
  <c r="F25" i="17"/>
  <c r="G25" i="17"/>
  <c r="Q78" i="20"/>
  <c r="P159" i="17"/>
  <c r="P160" i="17" s="1"/>
  <c r="S142" i="20"/>
  <c r="H29" i="20"/>
  <c r="I61" i="17"/>
  <c r="J127" i="18"/>
  <c r="J128" i="18"/>
  <c r="J135" i="18" s="1"/>
  <c r="O166" i="20"/>
  <c r="C78" i="20"/>
  <c r="E159" i="17"/>
  <c r="E160" i="17" s="1"/>
  <c r="D51" i="20"/>
  <c r="F45" i="17"/>
  <c r="O7" i="20"/>
  <c r="M128" i="18"/>
  <c r="M135" i="18" s="1"/>
  <c r="Q126" i="18"/>
  <c r="K78" i="20"/>
  <c r="K159" i="17"/>
  <c r="K160" i="17" s="1"/>
  <c r="L66" i="20"/>
  <c r="L30" i="17"/>
  <c r="O24" i="17"/>
  <c r="O26" i="17"/>
  <c r="J50" i="20"/>
  <c r="G31" i="20"/>
  <c r="H126" i="17"/>
  <c r="I127" i="18"/>
  <c r="I134" i="18" s="1"/>
  <c r="I128" i="18"/>
  <c r="I135" i="18" s="1"/>
  <c r="P167" i="20"/>
  <c r="N24" i="17"/>
  <c r="N26" i="17"/>
  <c r="L51" i="20"/>
  <c r="L45" i="17"/>
  <c r="E49" i="20"/>
  <c r="G8" i="20"/>
  <c r="H141" i="17"/>
  <c r="H127" i="18"/>
  <c r="H134" i="18" s="1"/>
  <c r="H128" i="18"/>
  <c r="H135" i="18" s="1"/>
  <c r="S137" i="20"/>
  <c r="I78" i="20"/>
  <c r="J159" i="17"/>
  <c r="J160" i="17" s="1"/>
  <c r="Q124" i="18"/>
  <c r="S171" i="20"/>
  <c r="V127" i="20" s="1"/>
  <c r="V129" i="20" s="1"/>
  <c r="S141" i="20"/>
  <c r="S130" i="20"/>
  <c r="J35" i="18"/>
  <c r="M26" i="17"/>
  <c r="M24" i="17"/>
  <c r="K35" i="18"/>
  <c r="L50" i="18"/>
  <c r="AB30" i="18" s="1"/>
  <c r="D29" i="20"/>
  <c r="F61" i="17"/>
  <c r="S11" i="20"/>
  <c r="G128" i="18"/>
  <c r="G135" i="18" s="1"/>
  <c r="M99" i="20"/>
  <c r="S159" i="20"/>
  <c r="O8" i="20"/>
  <c r="N141" i="17"/>
  <c r="N67" i="18"/>
  <c r="AD11" i="18" s="1"/>
  <c r="AX185" i="20"/>
  <c r="K81" i="20"/>
  <c r="G78" i="20"/>
  <c r="H159" i="17"/>
  <c r="H160" i="17" s="1"/>
  <c r="K26" i="17"/>
  <c r="K24" i="17"/>
  <c r="F50" i="20"/>
  <c r="C31" i="20"/>
  <c r="E126" i="17"/>
  <c r="C27" i="20"/>
  <c r="E77" i="17"/>
  <c r="F128" i="18"/>
  <c r="F135" i="18" s="1"/>
  <c r="N128" i="18"/>
  <c r="N135" i="18" s="1"/>
  <c r="Q125" i="18"/>
  <c r="E166" i="20"/>
  <c r="M67" i="18"/>
  <c r="AC11" i="18" s="1"/>
  <c r="F152" i="20"/>
  <c r="S152" i="20" s="1"/>
  <c r="F126" i="20"/>
  <c r="M103" i="20"/>
  <c r="J26" i="17"/>
  <c r="J24" i="17"/>
  <c r="H51" i="20"/>
  <c r="I45" i="17"/>
  <c r="Q31" i="20"/>
  <c r="P126" i="17"/>
  <c r="I25" i="20"/>
  <c r="C8" i="20"/>
  <c r="E141" i="17"/>
  <c r="E127" i="18"/>
  <c r="E134" i="18" s="1"/>
  <c r="E128" i="18"/>
  <c r="E135" i="18" s="1"/>
  <c r="L117" i="18"/>
  <c r="AH105" i="20"/>
  <c r="AH106" i="20" s="1"/>
  <c r="AZ102" i="20"/>
  <c r="P102" i="20" s="1"/>
  <c r="G35" i="18"/>
  <c r="I26" i="17"/>
  <c r="I24" i="17"/>
  <c r="AJ46" i="20"/>
  <c r="X46" i="20"/>
  <c r="Z61" i="20"/>
  <c r="P127" i="18"/>
  <c r="P134" i="18" s="1"/>
  <c r="M50" i="18"/>
  <c r="AC10" i="18" s="1"/>
  <c r="N117" i="18"/>
  <c r="L143" i="18"/>
  <c r="H143" i="18"/>
  <c r="Q97" i="18"/>
  <c r="M35" i="18"/>
  <c r="P67" i="18"/>
  <c r="AF11" i="18" s="1"/>
  <c r="K33" i="18"/>
  <c r="G33" i="18"/>
  <c r="D190" i="20"/>
  <c r="M168" i="20"/>
  <c r="D47" i="20"/>
  <c r="F39" i="18"/>
  <c r="F50" i="18" s="1"/>
  <c r="L67" i="18"/>
  <c r="AB11" i="18" s="1"/>
  <c r="H67" i="18"/>
  <c r="X11" i="18" s="1"/>
  <c r="O66" i="18"/>
  <c r="K66" i="18"/>
  <c r="Q191" i="20"/>
  <c r="AT186" i="20"/>
  <c r="L168" i="20"/>
  <c r="X166" i="20"/>
  <c r="J140" i="20"/>
  <c r="AK115" i="20"/>
  <c r="AK117" i="20" s="1"/>
  <c r="N115" i="20"/>
  <c r="N117" i="20" s="1"/>
  <c r="AN104" i="20"/>
  <c r="D104" i="20" s="1"/>
  <c r="I103" i="20"/>
  <c r="O99" i="20"/>
  <c r="Y92" i="20"/>
  <c r="L65" i="20"/>
  <c r="L26" i="18"/>
  <c r="H65" i="20"/>
  <c r="V76" i="20"/>
  <c r="V93" i="20" s="1"/>
  <c r="F25" i="18"/>
  <c r="Q63" i="20"/>
  <c r="P24" i="18"/>
  <c r="H47" i="20"/>
  <c r="I39" i="18"/>
  <c r="Q44" i="20"/>
  <c r="P36" i="18"/>
  <c r="M44" i="20"/>
  <c r="AK32" i="20"/>
  <c r="BC32" i="20" s="1"/>
  <c r="F32" i="20"/>
  <c r="K26" i="20"/>
  <c r="Q6" i="20"/>
  <c r="P128" i="18"/>
  <c r="M6" i="20"/>
  <c r="E65" i="18"/>
  <c r="H168" i="20"/>
  <c r="X79" i="20"/>
  <c r="F142" i="18"/>
  <c r="Q26" i="20"/>
  <c r="P65" i="18"/>
  <c r="G71" i="18"/>
  <c r="G67" i="18"/>
  <c r="E35" i="18"/>
  <c r="Q190" i="20"/>
  <c r="P138" i="18"/>
  <c r="P140" i="18" s="1"/>
  <c r="AF14" i="18" s="1"/>
  <c r="L190" i="20"/>
  <c r="AS186" i="20"/>
  <c r="AN185" i="20"/>
  <c r="AC169" i="20"/>
  <c r="AC12" i="20" s="1"/>
  <c r="K132" i="18" s="1"/>
  <c r="P115" i="20"/>
  <c r="P117" i="20" s="1"/>
  <c r="AA115" i="20"/>
  <c r="AA117" i="20" s="1"/>
  <c r="E115" i="20"/>
  <c r="E117" i="20" s="1"/>
  <c r="Q99" i="20"/>
  <c r="AE92" i="20"/>
  <c r="X81" i="20"/>
  <c r="AP81" i="20" s="1"/>
  <c r="Q79" i="20"/>
  <c r="P142" i="18"/>
  <c r="P143" i="18" s="1"/>
  <c r="I79" i="20"/>
  <c r="AA92" i="20"/>
  <c r="J141" i="18"/>
  <c r="J143" i="18" s="1"/>
  <c r="P66" i="20"/>
  <c r="O30" i="18" a="1"/>
  <c r="O30" i="18" s="1"/>
  <c r="P65" i="20"/>
  <c r="O26" i="18"/>
  <c r="D65" i="20"/>
  <c r="H64" i="20"/>
  <c r="I25" i="18"/>
  <c r="I33" i="18" s="1"/>
  <c r="P63" i="20"/>
  <c r="O24" i="18"/>
  <c r="AB51" i="20"/>
  <c r="H43" i="18"/>
  <c r="Q43" i="18" s="1"/>
  <c r="K51" i="20"/>
  <c r="V61" i="20"/>
  <c r="O47" i="20"/>
  <c r="AC61" i="20"/>
  <c r="K36" i="18"/>
  <c r="E44" i="20"/>
  <c r="J32" i="20"/>
  <c r="O31" i="20"/>
  <c r="Q57" i="18"/>
  <c r="X26" i="20"/>
  <c r="AP26" i="20" s="1"/>
  <c r="D25" i="20"/>
  <c r="AJ10" i="20"/>
  <c r="BB10" i="20" s="1"/>
  <c r="AJ9" i="20"/>
  <c r="BB9" i="20" s="1"/>
  <c r="AJ8" i="20"/>
  <c r="O127" i="18"/>
  <c r="AJ7" i="20"/>
  <c r="BB7" i="20" s="1"/>
  <c r="I6" i="20"/>
  <c r="C168" i="20"/>
  <c r="P64" i="20"/>
  <c r="O25" i="18"/>
  <c r="H44" i="20"/>
  <c r="I36" i="18"/>
  <c r="N50" i="18"/>
  <c r="AD10" i="18" s="1"/>
  <c r="E34" i="18"/>
  <c r="I191" i="20"/>
  <c r="E190" i="20"/>
  <c r="I190" i="20"/>
  <c r="AO186" i="20"/>
  <c r="BB185" i="20"/>
  <c r="AP186" i="20"/>
  <c r="H167" i="20"/>
  <c r="Q103" i="20"/>
  <c r="AG92" i="20"/>
  <c r="E79" i="20"/>
  <c r="U92" i="20"/>
  <c r="N30" i="18"/>
  <c r="L64" i="20"/>
  <c r="C51" i="20"/>
  <c r="L47" i="20"/>
  <c r="K46" i="20"/>
  <c r="K41" i="18"/>
  <c r="Q41" i="18" s="1"/>
  <c r="I44" i="20"/>
  <c r="J36" i="18"/>
  <c r="N32" i="20"/>
  <c r="K31" i="20"/>
  <c r="K116" i="18"/>
  <c r="E31" i="20"/>
  <c r="AJ27" i="20"/>
  <c r="P71" i="18"/>
  <c r="G27" i="20"/>
  <c r="H71" i="18"/>
  <c r="O27" i="20"/>
  <c r="C26" i="20"/>
  <c r="X14" i="18"/>
  <c r="Q51" i="19"/>
  <c r="X4" i="19"/>
  <c r="Q161" i="19"/>
  <c r="V8" i="19"/>
  <c r="Q156" i="19"/>
  <c r="Q148" i="19"/>
  <c r="Q127" i="19"/>
  <c r="L3" i="19"/>
  <c r="L7" i="19" s="1"/>
  <c r="L10" i="19" s="1"/>
  <c r="Q70" i="19"/>
  <c r="Q50" i="19"/>
  <c r="Y5" i="19"/>
  <c r="AC4" i="19"/>
  <c r="Q71" i="19"/>
  <c r="AF4" i="19"/>
  <c r="AF9" i="19" s="1"/>
  <c r="Q138" i="19"/>
  <c r="Q121" i="19"/>
  <c r="Q69" i="19"/>
  <c r="AB4" i="19"/>
  <c r="Q136" i="19"/>
  <c r="Q150" i="19"/>
  <c r="Q137" i="19"/>
  <c r="Q102" i="19"/>
  <c r="Q52" i="19"/>
  <c r="Q34" i="19"/>
  <c r="U5" i="19"/>
  <c r="G50" i="18"/>
  <c r="W10" i="18" s="1"/>
  <c r="F117" i="18"/>
  <c r="V14" i="18"/>
  <c r="E113" i="18"/>
  <c r="Q113" i="18" s="1"/>
  <c r="E50" i="18"/>
  <c r="E117" i="18"/>
  <c r="E143" i="18"/>
  <c r="Q51" i="18"/>
  <c r="L191" i="20"/>
  <c r="AH115" i="20"/>
  <c r="AH117" i="20" s="1"/>
  <c r="AD115" i="20"/>
  <c r="AD117" i="20" s="1"/>
  <c r="V115" i="20"/>
  <c r="V117" i="20" s="1"/>
  <c r="Q115" i="20"/>
  <c r="M115" i="20"/>
  <c r="H81" i="20"/>
  <c r="AB81" i="20"/>
  <c r="AT81" i="20" s="1"/>
  <c r="O78" i="20"/>
  <c r="D78" i="20"/>
  <c r="H66" i="20"/>
  <c r="H63" i="20"/>
  <c r="Z76" i="20"/>
  <c r="Z93" i="20" s="1"/>
  <c r="X63" i="20"/>
  <c r="C63" i="20"/>
  <c r="E24" i="19" s="1"/>
  <c r="Q25" i="20"/>
  <c r="L25" i="20"/>
  <c r="M190" i="20"/>
  <c r="H190" i="20"/>
  <c r="AB168" i="20"/>
  <c r="Q167" i="20"/>
  <c r="AI169" i="20"/>
  <c r="AI12" i="20" s="1"/>
  <c r="P132" i="18" s="1"/>
  <c r="J126" i="20"/>
  <c r="Q81" i="20"/>
  <c r="AI92" i="20"/>
  <c r="L81" i="20"/>
  <c r="AF81" i="20"/>
  <c r="AX81" i="20" s="1"/>
  <c r="N80" i="20"/>
  <c r="J80" i="20"/>
  <c r="F80" i="20"/>
  <c r="H78" i="20"/>
  <c r="O64" i="20"/>
  <c r="I64" i="20"/>
  <c r="BA176" i="20"/>
  <c r="BA186" i="20"/>
  <c r="AW176" i="20"/>
  <c r="AW186" i="20"/>
  <c r="AE169" i="20"/>
  <c r="AE12" i="20" s="1"/>
  <c r="M132" i="18" s="1"/>
  <c r="P168" i="20"/>
  <c r="AF168" i="20"/>
  <c r="E168" i="20"/>
  <c r="X167" i="20"/>
  <c r="AB166" i="20"/>
  <c r="AT166" i="20" s="1"/>
  <c r="U169" i="20"/>
  <c r="U12" i="20" s="1"/>
  <c r="U23" i="20" s="1"/>
  <c r="N140" i="20"/>
  <c r="L102" i="20"/>
  <c r="AD105" i="20"/>
  <c r="AD106" i="20" s="1"/>
  <c r="L31" i="20"/>
  <c r="I115" i="20"/>
  <c r="F141" i="18"/>
  <c r="M191" i="20"/>
  <c r="H191" i="20"/>
  <c r="AV176" i="20"/>
  <c r="AV186" i="20"/>
  <c r="AR176" i="20"/>
  <c r="AR186" i="20"/>
  <c r="AN176" i="20"/>
  <c r="D168" i="20"/>
  <c r="AG115" i="20"/>
  <c r="AC115" i="20"/>
  <c r="AC117" i="20" s="1"/>
  <c r="Y115" i="20"/>
  <c r="Y117" i="20" s="1"/>
  <c r="U115" i="20"/>
  <c r="U117" i="20" s="1"/>
  <c r="L115" i="20"/>
  <c r="H115" i="20"/>
  <c r="AI115" i="20"/>
  <c r="AI117" i="20" s="1"/>
  <c r="AE115" i="20"/>
  <c r="AE117" i="20" s="1"/>
  <c r="W115" i="20"/>
  <c r="W117" i="20" s="1"/>
  <c r="R115" i="20"/>
  <c r="R117" i="20" s="1"/>
  <c r="J115" i="20"/>
  <c r="J117" i="20" s="1"/>
  <c r="F115" i="20"/>
  <c r="F117" i="20" s="1"/>
  <c r="AO103" i="20"/>
  <c r="E103" i="20" s="1"/>
  <c r="I66" i="20"/>
  <c r="D66" i="20"/>
  <c r="M66" i="20"/>
  <c r="C64" i="20"/>
  <c r="AB63" i="20"/>
  <c r="Q51" i="20"/>
  <c r="M49" i="20"/>
  <c r="Y61" i="20"/>
  <c r="Q29" i="20"/>
  <c r="P191" i="20"/>
  <c r="P190" i="20"/>
  <c r="BC185" i="20"/>
  <c r="AQ186" i="20"/>
  <c r="O168" i="20"/>
  <c r="D167" i="20"/>
  <c r="AF166" i="20"/>
  <c r="AX166" i="20" s="1"/>
  <c r="R140" i="20"/>
  <c r="N126" i="20"/>
  <c r="G99" i="20"/>
  <c r="E99" i="20"/>
  <c r="P81" i="20"/>
  <c r="AJ81" i="20"/>
  <c r="BB81" i="20" s="1"/>
  <c r="I65" i="20"/>
  <c r="K63" i="20"/>
  <c r="AF63" i="20"/>
  <c r="AF51" i="20"/>
  <c r="E51" i="20"/>
  <c r="Q49" i="20"/>
  <c r="P47" i="20"/>
  <c r="K47" i="20"/>
  <c r="E47" i="20"/>
  <c r="P44" i="20"/>
  <c r="AH61" i="20"/>
  <c r="P29" i="20"/>
  <c r="E29" i="20"/>
  <c r="M26" i="20"/>
  <c r="H26" i="20"/>
  <c r="E10" i="20"/>
  <c r="E9" i="20"/>
  <c r="E8" i="20"/>
  <c r="E7" i="20"/>
  <c r="P6" i="20"/>
  <c r="K6" i="20"/>
  <c r="E6" i="20"/>
  <c r="M64" i="20"/>
  <c r="L63" i="20"/>
  <c r="AD76" i="20"/>
  <c r="AD93" i="20" s="1"/>
  <c r="G63" i="20"/>
  <c r="H24" i="19" s="1"/>
  <c r="L44" i="20"/>
  <c r="AD61" i="20"/>
  <c r="L29" i="20"/>
  <c r="I26" i="20"/>
  <c r="D191" i="20"/>
  <c r="Q168" i="20"/>
  <c r="G168" i="20"/>
  <c r="AJ168" i="20"/>
  <c r="X168" i="20"/>
  <c r="M167" i="20"/>
  <c r="G167" i="20"/>
  <c r="AH169" i="20"/>
  <c r="AH12" i="20" s="1"/>
  <c r="O132" i="18" s="1"/>
  <c r="W130" i="20"/>
  <c r="G101" i="20"/>
  <c r="I99" i="20"/>
  <c r="O81" i="20"/>
  <c r="D81" i="20"/>
  <c r="M79" i="20"/>
  <c r="AB79" i="20"/>
  <c r="AH76" i="20"/>
  <c r="AH93" i="20" s="1"/>
  <c r="M65" i="20"/>
  <c r="O63" i="20"/>
  <c r="AJ63" i="20"/>
  <c r="D63" i="20"/>
  <c r="F24" i="19" s="1"/>
  <c r="AJ47" i="20"/>
  <c r="I47" i="20"/>
  <c r="G46" i="20"/>
  <c r="U61" i="20"/>
  <c r="M31" i="20"/>
  <c r="AB31" i="20"/>
  <c r="M25" i="20"/>
  <c r="H25" i="20"/>
  <c r="I10" i="20"/>
  <c r="X10" i="20"/>
  <c r="AP10" i="20" s="1"/>
  <c r="I9" i="20"/>
  <c r="X9" i="20"/>
  <c r="I8" i="20"/>
  <c r="X8" i="20"/>
  <c r="I7" i="20"/>
  <c r="X7" i="20"/>
  <c r="AP7" i="20" s="1"/>
  <c r="O6" i="20"/>
  <c r="D6" i="20"/>
  <c r="R126" i="20"/>
  <c r="AR104" i="20"/>
  <c r="H104" i="20" s="1"/>
  <c r="AR102" i="20"/>
  <c r="H102" i="20" s="1"/>
  <c r="M81" i="20"/>
  <c r="C81" i="20"/>
  <c r="AF79" i="20"/>
  <c r="L78" i="20"/>
  <c r="Q66" i="20"/>
  <c r="Q65" i="20"/>
  <c r="Q64" i="20"/>
  <c r="G64" i="20"/>
  <c r="AJ51" i="20"/>
  <c r="I51" i="20"/>
  <c r="M47" i="20"/>
  <c r="C47" i="20"/>
  <c r="D44" i="20"/>
  <c r="P31" i="20"/>
  <c r="I29" i="20"/>
  <c r="I27" i="20"/>
  <c r="L26" i="20"/>
  <c r="P25" i="20"/>
  <c r="E25" i="20"/>
  <c r="M10" i="20"/>
  <c r="AB10" i="20"/>
  <c r="AT10" i="20" s="1"/>
  <c r="M9" i="20"/>
  <c r="AB9" i="20"/>
  <c r="AT9" i="20" s="1"/>
  <c r="M8" i="20"/>
  <c r="AB8" i="20"/>
  <c r="M7" i="20"/>
  <c r="AB7" i="20"/>
  <c r="AT7" i="20" s="1"/>
  <c r="H6" i="20"/>
  <c r="C6" i="20"/>
  <c r="AJ115" i="20"/>
  <c r="AJ117" i="20" s="1"/>
  <c r="AF115" i="20"/>
  <c r="AF117" i="20" s="1"/>
  <c r="AB115" i="20"/>
  <c r="X115" i="20"/>
  <c r="S115" i="20"/>
  <c r="S117" i="20" s="1"/>
  <c r="O115" i="20"/>
  <c r="O117" i="20" s="1"/>
  <c r="K115" i="20"/>
  <c r="G115" i="20"/>
  <c r="C115" i="20"/>
  <c r="C117" i="20" s="1"/>
  <c r="R98" i="20"/>
  <c r="N98" i="20"/>
  <c r="J98" i="20"/>
  <c r="AJ79" i="20"/>
  <c r="P78" i="20"/>
  <c r="E66" i="20"/>
  <c r="E65" i="20"/>
  <c r="K64" i="20"/>
  <c r="E64" i="20"/>
  <c r="M63" i="20"/>
  <c r="I63" i="20"/>
  <c r="J24" i="19" s="1"/>
  <c r="E63" i="20"/>
  <c r="G24" i="19" s="1"/>
  <c r="M51" i="20"/>
  <c r="X51" i="20"/>
  <c r="I49" i="20"/>
  <c r="Q47" i="20"/>
  <c r="AB47" i="20"/>
  <c r="G47" i="20"/>
  <c r="H46" i="20"/>
  <c r="X31" i="20"/>
  <c r="M29" i="20"/>
  <c r="M27" i="20"/>
  <c r="P26" i="20"/>
  <c r="E26" i="20"/>
  <c r="Q10" i="20"/>
  <c r="AF10" i="20"/>
  <c r="AX10" i="20" s="1"/>
  <c r="Q9" i="20"/>
  <c r="AF9" i="20"/>
  <c r="AX9" i="20" s="1"/>
  <c r="Q8" i="20"/>
  <c r="AF8" i="20"/>
  <c r="Q7" i="20"/>
  <c r="AF7" i="20"/>
  <c r="AX7" i="20" s="1"/>
  <c r="L6" i="20"/>
  <c r="G6" i="20"/>
  <c r="O3" i="19"/>
  <c r="K3" i="19"/>
  <c r="P3" i="19"/>
  <c r="P7" i="19" s="1"/>
  <c r="G191" i="20"/>
  <c r="J191" i="20" s="1"/>
  <c r="C190" i="20"/>
  <c r="X190" i="20"/>
  <c r="AE4" i="19"/>
  <c r="AE5" i="19"/>
  <c r="AA4" i="19"/>
  <c r="AA5" i="19"/>
  <c r="W4" i="19"/>
  <c r="W5" i="19"/>
  <c r="N3" i="19"/>
  <c r="AD3" i="19"/>
  <c r="AB6" i="19"/>
  <c r="K191" i="20"/>
  <c r="G190" i="20"/>
  <c r="AB190" i="20"/>
  <c r="D173" i="20"/>
  <c r="C174" i="20"/>
  <c r="AD4" i="19"/>
  <c r="AD5" i="19"/>
  <c r="Z4" i="19"/>
  <c r="Z5" i="19"/>
  <c r="V4" i="19"/>
  <c r="V5" i="19"/>
  <c r="M3" i="19"/>
  <c r="AC3" i="19"/>
  <c r="O191" i="20"/>
  <c r="K190" i="20"/>
  <c r="AF190" i="20"/>
  <c r="C191" i="20"/>
  <c r="O190" i="20"/>
  <c r="AJ190" i="20"/>
  <c r="AP180" i="20"/>
  <c r="AQ180" i="20" s="1"/>
  <c r="AO185" i="20"/>
  <c r="AE3" i="19"/>
  <c r="AA3" i="19"/>
  <c r="AM185" i="20"/>
  <c r="AQ176" i="20"/>
  <c r="AJ191" i="20"/>
  <c r="BB191" i="20" s="1"/>
  <c r="AF191" i="20"/>
  <c r="AX191" i="20" s="1"/>
  <c r="AB191" i="20"/>
  <c r="AT191" i="20" s="1"/>
  <c r="X191" i="20"/>
  <c r="AY186" i="20"/>
  <c r="AU186" i="20"/>
  <c r="AM186" i="20"/>
  <c r="AD169" i="20"/>
  <c r="Z169" i="20"/>
  <c r="V169" i="20"/>
  <c r="R144" i="20"/>
  <c r="O155" i="20"/>
  <c r="K155" i="20"/>
  <c r="N144" i="20"/>
  <c r="G155" i="20"/>
  <c r="J144" i="20"/>
  <c r="K167" i="20"/>
  <c r="AF167" i="20"/>
  <c r="AJ166" i="20"/>
  <c r="P166" i="20"/>
  <c r="C147" i="20"/>
  <c r="G147" i="20"/>
  <c r="K147" i="20"/>
  <c r="O147" i="20"/>
  <c r="D147" i="20"/>
  <c r="D149" i="20" s="1"/>
  <c r="D139" i="20" s="1"/>
  <c r="D150" i="20" s="1"/>
  <c r="H147" i="20"/>
  <c r="H149" i="20" s="1"/>
  <c r="H139" i="20" s="1"/>
  <c r="H150" i="20" s="1"/>
  <c r="L147" i="20"/>
  <c r="L149" i="20" s="1"/>
  <c r="L139" i="20" s="1"/>
  <c r="L150" i="20" s="1"/>
  <c r="P147" i="20"/>
  <c r="P149" i="20" s="1"/>
  <c r="P139" i="20" s="1"/>
  <c r="P150" i="20" s="1"/>
  <c r="E147" i="20"/>
  <c r="E149" i="20" s="1"/>
  <c r="E139" i="20" s="1"/>
  <c r="E150" i="20" s="1"/>
  <c r="I147" i="20"/>
  <c r="I149" i="20" s="1"/>
  <c r="I139" i="20" s="1"/>
  <c r="I150" i="20" s="1"/>
  <c r="M147" i="20"/>
  <c r="M149" i="20" s="1"/>
  <c r="M139" i="20" s="1"/>
  <c r="M150" i="20" s="1"/>
  <c r="Q147" i="20"/>
  <c r="Q149" i="20" s="1"/>
  <c r="Q139" i="20" s="1"/>
  <c r="Q150" i="20" s="1"/>
  <c r="O167" i="20"/>
  <c r="AJ167" i="20"/>
  <c r="BB167" i="20" s="1"/>
  <c r="C167" i="20"/>
  <c r="C160" i="20"/>
  <c r="C136" i="20" s="1"/>
  <c r="AB167" i="20"/>
  <c r="L166" i="20"/>
  <c r="H166" i="20"/>
  <c r="D166" i="20"/>
  <c r="C154" i="20"/>
  <c r="C144" i="20" s="1"/>
  <c r="F140" i="20"/>
  <c r="AE28" i="20"/>
  <c r="AW104" i="20"/>
  <c r="M104" i="20" s="1"/>
  <c r="AN103" i="20"/>
  <c r="D103" i="20" s="1"/>
  <c r="X103" i="20"/>
  <c r="AU102" i="20"/>
  <c r="K102" i="20" s="1"/>
  <c r="AC105" i="20"/>
  <c r="AF102" i="20"/>
  <c r="BA100" i="20"/>
  <c r="Q100" i="20" s="1"/>
  <c r="AI105" i="20"/>
  <c r="AB99" i="20"/>
  <c r="H99" i="20"/>
  <c r="F98" i="20"/>
  <c r="D157" i="20"/>
  <c r="D160" i="20" s="1"/>
  <c r="D136" i="20" s="1"/>
  <c r="AI28" i="20"/>
  <c r="BA104" i="20"/>
  <c r="Q104" i="20" s="1"/>
  <c r="AR103" i="20"/>
  <c r="H103" i="20" s="1"/>
  <c r="AB103" i="20"/>
  <c r="AT103" i="20" s="1"/>
  <c r="AY102" i="20"/>
  <c r="O102" i="20" s="1"/>
  <c r="AG105" i="20"/>
  <c r="AJ102" i="20"/>
  <c r="AO100" i="20"/>
  <c r="E100" i="20" s="1"/>
  <c r="W105" i="20"/>
  <c r="AF99" i="20"/>
  <c r="L99" i="20"/>
  <c r="W28" i="20"/>
  <c r="X28" i="20" s="1"/>
  <c r="AO104" i="20"/>
  <c r="E104" i="20" s="1"/>
  <c r="AV103" i="20"/>
  <c r="L103" i="20" s="1"/>
  <c r="AF103" i="20"/>
  <c r="AX103" i="20" s="1"/>
  <c r="AM102" i="20"/>
  <c r="C102" i="20" s="1"/>
  <c r="U105" i="20"/>
  <c r="X102" i="20"/>
  <c r="AS100" i="20"/>
  <c r="I100" i="20" s="1"/>
  <c r="AA105" i="20"/>
  <c r="AJ99" i="20"/>
  <c r="P99" i="20"/>
  <c r="R80" i="20"/>
  <c r="Z105" i="20"/>
  <c r="AA28" i="20"/>
  <c r="J114" i="18" s="1"/>
  <c r="AS104" i="20"/>
  <c r="I104" i="20" s="1"/>
  <c r="AZ103" i="20"/>
  <c r="P103" i="20" s="1"/>
  <c r="AJ103" i="20"/>
  <c r="BB103" i="20" s="1"/>
  <c r="AQ102" i="20"/>
  <c r="G102" i="20" s="1"/>
  <c r="Y105" i="20"/>
  <c r="AB102" i="20"/>
  <c r="AW100" i="20"/>
  <c r="M100" i="20" s="1"/>
  <c r="AE105" i="20"/>
  <c r="X99" i="20"/>
  <c r="D99" i="20"/>
  <c r="AY104" i="20"/>
  <c r="O104" i="20" s="1"/>
  <c r="AU104" i="20"/>
  <c r="K104" i="20" s="1"/>
  <c r="AQ104" i="20"/>
  <c r="G104" i="20" s="1"/>
  <c r="AM104" i="20"/>
  <c r="C104" i="20" s="1"/>
  <c r="AZ28" i="20"/>
  <c r="P28" i="20" s="1"/>
  <c r="AH30" i="20"/>
  <c r="AV28" i="20"/>
  <c r="L28" i="20" s="1"/>
  <c r="AD30" i="20"/>
  <c r="AR28" i="20"/>
  <c r="H28" i="20" s="1"/>
  <c r="Z30" i="20"/>
  <c r="AN28" i="20"/>
  <c r="D28" i="20" s="1"/>
  <c r="V30" i="20"/>
  <c r="V42" i="20" s="1"/>
  <c r="BA102" i="20"/>
  <c r="Q102" i="20" s="1"/>
  <c r="AW102" i="20"/>
  <c r="M102" i="20" s="1"/>
  <c r="AS102" i="20"/>
  <c r="I102" i="20" s="1"/>
  <c r="AO102" i="20"/>
  <c r="E102" i="20" s="1"/>
  <c r="AZ101" i="20"/>
  <c r="P101" i="20" s="1"/>
  <c r="AV101" i="20"/>
  <c r="L101" i="20" s="1"/>
  <c r="N101" i="20" s="1"/>
  <c r="AR101" i="20"/>
  <c r="H101" i="20" s="1"/>
  <c r="AN101" i="20"/>
  <c r="D101" i="20" s="1"/>
  <c r="AY100" i="20"/>
  <c r="O100" i="20" s="1"/>
  <c r="AU100" i="20"/>
  <c r="K100" i="20" s="1"/>
  <c r="AQ100" i="20"/>
  <c r="G100" i="20" s="1"/>
  <c r="AM100" i="20"/>
  <c r="C100" i="20" s="1"/>
  <c r="C79" i="20"/>
  <c r="P79" i="20"/>
  <c r="L79" i="20"/>
  <c r="H79" i="20"/>
  <c r="D79" i="20"/>
  <c r="G66" i="20"/>
  <c r="AB66" i="20"/>
  <c r="C65" i="20"/>
  <c r="X65" i="20"/>
  <c r="AY28" i="20"/>
  <c r="O28" i="20" s="1"/>
  <c r="AG30" i="20"/>
  <c r="AU28" i="20"/>
  <c r="K28" i="20" s="1"/>
  <c r="AC30" i="20"/>
  <c r="K69" i="18" s="1"/>
  <c r="K96" i="18" s="1"/>
  <c r="AA12" i="18" s="1"/>
  <c r="AQ28" i="20"/>
  <c r="G28" i="20" s="1"/>
  <c r="Y30" i="20"/>
  <c r="H69" i="18" s="1"/>
  <c r="AM28" i="20"/>
  <c r="C28" i="20" s="1"/>
  <c r="U30" i="20"/>
  <c r="U42" i="20" s="1"/>
  <c r="AX80" i="20"/>
  <c r="AJ78" i="20"/>
  <c r="AF78" i="20"/>
  <c r="AB78" i="20"/>
  <c r="X78" i="20"/>
  <c r="K66" i="20"/>
  <c r="AF66" i="20"/>
  <c r="G65" i="20"/>
  <c r="AB65" i="20"/>
  <c r="AJ104" i="20"/>
  <c r="AF104" i="20"/>
  <c r="AB104" i="20"/>
  <c r="X104" i="20"/>
  <c r="AJ100" i="20"/>
  <c r="BB100" i="20" s="1"/>
  <c r="AF100" i="20"/>
  <c r="AX100" i="20" s="1"/>
  <c r="AB100" i="20"/>
  <c r="AT100" i="20" s="1"/>
  <c r="X100" i="20"/>
  <c r="AH92" i="20"/>
  <c r="AD92" i="20"/>
  <c r="Z92" i="20"/>
  <c r="V92" i="20"/>
  <c r="O66" i="20"/>
  <c r="AJ66" i="20"/>
  <c r="K65" i="20"/>
  <c r="AF65" i="20"/>
  <c r="C66" i="20"/>
  <c r="X66" i="20"/>
  <c r="O65" i="20"/>
  <c r="AJ65" i="20"/>
  <c r="O49" i="20"/>
  <c r="D49" i="20"/>
  <c r="O48" i="20"/>
  <c r="R48" i="20" s="1"/>
  <c r="AJ48" i="20"/>
  <c r="BB48" i="20" s="1"/>
  <c r="K44" i="20"/>
  <c r="AF44" i="20"/>
  <c r="AG76" i="20"/>
  <c r="AC76" i="20"/>
  <c r="Y76" i="20"/>
  <c r="U76" i="20"/>
  <c r="AJ64" i="20"/>
  <c r="AF64" i="20"/>
  <c r="AB64" i="20"/>
  <c r="X64" i="20"/>
  <c r="H49" i="20"/>
  <c r="C49" i="20"/>
  <c r="C48" i="20"/>
  <c r="X48" i="20"/>
  <c r="D48" i="20"/>
  <c r="AI61" i="20"/>
  <c r="Q46" i="20"/>
  <c r="AE61" i="20"/>
  <c r="M46" i="20"/>
  <c r="AA61" i="20"/>
  <c r="I46" i="20"/>
  <c r="W61" i="20"/>
  <c r="E46" i="20"/>
  <c r="O44" i="20"/>
  <c r="AJ44" i="20"/>
  <c r="O51" i="20"/>
  <c r="G51" i="20"/>
  <c r="AK50" i="20"/>
  <c r="BC50" i="20" s="1"/>
  <c r="L49" i="20"/>
  <c r="G49" i="20"/>
  <c r="G48" i="20"/>
  <c r="J48" i="20" s="1"/>
  <c r="AB48" i="20"/>
  <c r="AT48" i="20" s="1"/>
  <c r="P46" i="20"/>
  <c r="L46" i="20"/>
  <c r="D46" i="20"/>
  <c r="C44" i="20"/>
  <c r="X44" i="20"/>
  <c r="AI76" i="20"/>
  <c r="AE76" i="20"/>
  <c r="AA76" i="20"/>
  <c r="W76" i="20"/>
  <c r="AG61" i="20"/>
  <c r="P49" i="20"/>
  <c r="K49" i="20"/>
  <c r="K48" i="20"/>
  <c r="N48" i="20" s="1"/>
  <c r="AF48" i="20"/>
  <c r="AX48" i="20" s="1"/>
  <c r="AF47" i="20"/>
  <c r="X47" i="20"/>
  <c r="AK45" i="20"/>
  <c r="BC45" i="20" s="1"/>
  <c r="G44" i="20"/>
  <c r="AB44" i="20"/>
  <c r="R32" i="20"/>
  <c r="K29" i="20"/>
  <c r="AF29" i="20"/>
  <c r="AJ31" i="20"/>
  <c r="AF31" i="20"/>
  <c r="O29" i="20"/>
  <c r="AJ29" i="20"/>
  <c r="AJ49" i="20"/>
  <c r="BB49" i="20" s="1"/>
  <c r="AF49" i="20"/>
  <c r="AX49" i="20" s="1"/>
  <c r="AB49" i="20"/>
  <c r="AT49" i="20" s="1"/>
  <c r="X49" i="20"/>
  <c r="C29" i="20"/>
  <c r="X29" i="20"/>
  <c r="H31" i="20"/>
  <c r="D31" i="20"/>
  <c r="G29" i="20"/>
  <c r="AB29" i="20"/>
  <c r="P27" i="20"/>
  <c r="L27" i="20"/>
  <c r="H27" i="20"/>
  <c r="D27" i="20"/>
  <c r="Q27" i="20"/>
  <c r="G25" i="20"/>
  <c r="AB25" i="20"/>
  <c r="AK11" i="20"/>
  <c r="BC11" i="20" s="1"/>
  <c r="AT11" i="20"/>
  <c r="E27" i="20"/>
  <c r="AJ26" i="20"/>
  <c r="BB26" i="20" s="1"/>
  <c r="AF26" i="20"/>
  <c r="AX26" i="20" s="1"/>
  <c r="AB26" i="20"/>
  <c r="AT26" i="20" s="1"/>
  <c r="K25" i="20"/>
  <c r="AF25" i="20"/>
  <c r="AF27" i="20"/>
  <c r="AB27" i="20"/>
  <c r="O25" i="20"/>
  <c r="AJ25" i="20"/>
  <c r="D26" i="20"/>
  <c r="C25" i="20"/>
  <c r="X25" i="20"/>
  <c r="P10" i="20"/>
  <c r="L10" i="20"/>
  <c r="H10" i="20"/>
  <c r="D10" i="20"/>
  <c r="P9" i="20"/>
  <c r="L9" i="20"/>
  <c r="H9" i="20"/>
  <c r="D9" i="20"/>
  <c r="P8" i="20"/>
  <c r="L8" i="20"/>
  <c r="H8" i="20"/>
  <c r="D8" i="20"/>
  <c r="P7" i="20"/>
  <c r="L7" i="20"/>
  <c r="H7" i="20"/>
  <c r="D7" i="20"/>
  <c r="AJ6" i="20"/>
  <c r="AF6" i="20"/>
  <c r="AB6" i="20"/>
  <c r="X6" i="20"/>
  <c r="I169" i="20" l="1"/>
  <c r="I12" i="20" s="1"/>
  <c r="AS12" i="20" s="1"/>
  <c r="J146" i="17" s="1"/>
  <c r="L124" i="13"/>
  <c r="N124" i="13"/>
  <c r="O124" i="13"/>
  <c r="M124" i="13"/>
  <c r="J123" i="11"/>
  <c r="J117" i="18"/>
  <c r="K117" i="18"/>
  <c r="K123" i="10"/>
  <c r="U9" i="18"/>
  <c r="Z25" i="18"/>
  <c r="X24" i="18"/>
  <c r="AC9" i="18"/>
  <c r="W26" i="18"/>
  <c r="AA9" i="18"/>
  <c r="N8" i="18"/>
  <c r="X27" i="18"/>
  <c r="X26" i="18"/>
  <c r="X9" i="18"/>
  <c r="X25" i="18"/>
  <c r="W23" i="20"/>
  <c r="E92" i="20"/>
  <c r="E125" i="20" s="1"/>
  <c r="AX101" i="20"/>
  <c r="J101" i="20"/>
  <c r="AT101" i="20" s="1"/>
  <c r="R9" i="20"/>
  <c r="F10" i="20"/>
  <c r="G92" i="20"/>
  <c r="J92" i="20" s="1"/>
  <c r="R101" i="20"/>
  <c r="BB101" i="20" s="1"/>
  <c r="W34" i="18"/>
  <c r="W30" i="18"/>
  <c r="J155" i="20"/>
  <c r="AA25" i="18"/>
  <c r="J81" i="20"/>
  <c r="Q138" i="18"/>
  <c r="M169" i="20"/>
  <c r="M12" i="20" s="1"/>
  <c r="S45" i="20"/>
  <c r="J103" i="20"/>
  <c r="G8" i="18"/>
  <c r="J51" i="20"/>
  <c r="AT51" i="20" s="1"/>
  <c r="N103" i="20"/>
  <c r="N9" i="20"/>
  <c r="R99" i="20"/>
  <c r="BB99" i="20" s="1"/>
  <c r="AC33" i="18"/>
  <c r="AC23" i="20"/>
  <c r="AC32" i="18"/>
  <c r="H132" i="18"/>
  <c r="H136" i="18" s="1"/>
  <c r="W31" i="18"/>
  <c r="S154" i="20"/>
  <c r="M8" i="18"/>
  <c r="W32" i="18"/>
  <c r="AC34" i="18"/>
  <c r="W33" i="18"/>
  <c r="AA23" i="20"/>
  <c r="R26" i="20"/>
  <c r="J9" i="20"/>
  <c r="AF61" i="20"/>
  <c r="AC30" i="18"/>
  <c r="AC31" i="18"/>
  <c r="F154" i="20"/>
  <c r="AX117" i="20"/>
  <c r="F8" i="18"/>
  <c r="R65" i="20"/>
  <c r="BB65" i="20" s="1"/>
  <c r="Q61" i="20"/>
  <c r="BA61" i="20" s="1"/>
  <c r="AG23" i="20"/>
  <c r="O92" i="20"/>
  <c r="O125" i="20" s="1"/>
  <c r="F65" i="20"/>
  <c r="AP65" i="20" s="1"/>
  <c r="N155" i="20"/>
  <c r="R155" i="20"/>
  <c r="Z26" i="18"/>
  <c r="AD34" i="18"/>
  <c r="G136" i="18"/>
  <c r="W52" i="18" s="1"/>
  <c r="S50" i="20"/>
  <c r="AA93" i="20"/>
  <c r="F133" i="20"/>
  <c r="AN117" i="20"/>
  <c r="I92" i="20"/>
  <c r="I125" i="20" s="1"/>
  <c r="N51" i="20"/>
  <c r="AX51" i="20" s="1"/>
  <c r="R8" i="20"/>
  <c r="BB8" i="20" s="1"/>
  <c r="F31" i="20"/>
  <c r="AP31" i="20" s="1"/>
  <c r="F101" i="20"/>
  <c r="AP101" i="20" s="1"/>
  <c r="AX115" i="20"/>
  <c r="N190" i="20"/>
  <c r="AX190" i="20" s="1"/>
  <c r="L76" i="20"/>
  <c r="AV76" i="20" s="1"/>
  <c r="M136" i="18"/>
  <c r="AC52" i="18" s="1"/>
  <c r="Q169" i="20"/>
  <c r="Q12" i="20" s="1"/>
  <c r="BA12" i="20" s="1"/>
  <c r="P146" i="17" s="1"/>
  <c r="J47" i="20"/>
  <c r="AT47" i="20" s="1"/>
  <c r="J64" i="20"/>
  <c r="AT64" i="20" s="1"/>
  <c r="L25" i="17" s="1"/>
  <c r="I8" i="18"/>
  <c r="R78" i="20"/>
  <c r="BB78" i="20" s="1"/>
  <c r="AK101" i="20"/>
  <c r="AQ115" i="20"/>
  <c r="K92" i="20"/>
  <c r="K125" i="20" s="1"/>
  <c r="AB28" i="20"/>
  <c r="N64" i="20"/>
  <c r="AX64" i="20" s="1"/>
  <c r="P25" i="17" s="1"/>
  <c r="G117" i="20"/>
  <c r="AQ117" i="20" s="1"/>
  <c r="F191" i="20"/>
  <c r="J168" i="20"/>
  <c r="AT168" i="20" s="1"/>
  <c r="N168" i="20"/>
  <c r="AX168" i="20" s="1"/>
  <c r="AP115" i="20"/>
  <c r="BC115" i="20"/>
  <c r="Z27" i="18"/>
  <c r="AI23" i="20"/>
  <c r="R29" i="20"/>
  <c r="BB29" i="20" s="1"/>
  <c r="AD30" i="18"/>
  <c r="AD33" i="18"/>
  <c r="Z24" i="18"/>
  <c r="AD31" i="18"/>
  <c r="N99" i="20"/>
  <c r="AX99" i="20" s="1"/>
  <c r="BB115" i="20"/>
  <c r="Z9" i="18"/>
  <c r="AD32" i="18"/>
  <c r="J63" i="20"/>
  <c r="AT63" i="20" s="1"/>
  <c r="L26" i="17" s="1"/>
  <c r="E8" i="18"/>
  <c r="Q8" i="18" s="1"/>
  <c r="V10" i="18"/>
  <c r="V30" i="18"/>
  <c r="R64" i="20"/>
  <c r="BB64" i="20" s="1"/>
  <c r="R63" i="20"/>
  <c r="BB63" i="20" s="1"/>
  <c r="E169" i="20"/>
  <c r="E12" i="20" s="1"/>
  <c r="AO12" i="20" s="1"/>
  <c r="G146" i="17" s="1"/>
  <c r="H8" i="18"/>
  <c r="R31" i="20"/>
  <c r="BB31" i="20" s="1"/>
  <c r="R51" i="20"/>
  <c r="BB51" i="20" s="1"/>
  <c r="F66" i="20"/>
  <c r="AP66" i="20" s="1"/>
  <c r="X117" i="20"/>
  <c r="AP117" i="20" s="1"/>
  <c r="AA26" i="18"/>
  <c r="AE33" i="18"/>
  <c r="J78" i="20"/>
  <c r="AT78" i="20" s="1"/>
  <c r="AA27" i="18"/>
  <c r="Q71" i="18"/>
  <c r="H92" i="20"/>
  <c r="H125" i="20" s="1"/>
  <c r="AA24" i="18"/>
  <c r="AE30" i="18"/>
  <c r="F8" i="20"/>
  <c r="AP8" i="20" s="1"/>
  <c r="E61" i="20"/>
  <c r="AO61" i="20" s="1"/>
  <c r="R103" i="20"/>
  <c r="AK79" i="20"/>
  <c r="AK9" i="20"/>
  <c r="BC9" i="20" s="1"/>
  <c r="J26" i="20"/>
  <c r="H61" i="20"/>
  <c r="AR61" i="20" s="1"/>
  <c r="AE31" i="18"/>
  <c r="N191" i="20"/>
  <c r="AK46" i="20"/>
  <c r="AB10" i="18"/>
  <c r="Q92" i="20"/>
  <c r="Q125" i="20" s="1"/>
  <c r="AE32" i="18"/>
  <c r="F47" i="20"/>
  <c r="AP47" i="20" s="1"/>
  <c r="J31" i="20"/>
  <c r="AT31" i="20" s="1"/>
  <c r="AE34" i="18"/>
  <c r="AA38" i="18"/>
  <c r="U24" i="18"/>
  <c r="K8" i="18"/>
  <c r="M92" i="20"/>
  <c r="M125" i="20" s="1"/>
  <c r="U26" i="18"/>
  <c r="L8" i="18"/>
  <c r="P76" i="20"/>
  <c r="AZ76" i="20" s="1"/>
  <c r="N136" i="18"/>
  <c r="AB31" i="18"/>
  <c r="R6" i="20"/>
  <c r="BB6" i="20" s="1"/>
  <c r="H169" i="20"/>
  <c r="H12" i="20" s="1"/>
  <c r="H23" i="20" s="1"/>
  <c r="AB32" i="18"/>
  <c r="AB33" i="18"/>
  <c r="L169" i="20"/>
  <c r="L12" i="20" s="1"/>
  <c r="L23" i="20" s="1"/>
  <c r="AB34" i="18"/>
  <c r="AK51" i="20"/>
  <c r="Q140" i="18"/>
  <c r="Q128" i="18"/>
  <c r="W27" i="18"/>
  <c r="G33" i="19"/>
  <c r="G35" i="19"/>
  <c r="H35" i="19"/>
  <c r="H33" i="19"/>
  <c r="AC24" i="18"/>
  <c r="J35" i="19"/>
  <c r="J33" i="19"/>
  <c r="AZ117" i="20"/>
  <c r="Q66" i="18"/>
  <c r="F63" i="20"/>
  <c r="AP63" i="20" s="1"/>
  <c r="AU115" i="20"/>
  <c r="H76" i="20"/>
  <c r="AR76" i="20" s="1"/>
  <c r="I24" i="19"/>
  <c r="Q24" i="19" s="1"/>
  <c r="K136" i="18"/>
  <c r="AA52" i="18" s="1"/>
  <c r="J136" i="18"/>
  <c r="J134" i="18"/>
  <c r="J8" i="18" s="1"/>
  <c r="J29" i="20"/>
  <c r="AT29" i="20" s="1"/>
  <c r="J66" i="20"/>
  <c r="AT66" i="20" s="1"/>
  <c r="AS169" i="20"/>
  <c r="AC26" i="18"/>
  <c r="W24" i="18"/>
  <c r="E132" i="18"/>
  <c r="E136" i="18" s="1"/>
  <c r="F78" i="20"/>
  <c r="AP78" i="20" s="1"/>
  <c r="E33" i="19"/>
  <c r="E35" i="19"/>
  <c r="E3" i="19" s="1"/>
  <c r="AC25" i="18"/>
  <c r="R10" i="20"/>
  <c r="AC27" i="18"/>
  <c r="W9" i="18"/>
  <c r="N6" i="20"/>
  <c r="AX6" i="20" s="1"/>
  <c r="Q127" i="18"/>
  <c r="AK7" i="20"/>
  <c r="BC7" i="20" s="1"/>
  <c r="AJ61" i="20"/>
  <c r="AK8" i="20"/>
  <c r="AT115" i="20"/>
  <c r="N31" i="20"/>
  <c r="F81" i="20"/>
  <c r="X169" i="20"/>
  <c r="AP9" i="20"/>
  <c r="I105" i="20"/>
  <c r="I106" i="20" s="1"/>
  <c r="J104" i="20"/>
  <c r="Q76" i="20"/>
  <c r="BA76" i="20" s="1"/>
  <c r="AK166" i="20"/>
  <c r="N8" i="20"/>
  <c r="AX8" i="20" s="1"/>
  <c r="AE23" i="20"/>
  <c r="M61" i="20"/>
  <c r="AW61" i="20" s="1"/>
  <c r="N104" i="20"/>
  <c r="AX104" i="20" s="1"/>
  <c r="AM115" i="20"/>
  <c r="W25" i="18"/>
  <c r="F64" i="20"/>
  <c r="AP64" i="20" s="1"/>
  <c r="H25" i="17" s="1"/>
  <c r="F33" i="19"/>
  <c r="F35" i="19"/>
  <c r="G157" i="20"/>
  <c r="G160" i="20" s="1"/>
  <c r="G136" i="20" s="1"/>
  <c r="F6" i="20"/>
  <c r="AP6" i="20" s="1"/>
  <c r="F51" i="20"/>
  <c r="AP51" i="20" s="1"/>
  <c r="Q67" i="18"/>
  <c r="N26" i="20"/>
  <c r="N78" i="20"/>
  <c r="AX78" i="20" s="1"/>
  <c r="F143" i="18"/>
  <c r="Q143" i="18" s="1"/>
  <c r="F168" i="20"/>
  <c r="AP168" i="20" s="1"/>
  <c r="D76" i="20"/>
  <c r="AN76" i="20" s="1"/>
  <c r="L9" i="19"/>
  <c r="U25" i="18"/>
  <c r="U27" i="18"/>
  <c r="Q65" i="18"/>
  <c r="Q142" i="18"/>
  <c r="H96" i="18"/>
  <c r="X37" i="18" s="1"/>
  <c r="Q26" i="18"/>
  <c r="Q39" i="18"/>
  <c r="D174" i="20"/>
  <c r="D129" i="20" s="1"/>
  <c r="E173" i="20"/>
  <c r="E174" i="20" s="1"/>
  <c r="E129" i="20" s="1"/>
  <c r="AF28" i="20"/>
  <c r="M114" i="18"/>
  <c r="P114" i="18"/>
  <c r="AJ28" i="20"/>
  <c r="AD42" i="20"/>
  <c r="L69" i="18"/>
  <c r="L96" i="18" s="1"/>
  <c r="AB38" i="18" s="1"/>
  <c r="Q24" i="18"/>
  <c r="P48" i="18"/>
  <c r="P50" i="18"/>
  <c r="L92" i="20"/>
  <c r="L125" i="20" s="1"/>
  <c r="J99" i="20"/>
  <c r="AT99" i="20" s="1"/>
  <c r="AB117" i="20"/>
  <c r="AT117" i="20" s="1"/>
  <c r="BB117" i="20"/>
  <c r="AP166" i="20"/>
  <c r="N167" i="20"/>
  <c r="R190" i="20"/>
  <c r="BB190" i="20" s="1"/>
  <c r="AP167" i="20"/>
  <c r="V34" i="18"/>
  <c r="J50" i="18"/>
  <c r="J48" i="18"/>
  <c r="K50" i="18"/>
  <c r="K48" i="18"/>
  <c r="P33" i="18"/>
  <c r="Q116" i="18"/>
  <c r="AE93" i="20"/>
  <c r="R66" i="20"/>
  <c r="BB66" i="20" s="1"/>
  <c r="R104" i="20"/>
  <c r="BB104" i="20" s="1"/>
  <c r="AK10" i="20"/>
  <c r="BC10" i="20" s="1"/>
  <c r="N27" i="20"/>
  <c r="AX27" i="20" s="1"/>
  <c r="N29" i="20"/>
  <c r="AI93" i="20"/>
  <c r="J49" i="20"/>
  <c r="AC42" i="20"/>
  <c r="Z42" i="20"/>
  <c r="I69" i="18"/>
  <c r="I96" i="18" s="1"/>
  <c r="AH42" i="20"/>
  <c r="O69" i="18"/>
  <c r="O96" i="18" s="1"/>
  <c r="E124" i="20"/>
  <c r="E128" i="20" s="1"/>
  <c r="K169" i="20"/>
  <c r="K12" i="20" s="1"/>
  <c r="K23" i="20" s="1"/>
  <c r="AJ12" i="20"/>
  <c r="R168" i="20"/>
  <c r="BB168" i="20" s="1"/>
  <c r="AA39" i="18"/>
  <c r="AA37" i="18"/>
  <c r="V32" i="18"/>
  <c r="V33" i="18"/>
  <c r="R47" i="20"/>
  <c r="BB47" i="20" s="1"/>
  <c r="R81" i="20"/>
  <c r="S126" i="20"/>
  <c r="AK81" i="20"/>
  <c r="BC81" i="20" s="1"/>
  <c r="Q36" i="18"/>
  <c r="I48" i="18"/>
  <c r="I50" i="18"/>
  <c r="H49" i="18"/>
  <c r="Q49" i="18" s="1"/>
  <c r="H50" i="18"/>
  <c r="P135" i="18"/>
  <c r="P136" i="18"/>
  <c r="L35" i="18"/>
  <c r="L33" i="18"/>
  <c r="I35" i="18"/>
  <c r="O33" i="18"/>
  <c r="F9" i="20"/>
  <c r="X61" i="20"/>
  <c r="J65" i="20"/>
  <c r="AT65" i="20" s="1"/>
  <c r="F29" i="20"/>
  <c r="AP29" i="20" s="1"/>
  <c r="S32" i="20"/>
  <c r="AB61" i="20"/>
  <c r="F48" i="20"/>
  <c r="S48" i="20" s="1"/>
  <c r="AG42" i="20"/>
  <c r="N69" i="18"/>
  <c r="N96" i="18" s="1"/>
  <c r="D169" i="20"/>
  <c r="D12" i="20" s="1"/>
  <c r="D23" i="20" s="1"/>
  <c r="K117" i="20"/>
  <c r="AU117" i="20" s="1"/>
  <c r="F190" i="20"/>
  <c r="AP190" i="20" s="1"/>
  <c r="V31" i="18"/>
  <c r="W11" i="18"/>
  <c r="I76" i="20"/>
  <c r="AS76" i="20" s="1"/>
  <c r="N81" i="20"/>
  <c r="Q30" i="18"/>
  <c r="O134" i="18"/>
  <c r="O136" i="18"/>
  <c r="Q141" i="18"/>
  <c r="Q25" i="18"/>
  <c r="F33" i="18"/>
  <c r="F35" i="18"/>
  <c r="U31" i="18"/>
  <c r="U30" i="18"/>
  <c r="U33" i="18"/>
  <c r="U34" i="18"/>
  <c r="U32" i="18"/>
  <c r="U10" i="18"/>
  <c r="P169" i="20"/>
  <c r="P12" i="20" s="1"/>
  <c r="AZ12" i="20" s="1"/>
  <c r="O146" i="17" s="1"/>
  <c r="R166" i="20"/>
  <c r="BB166" i="20" s="1"/>
  <c r="R7" i="20"/>
  <c r="J79" i="20"/>
  <c r="AT79" i="20" s="1"/>
  <c r="L117" i="20"/>
  <c r="AV117" i="20" s="1"/>
  <c r="AV115" i="20"/>
  <c r="AG117" i="20"/>
  <c r="AY117" i="20" s="1"/>
  <c r="AY115" i="20"/>
  <c r="AS92" i="20"/>
  <c r="AO115" i="20"/>
  <c r="J6" i="20"/>
  <c r="M76" i="20"/>
  <c r="AW76" i="20" s="1"/>
  <c r="N63" i="20"/>
  <c r="G76" i="20"/>
  <c r="G93" i="20" s="1"/>
  <c r="G169" i="20"/>
  <c r="J167" i="20"/>
  <c r="BA115" i="20"/>
  <c r="Q117" i="20"/>
  <c r="J8" i="20"/>
  <c r="AT8" i="20" s="1"/>
  <c r="J10" i="20"/>
  <c r="F27" i="20"/>
  <c r="AP27" i="20" s="1"/>
  <c r="F46" i="20"/>
  <c r="AP46" i="20" s="1"/>
  <c r="F49" i="20"/>
  <c r="R49" i="20"/>
  <c r="N65" i="20"/>
  <c r="AX65" i="20" s="1"/>
  <c r="F104" i="20"/>
  <c r="AP104" i="20" s="1"/>
  <c r="P92" i="20"/>
  <c r="P125" i="20" s="1"/>
  <c r="S80" i="20"/>
  <c r="F103" i="20"/>
  <c r="S140" i="20"/>
  <c r="AS115" i="20"/>
  <c r="I117" i="20"/>
  <c r="N10" i="20"/>
  <c r="N49" i="20"/>
  <c r="W93" i="20"/>
  <c r="L61" i="20"/>
  <c r="AV61" i="20" s="1"/>
  <c r="K76" i="20"/>
  <c r="K93" i="20" s="1"/>
  <c r="AR92" i="20"/>
  <c r="N66" i="20"/>
  <c r="D92" i="20"/>
  <c r="D125" i="20" s="1"/>
  <c r="R191" i="20"/>
  <c r="E76" i="20"/>
  <c r="AO76" i="20" s="1"/>
  <c r="AK168" i="20"/>
  <c r="I23" i="20"/>
  <c r="AK63" i="20"/>
  <c r="AZ115" i="20"/>
  <c r="S98" i="20"/>
  <c r="J190" i="20"/>
  <c r="AT190" i="20" s="1"/>
  <c r="N47" i="20"/>
  <c r="AX47" i="20" s="1"/>
  <c r="AR115" i="20"/>
  <c r="H117" i="20"/>
  <c r="AR117" i="20" s="1"/>
  <c r="AN115" i="20"/>
  <c r="AW115" i="20"/>
  <c r="M117" i="20"/>
  <c r="AO117" i="20"/>
  <c r="G105" i="20"/>
  <c r="G106" i="20" s="1"/>
  <c r="J100" i="20"/>
  <c r="E105" i="20"/>
  <c r="E106" i="20" s="1"/>
  <c r="R102" i="20"/>
  <c r="BB102" i="20" s="1"/>
  <c r="K105" i="20"/>
  <c r="K106" i="20" s="1"/>
  <c r="N100" i="20"/>
  <c r="R100" i="20"/>
  <c r="O105" i="20"/>
  <c r="O106" i="20" s="1"/>
  <c r="M105" i="20"/>
  <c r="M106" i="20" s="1"/>
  <c r="F102" i="20"/>
  <c r="AP102" i="20" s="1"/>
  <c r="Q105" i="20"/>
  <c r="Q106" i="20" s="1"/>
  <c r="AK29" i="20"/>
  <c r="AK27" i="20"/>
  <c r="AK31" i="20"/>
  <c r="AF76" i="20"/>
  <c r="AC93" i="20"/>
  <c r="D61" i="20"/>
  <c r="AN61" i="20" s="1"/>
  <c r="G30" i="20"/>
  <c r="G42" i="20" s="1"/>
  <c r="Y183" i="20"/>
  <c r="Y184" i="20"/>
  <c r="G184" i="20" s="1"/>
  <c r="AF92" i="20"/>
  <c r="N79" i="20"/>
  <c r="AX79" i="20" s="1"/>
  <c r="J102" i="20"/>
  <c r="AT102" i="20" s="1"/>
  <c r="Z106" i="20"/>
  <c r="AA106" i="20"/>
  <c r="AF105" i="20"/>
  <c r="AQ92" i="20"/>
  <c r="AC106" i="20"/>
  <c r="C135" i="20"/>
  <c r="F136" i="20"/>
  <c r="C161" i="20"/>
  <c r="F147" i="20"/>
  <c r="C149" i="20"/>
  <c r="C139" i="20" s="1"/>
  <c r="AF169" i="20"/>
  <c r="AX167" i="20"/>
  <c r="AE9" i="19"/>
  <c r="AR180" i="20"/>
  <c r="AQ185" i="20"/>
  <c r="N7" i="19"/>
  <c r="N10" i="19" s="1"/>
  <c r="N9" i="19"/>
  <c r="K7" i="19"/>
  <c r="K10" i="19" s="1"/>
  <c r="K9" i="19"/>
  <c r="AK25" i="20"/>
  <c r="F7" i="20"/>
  <c r="F25" i="20"/>
  <c r="AK47" i="20"/>
  <c r="R44" i="20"/>
  <c r="BB44" i="20" s="1"/>
  <c r="O61" i="20"/>
  <c r="J46" i="20"/>
  <c r="AT46" i="20" s="1"/>
  <c r="I61" i="20"/>
  <c r="AS61" i="20" s="1"/>
  <c r="AJ76" i="20"/>
  <c r="AG93" i="20"/>
  <c r="N46" i="20"/>
  <c r="AX46" i="20" s="1"/>
  <c r="AK78" i="20"/>
  <c r="K30" i="20"/>
  <c r="K42" i="20" s="1"/>
  <c r="AC184" i="20"/>
  <c r="K184" i="20" s="1"/>
  <c r="AC183" i="20"/>
  <c r="AK65" i="20"/>
  <c r="F79" i="20"/>
  <c r="AJ92" i="20"/>
  <c r="F100" i="20"/>
  <c r="C105" i="20"/>
  <c r="C106" i="20" s="1"/>
  <c r="Y106" i="20"/>
  <c r="P105" i="20"/>
  <c r="AK102" i="20"/>
  <c r="AY92" i="20"/>
  <c r="H105" i="20"/>
  <c r="H106" i="20" s="1"/>
  <c r="AI106" i="20"/>
  <c r="C155" i="20"/>
  <c r="F144" i="20"/>
  <c r="AB169" i="20"/>
  <c r="AT167" i="20"/>
  <c r="O124" i="20"/>
  <c r="C169" i="20"/>
  <c r="F167" i="20"/>
  <c r="R147" i="20"/>
  <c r="R149" i="20" s="1"/>
  <c r="O149" i="20"/>
  <c r="O139" i="20" s="1"/>
  <c r="V12" i="20"/>
  <c r="F132" i="18" s="1"/>
  <c r="F136" i="18" s="1"/>
  <c r="V53" i="18" s="1"/>
  <c r="AC9" i="19"/>
  <c r="O7" i="19"/>
  <c r="O10" i="19" s="1"/>
  <c r="O9" i="19"/>
  <c r="N25" i="20"/>
  <c r="AX25" i="20" s="1"/>
  <c r="F26" i="20"/>
  <c r="N7" i="20"/>
  <c r="J25" i="20"/>
  <c r="AT25" i="20" s="1"/>
  <c r="AK49" i="20"/>
  <c r="BC49" i="20" s="1"/>
  <c r="AP49" i="20"/>
  <c r="J27" i="20"/>
  <c r="AT27" i="20" s="1"/>
  <c r="AK44" i="20"/>
  <c r="R46" i="20"/>
  <c r="BB46" i="20" s="1"/>
  <c r="AK48" i="20"/>
  <c r="BC48" i="20" s="1"/>
  <c r="AP48" i="20"/>
  <c r="AK64" i="20"/>
  <c r="X76" i="20"/>
  <c r="U93" i="20"/>
  <c r="N44" i="20"/>
  <c r="AX44" i="20" s="1"/>
  <c r="K61" i="20"/>
  <c r="AK100" i="20"/>
  <c r="BC100" i="20" s="1"/>
  <c r="AP100" i="20"/>
  <c r="AK104" i="20"/>
  <c r="P61" i="20"/>
  <c r="AZ61" i="20" s="1"/>
  <c r="X92" i="20"/>
  <c r="D105" i="20"/>
  <c r="AE106" i="20"/>
  <c r="AJ105" i="20"/>
  <c r="AO92" i="20"/>
  <c r="W106" i="20"/>
  <c r="AG106" i="20"/>
  <c r="R79" i="20"/>
  <c r="BB79" i="20" s="1"/>
  <c r="AB105" i="20"/>
  <c r="E157" i="20"/>
  <c r="N147" i="20"/>
  <c r="N149" i="20" s="1"/>
  <c r="K149" i="20"/>
  <c r="K139" i="20" s="1"/>
  <c r="AJ169" i="20"/>
  <c r="U94" i="20"/>
  <c r="Z12" i="20"/>
  <c r="I132" i="18" s="1"/>
  <c r="I136" i="18" s="1"/>
  <c r="M7" i="19"/>
  <c r="M10" i="19" s="1"/>
  <c r="M9" i="19"/>
  <c r="C129" i="20"/>
  <c r="F129" i="20" s="1"/>
  <c r="AB9" i="19"/>
  <c r="P10" i="19"/>
  <c r="P9" i="19"/>
  <c r="AK6" i="20"/>
  <c r="J7" i="20"/>
  <c r="R25" i="20"/>
  <c r="BB25" i="20" s="1"/>
  <c r="R27" i="20"/>
  <c r="BB27" i="20" s="1"/>
  <c r="AK26" i="20"/>
  <c r="BC26" i="20" s="1"/>
  <c r="J44" i="20"/>
  <c r="AT44" i="20" s="1"/>
  <c r="G61" i="20"/>
  <c r="F44" i="20"/>
  <c r="C61" i="20"/>
  <c r="AB76" i="20"/>
  <c r="Y93" i="20"/>
  <c r="AK66" i="20"/>
  <c r="C76" i="20"/>
  <c r="C30" i="20"/>
  <c r="U183" i="20"/>
  <c r="U184" i="20"/>
  <c r="C184" i="20" s="1"/>
  <c r="E69" i="18"/>
  <c r="Y42" i="20"/>
  <c r="O30" i="20"/>
  <c r="AG184" i="20"/>
  <c r="O184" i="20" s="1"/>
  <c r="AG183" i="20"/>
  <c r="O76" i="20"/>
  <c r="AB92" i="20"/>
  <c r="D30" i="20"/>
  <c r="D42" i="20" s="1"/>
  <c r="V184" i="20"/>
  <c r="D184" i="20" s="1"/>
  <c r="V183" i="20"/>
  <c r="F69" i="18"/>
  <c r="F96" i="18" s="1"/>
  <c r="H30" i="20"/>
  <c r="H42" i="20" s="1"/>
  <c r="Z183" i="20"/>
  <c r="Z184" i="20"/>
  <c r="H184" i="20" s="1"/>
  <c r="L30" i="20"/>
  <c r="L42" i="20" s="1"/>
  <c r="AD183" i="20"/>
  <c r="AD184" i="20"/>
  <c r="L184" i="20" s="1"/>
  <c r="P30" i="20"/>
  <c r="P42" i="20" s="1"/>
  <c r="AH184" i="20"/>
  <c r="P184" i="20" s="1"/>
  <c r="AH183" i="20"/>
  <c r="AK99" i="20"/>
  <c r="X105" i="20"/>
  <c r="AA30" i="20"/>
  <c r="AS28" i="20"/>
  <c r="I28" i="20" s="1"/>
  <c r="AU92" i="20"/>
  <c r="U106" i="20"/>
  <c r="AO28" i="20"/>
  <c r="E28" i="20" s="1"/>
  <c r="W30" i="20"/>
  <c r="G114" i="18"/>
  <c r="C92" i="20"/>
  <c r="L105" i="20"/>
  <c r="BA28" i="20"/>
  <c r="Q28" i="20" s="1"/>
  <c r="AI30" i="20"/>
  <c r="AI183" i="20" s="1"/>
  <c r="D161" i="20"/>
  <c r="D135" i="20"/>
  <c r="D134" i="20" s="1"/>
  <c r="F99" i="20"/>
  <c r="AP99" i="20" s="1"/>
  <c r="N102" i="20"/>
  <c r="AX102" i="20" s="1"/>
  <c r="AK103" i="20"/>
  <c r="BC103" i="20" s="1"/>
  <c r="AP103" i="20"/>
  <c r="AW28" i="20"/>
  <c r="M28" i="20" s="1"/>
  <c r="AE30" i="20"/>
  <c r="AM117" i="20"/>
  <c r="C124" i="20"/>
  <c r="D124" i="20"/>
  <c r="D128" i="20" s="1"/>
  <c r="P124" i="20"/>
  <c r="P128" i="20" s="1"/>
  <c r="BC117" i="20"/>
  <c r="J132" i="20"/>
  <c r="G133" i="20"/>
  <c r="H132" i="20" s="1"/>
  <c r="H133" i="20" s="1"/>
  <c r="I132" i="20" s="1"/>
  <c r="I133" i="20" s="1"/>
  <c r="O169" i="20"/>
  <c r="R167" i="20"/>
  <c r="J147" i="20"/>
  <c r="J149" i="20" s="1"/>
  <c r="G149" i="20"/>
  <c r="G139" i="20" s="1"/>
  <c r="N166" i="20"/>
  <c r="J166" i="20"/>
  <c r="AD12" i="20"/>
  <c r="L132" i="18" s="1"/>
  <c r="L136" i="18" s="1"/>
  <c r="AK191" i="20"/>
  <c r="BC191" i="20" s="1"/>
  <c r="AP191" i="20"/>
  <c r="F166" i="20"/>
  <c r="AA9" i="19"/>
  <c r="AH23" i="20"/>
  <c r="AD9" i="19"/>
  <c r="AK167" i="20"/>
  <c r="BC167" i="20" s="1"/>
  <c r="AK190" i="20"/>
  <c r="P124" i="13" l="1"/>
  <c r="K123" i="9"/>
  <c r="Q123" i="10"/>
  <c r="P117" i="18"/>
  <c r="P118" i="10"/>
  <c r="M117" i="18"/>
  <c r="M118" i="10"/>
  <c r="K20" i="18"/>
  <c r="K162" i="17" s="1"/>
  <c r="H20" i="18"/>
  <c r="H162" i="17" s="1"/>
  <c r="L20" i="18"/>
  <c r="L162" i="17" s="1"/>
  <c r="F20" i="18"/>
  <c r="F162" i="17" s="1"/>
  <c r="I20" i="18"/>
  <c r="W13" i="18"/>
  <c r="X28" i="18"/>
  <c r="AS23" i="20"/>
  <c r="G125" i="20"/>
  <c r="J125" i="20" s="1"/>
  <c r="AW105" i="20"/>
  <c r="AW169" i="20"/>
  <c r="AG94" i="20"/>
  <c r="AG107" i="20" s="1"/>
  <c r="S101" i="20"/>
  <c r="BC101" i="20" s="1"/>
  <c r="S9" i="20"/>
  <c r="Q93" i="20"/>
  <c r="BA93" i="20" s="1"/>
  <c r="L24" i="17"/>
  <c r="AC35" i="18"/>
  <c r="AN169" i="20"/>
  <c r="S103" i="20"/>
  <c r="M10" i="18"/>
  <c r="G124" i="20"/>
  <c r="G128" i="20" s="1"/>
  <c r="D127" i="20"/>
  <c r="K124" i="20"/>
  <c r="K128" i="20" s="1"/>
  <c r="AC54" i="18"/>
  <c r="W35" i="18"/>
  <c r="AC94" i="20"/>
  <c r="AC107" i="20" s="1"/>
  <c r="G10" i="18"/>
  <c r="W53" i="18"/>
  <c r="L93" i="20"/>
  <c r="AV93" i="20" s="1"/>
  <c r="W54" i="18"/>
  <c r="Z28" i="18"/>
  <c r="AO169" i="20"/>
  <c r="Q114" i="18"/>
  <c r="S64" i="20"/>
  <c r="BC64" i="20" s="1"/>
  <c r="BA169" i="20"/>
  <c r="P93" i="20"/>
  <c r="AZ93" i="20" s="1"/>
  <c r="S191" i="20"/>
  <c r="AC53" i="18"/>
  <c r="Q23" i="20"/>
  <c r="BA23" i="20" s="1"/>
  <c r="AD35" i="18"/>
  <c r="S31" i="20"/>
  <c r="BC31" i="20" s="1"/>
  <c r="E23" i="20"/>
  <c r="AO23" i="20" s="1"/>
  <c r="S63" i="20"/>
  <c r="AK28" i="20"/>
  <c r="AC13" i="18"/>
  <c r="AW92" i="20"/>
  <c r="AA28" i="18"/>
  <c r="AX31" i="20"/>
  <c r="AQ76" i="20"/>
  <c r="S26" i="20"/>
  <c r="AY106" i="20"/>
  <c r="AR169" i="20"/>
  <c r="BA105" i="20"/>
  <c r="AE35" i="18"/>
  <c r="AB35" i="18"/>
  <c r="S6" i="20"/>
  <c r="BC6" i="20" s="1"/>
  <c r="AO105" i="20"/>
  <c r="BA92" i="20"/>
  <c r="N76" i="20"/>
  <c r="AX76" i="20" s="1"/>
  <c r="S65" i="20"/>
  <c r="BC65" i="20" s="1"/>
  <c r="AV169" i="20"/>
  <c r="AU12" i="20"/>
  <c r="K146" i="17" s="1"/>
  <c r="U28" i="18"/>
  <c r="AC28" i="18"/>
  <c r="E10" i="18"/>
  <c r="Q10" i="18" s="1"/>
  <c r="U13" i="18"/>
  <c r="U52" i="18"/>
  <c r="AD13" i="18"/>
  <c r="AD54" i="18"/>
  <c r="N10" i="18"/>
  <c r="AD53" i="18"/>
  <c r="AD52" i="18"/>
  <c r="W28" i="18"/>
  <c r="S66" i="20"/>
  <c r="BC66" i="20" s="1"/>
  <c r="S10" i="20"/>
  <c r="AS105" i="20"/>
  <c r="S81" i="20"/>
  <c r="X12" i="18"/>
  <c r="AV92" i="20"/>
  <c r="H10" i="18"/>
  <c r="X52" i="18"/>
  <c r="X54" i="18"/>
  <c r="X13" i="18"/>
  <c r="X53" i="18"/>
  <c r="J105" i="20"/>
  <c r="AT105" i="20" s="1"/>
  <c r="S104" i="20"/>
  <c r="BC104" i="20" s="1"/>
  <c r="AH94" i="20"/>
  <c r="AH107" i="20" s="1"/>
  <c r="R105" i="20"/>
  <c r="BB105" i="20" s="1"/>
  <c r="P23" i="20"/>
  <c r="P94" i="20" s="1"/>
  <c r="U53" i="18"/>
  <c r="AZ42" i="20"/>
  <c r="AW106" i="20"/>
  <c r="AM105" i="20"/>
  <c r="D93" i="20"/>
  <c r="AN93" i="20" s="1"/>
  <c r="AT104" i="20"/>
  <c r="S44" i="20"/>
  <c r="BC44" i="20" s="1"/>
  <c r="AX63" i="20"/>
  <c r="X39" i="18"/>
  <c r="U54" i="18"/>
  <c r="S51" i="20"/>
  <c r="BC51" i="20" s="1"/>
  <c r="AU169" i="20"/>
  <c r="AQ105" i="20"/>
  <c r="H93" i="20"/>
  <c r="AR93" i="20" s="1"/>
  <c r="S168" i="20"/>
  <c r="BC168" i="20" s="1"/>
  <c r="R169" i="20"/>
  <c r="BB169" i="20" s="1"/>
  <c r="AX66" i="20"/>
  <c r="AY105" i="20"/>
  <c r="AQ106" i="20"/>
  <c r="S78" i="20"/>
  <c r="BC78" i="20" s="1"/>
  <c r="S29" i="20"/>
  <c r="BC29" i="20" s="1"/>
  <c r="U3" i="19"/>
  <c r="U9" i="19" s="1"/>
  <c r="AE11" i="19" s="1"/>
  <c r="J3" i="19"/>
  <c r="Z3" i="19"/>
  <c r="Z9" i="19" s="1"/>
  <c r="Z52" i="18"/>
  <c r="Z54" i="18"/>
  <c r="J10" i="18"/>
  <c r="Z13" i="18"/>
  <c r="Z53" i="18"/>
  <c r="H24" i="17"/>
  <c r="H26" i="17"/>
  <c r="AO106" i="20"/>
  <c r="N125" i="20"/>
  <c r="AS106" i="20"/>
  <c r="AA53" i="18"/>
  <c r="K10" i="18"/>
  <c r="AA13" i="18"/>
  <c r="AA54" i="18"/>
  <c r="N169" i="20"/>
  <c r="AX169" i="20" s="1"/>
  <c r="BA106" i="20"/>
  <c r="N92" i="20"/>
  <c r="AX92" i="20" s="1"/>
  <c r="E127" i="20"/>
  <c r="I35" i="19"/>
  <c r="I33" i="19"/>
  <c r="Q33" i="19" s="1"/>
  <c r="X3" i="19"/>
  <c r="X9" i="19" s="1"/>
  <c r="H3" i="19"/>
  <c r="G3" i="19"/>
  <c r="W3" i="19"/>
  <c r="W9" i="19" s="1"/>
  <c r="V3" i="19"/>
  <c r="V9" i="19" s="1"/>
  <c r="F3" i="19"/>
  <c r="V13" i="18"/>
  <c r="Q33" i="18"/>
  <c r="Q48" i="18"/>
  <c r="V54" i="18"/>
  <c r="F10" i="18"/>
  <c r="Q50" i="18"/>
  <c r="Q132" i="18"/>
  <c r="V35" i="18"/>
  <c r="X38" i="18"/>
  <c r="I30" i="20"/>
  <c r="I42" i="20" s="1"/>
  <c r="J42" i="20" s="1"/>
  <c r="J69" i="18"/>
  <c r="J96" i="18" s="1"/>
  <c r="J20" i="18" s="1"/>
  <c r="J162" i="17" s="1"/>
  <c r="AU93" i="20"/>
  <c r="AB9" i="18"/>
  <c r="AB26" i="18"/>
  <c r="AB27" i="18"/>
  <c r="AB24" i="18"/>
  <c r="AB25" i="18"/>
  <c r="Q30" i="20"/>
  <c r="R30" i="20" s="1"/>
  <c r="P69" i="18"/>
  <c r="P96" i="18" s="1"/>
  <c r="J76" i="20"/>
  <c r="G173" i="20"/>
  <c r="G174" i="20" s="1"/>
  <c r="AZ169" i="20"/>
  <c r="V52" i="18"/>
  <c r="V25" i="18"/>
  <c r="V24" i="18"/>
  <c r="V26" i="18"/>
  <c r="V27" i="18"/>
  <c r="V9" i="18"/>
  <c r="AE53" i="18"/>
  <c r="AE52" i="18"/>
  <c r="AE13" i="18"/>
  <c r="AE54" i="18"/>
  <c r="O10" i="18"/>
  <c r="AF52" i="18"/>
  <c r="AF13" i="18"/>
  <c r="P10" i="18"/>
  <c r="AF53" i="18"/>
  <c r="AF54" i="18"/>
  <c r="Y34" i="18"/>
  <c r="Y32" i="18"/>
  <c r="Y30" i="18"/>
  <c r="Y33" i="18"/>
  <c r="Y10" i="18"/>
  <c r="Y41" i="18"/>
  <c r="Y31" i="18"/>
  <c r="AE12" i="18"/>
  <c r="AE37" i="18"/>
  <c r="AE39" i="18"/>
  <c r="AE41" i="18"/>
  <c r="AE38" i="18"/>
  <c r="AX29" i="20"/>
  <c r="AA10" i="18"/>
  <c r="AA31" i="18"/>
  <c r="AA32" i="18"/>
  <c r="AA34" i="18"/>
  <c r="AA41" i="18"/>
  <c r="AA30" i="18"/>
  <c r="AA33" i="18"/>
  <c r="F173" i="20"/>
  <c r="AK169" i="20"/>
  <c r="AT92" i="20"/>
  <c r="F174" i="20"/>
  <c r="Y54" i="18"/>
  <c r="Y13" i="18"/>
  <c r="Y53" i="18"/>
  <c r="I10" i="18"/>
  <c r="Y52" i="18"/>
  <c r="AU106" i="20"/>
  <c r="R125" i="20"/>
  <c r="S47" i="20"/>
  <c r="BC47" i="20" s="1"/>
  <c r="O8" i="18"/>
  <c r="Q134" i="18"/>
  <c r="AD12" i="18"/>
  <c r="AD37" i="18"/>
  <c r="AD39" i="18"/>
  <c r="AD41" i="18"/>
  <c r="AD38" i="18"/>
  <c r="Y24" i="18"/>
  <c r="Y25" i="18"/>
  <c r="Y26" i="18"/>
  <c r="Y27" i="18"/>
  <c r="Y9" i="18"/>
  <c r="Q135" i="18"/>
  <c r="P8" i="18"/>
  <c r="Z10" i="18"/>
  <c r="Z31" i="18"/>
  <c r="Z34" i="18"/>
  <c r="Z32" i="18"/>
  <c r="Z30" i="18"/>
  <c r="Z33" i="18"/>
  <c r="AF10" i="18"/>
  <c r="AF33" i="18"/>
  <c r="AF31" i="18"/>
  <c r="AF34" i="18"/>
  <c r="AF32" i="18"/>
  <c r="AF30" i="18"/>
  <c r="M30" i="20"/>
  <c r="N30" i="20" s="1"/>
  <c r="M69" i="18"/>
  <c r="M96" i="18" s="1"/>
  <c r="L10" i="18"/>
  <c r="AB54" i="18"/>
  <c r="AB52" i="18"/>
  <c r="AB13" i="18"/>
  <c r="AB53" i="18"/>
  <c r="R92" i="20"/>
  <c r="BB92" i="20" s="1"/>
  <c r="S190" i="20"/>
  <c r="BC190" i="20" s="1"/>
  <c r="AN92" i="20"/>
  <c r="S49" i="20"/>
  <c r="Q136" i="18"/>
  <c r="X30" i="18"/>
  <c r="X10" i="18"/>
  <c r="X41" i="18"/>
  <c r="X33" i="18"/>
  <c r="X31" i="18"/>
  <c r="X34" i="18"/>
  <c r="X32" i="18"/>
  <c r="Y12" i="18"/>
  <c r="Y38" i="18"/>
  <c r="Y37" i="18"/>
  <c r="Y39" i="18"/>
  <c r="AB12" i="18"/>
  <c r="AB41" i="18"/>
  <c r="AB37" i="18"/>
  <c r="AB39" i="18"/>
  <c r="U35" i="18"/>
  <c r="G117" i="18"/>
  <c r="E96" i="18"/>
  <c r="E20" i="18" s="1"/>
  <c r="E19" i="18" s="1"/>
  <c r="S100" i="20"/>
  <c r="AW117" i="20"/>
  <c r="M124" i="20"/>
  <c r="M128" i="20" s="1"/>
  <c r="AU76" i="20"/>
  <c r="AR106" i="20"/>
  <c r="BA117" i="20"/>
  <c r="Q124" i="20"/>
  <c r="Q128" i="20" s="1"/>
  <c r="AS117" i="20"/>
  <c r="I124" i="20"/>
  <c r="I128" i="20" s="1"/>
  <c r="M23" i="20"/>
  <c r="AW23" i="20" s="1"/>
  <c r="AW12" i="20"/>
  <c r="M146" i="17" s="1"/>
  <c r="AM106" i="20"/>
  <c r="G12" i="20"/>
  <c r="AQ169" i="20"/>
  <c r="L124" i="20"/>
  <c r="L128" i="20" s="1"/>
  <c r="J169" i="20"/>
  <c r="AT169" i="20" s="1"/>
  <c r="H124" i="20"/>
  <c r="H128" i="20" s="1"/>
  <c r="AI42" i="20"/>
  <c r="AI94" i="20" s="1"/>
  <c r="AI107" i="20" s="1"/>
  <c r="N12" i="20"/>
  <c r="S8" i="20"/>
  <c r="BC8" i="20" s="1"/>
  <c r="AT6" i="20"/>
  <c r="AZ92" i="20"/>
  <c r="AV42" i="20"/>
  <c r="L94" i="20"/>
  <c r="M93" i="20"/>
  <c r="AW93" i="20" s="1"/>
  <c r="N28" i="20"/>
  <c r="AX28" i="20" s="1"/>
  <c r="I93" i="20"/>
  <c r="AS93" i="20" s="1"/>
  <c r="J28" i="20"/>
  <c r="AT28" i="20" s="1"/>
  <c r="AR42" i="20"/>
  <c r="H94" i="20"/>
  <c r="AN42" i="20"/>
  <c r="D94" i="20"/>
  <c r="E30" i="20"/>
  <c r="F30" i="20" s="1"/>
  <c r="G69" i="18"/>
  <c r="G96" i="18" s="1"/>
  <c r="AA183" i="20"/>
  <c r="X106" i="20"/>
  <c r="Z185" i="20"/>
  <c r="K132" i="20"/>
  <c r="J133" i="20"/>
  <c r="AV105" i="20"/>
  <c r="L106" i="20"/>
  <c r="AV106" i="20" s="1"/>
  <c r="W183" i="20"/>
  <c r="N105" i="20"/>
  <c r="AX105" i="20" s="1"/>
  <c r="AA184" i="20"/>
  <c r="I184" i="20" s="1"/>
  <c r="J184" i="20" s="1"/>
  <c r="AH185" i="20"/>
  <c r="AD185" i="20"/>
  <c r="AJ30" i="20"/>
  <c r="AB93" i="20"/>
  <c r="F61" i="20"/>
  <c r="AP61" i="20" s="1"/>
  <c r="AM61" i="20"/>
  <c r="O42" i="20"/>
  <c r="E93" i="20"/>
  <c r="AO93" i="20" s="1"/>
  <c r="N61" i="20"/>
  <c r="AX61" i="20" s="1"/>
  <c r="AU61" i="20"/>
  <c r="Y94" i="20"/>
  <c r="Y107" i="20" s="1"/>
  <c r="S167" i="20"/>
  <c r="S79" i="20"/>
  <c r="BC79" i="20" s="1"/>
  <c r="AP79" i="20"/>
  <c r="AF30" i="20"/>
  <c r="AK92" i="20"/>
  <c r="AS180" i="20"/>
  <c r="AR185" i="20"/>
  <c r="H183" i="20" s="1"/>
  <c r="H185" i="20" s="1"/>
  <c r="AJ23" i="20"/>
  <c r="C134" i="20"/>
  <c r="AR105" i="20"/>
  <c r="G183" i="20"/>
  <c r="Y185" i="20"/>
  <c r="AF93" i="20"/>
  <c r="R28" i="20"/>
  <c r="BB28" i="20" s="1"/>
  <c r="S46" i="20"/>
  <c r="BC46" i="20" s="1"/>
  <c r="S27" i="20"/>
  <c r="BC27" i="20" s="1"/>
  <c r="AV12" i="20"/>
  <c r="L146" i="17" s="1"/>
  <c r="AD23" i="20"/>
  <c r="AF12" i="20"/>
  <c r="O12" i="20"/>
  <c r="AY169" i="20"/>
  <c r="AE184" i="20"/>
  <c r="M184" i="20" s="1"/>
  <c r="W184" i="20"/>
  <c r="E184" i="20" s="1"/>
  <c r="F184" i="20" s="1"/>
  <c r="AK105" i="20"/>
  <c r="V12" i="18"/>
  <c r="V41" i="18"/>
  <c r="V37" i="18"/>
  <c r="V38" i="18"/>
  <c r="V39" i="18"/>
  <c r="X30" i="20"/>
  <c r="AR12" i="20"/>
  <c r="I146" i="17" s="1"/>
  <c r="Z23" i="20"/>
  <c r="AB12" i="20"/>
  <c r="E160" i="20"/>
  <c r="E136" i="20" s="1"/>
  <c r="H157" i="20"/>
  <c r="AK76" i="20"/>
  <c r="AP44" i="20"/>
  <c r="AQ42" i="20"/>
  <c r="C12" i="20"/>
  <c r="AM169" i="20"/>
  <c r="AC185" i="20"/>
  <c r="R61" i="20"/>
  <c r="BB61" i="20" s="1"/>
  <c r="AY61" i="20"/>
  <c r="C150" i="20"/>
  <c r="F139" i="20"/>
  <c r="G135" i="20"/>
  <c r="G134" i="20" s="1"/>
  <c r="J136" i="20"/>
  <c r="G161" i="20"/>
  <c r="F28" i="20"/>
  <c r="J106" i="20"/>
  <c r="BI8" i="20"/>
  <c r="AE42" i="20"/>
  <c r="F92" i="20"/>
  <c r="AP92" i="20" s="1"/>
  <c r="C125" i="20"/>
  <c r="F125" i="20" s="1"/>
  <c r="AM92" i="20"/>
  <c r="S166" i="20"/>
  <c r="F169" i="20"/>
  <c r="AP169" i="20" s="1"/>
  <c r="G150" i="20"/>
  <c r="J139" i="20"/>
  <c r="J150" i="20" s="1"/>
  <c r="F124" i="20"/>
  <c r="C128" i="20"/>
  <c r="AE183" i="20"/>
  <c r="S99" i="20"/>
  <c r="F105" i="20"/>
  <c r="AP105" i="20" s="1"/>
  <c r="AI184" i="20"/>
  <c r="Q184" i="20" s="1"/>
  <c r="R184" i="20" s="1"/>
  <c r="W42" i="20"/>
  <c r="AA42" i="20"/>
  <c r="AA94" i="20" s="1"/>
  <c r="AA107" i="20" s="1"/>
  <c r="D183" i="20"/>
  <c r="V185" i="20"/>
  <c r="AG185" i="20"/>
  <c r="AQ93" i="20"/>
  <c r="AJ106" i="20"/>
  <c r="AK61" i="20"/>
  <c r="AN12" i="20"/>
  <c r="F146" i="17" s="1"/>
  <c r="V23" i="20"/>
  <c r="X12" i="20"/>
  <c r="O150" i="20"/>
  <c r="R139" i="20"/>
  <c r="R150" i="20" s="1"/>
  <c r="F157" i="20"/>
  <c r="S144" i="20"/>
  <c r="S155" i="20" s="1"/>
  <c r="F155" i="20"/>
  <c r="AZ105" i="20"/>
  <c r="P106" i="20"/>
  <c r="AZ106" i="20" s="1"/>
  <c r="N184" i="20"/>
  <c r="AJ93" i="20"/>
  <c r="C42" i="20"/>
  <c r="S7" i="20"/>
  <c r="S147" i="20"/>
  <c r="S149" i="20" s="1"/>
  <c r="F149" i="20"/>
  <c r="AU105" i="20"/>
  <c r="AF106" i="20"/>
  <c r="AB30" i="20"/>
  <c r="S102" i="20"/>
  <c r="BC102" i="20" s="1"/>
  <c r="R76" i="20"/>
  <c r="AY76" i="20"/>
  <c r="O93" i="20"/>
  <c r="AY93" i="20" s="1"/>
  <c r="C183" i="20"/>
  <c r="U185" i="20"/>
  <c r="F76" i="20"/>
  <c r="AP76" i="20" s="1"/>
  <c r="AM76" i="20"/>
  <c r="C93" i="20"/>
  <c r="AM93" i="20" s="1"/>
  <c r="J61" i="20"/>
  <c r="AT61" i="20" s="1"/>
  <c r="AQ61" i="20"/>
  <c r="U107" i="20"/>
  <c r="K150" i="20"/>
  <c r="N139" i="20"/>
  <c r="N150" i="20" s="1"/>
  <c r="AB106" i="20"/>
  <c r="AN105" i="20"/>
  <c r="D106" i="20"/>
  <c r="AN106" i="20" s="1"/>
  <c r="X93" i="20"/>
  <c r="AU42" i="20"/>
  <c r="O128" i="20"/>
  <c r="S25" i="20"/>
  <c r="AP25" i="20"/>
  <c r="AU23" i="20"/>
  <c r="K94" i="20"/>
  <c r="F135" i="20"/>
  <c r="BI23" i="20"/>
  <c r="D52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F124" i="13"/>
  <c r="G124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D151" i="13"/>
  <c r="D148" i="13"/>
  <c r="D144" i="13"/>
  <c r="D143" i="13"/>
  <c r="D142" i="13"/>
  <c r="D134" i="13"/>
  <c r="D133" i="13"/>
  <c r="D132" i="13"/>
  <c r="D124" i="13"/>
  <c r="D117" i="13"/>
  <c r="D95" i="13"/>
  <c r="D69" i="13"/>
  <c r="D68" i="13"/>
  <c r="D67" i="13"/>
  <c r="D51" i="13"/>
  <c r="D50" i="13"/>
  <c r="D37" i="13"/>
  <c r="D36" i="13"/>
  <c r="D35" i="13"/>
  <c r="I162" i="17" l="1"/>
  <c r="Q123" i="9"/>
  <c r="K123" i="11"/>
  <c r="Q123" i="11" s="1"/>
  <c r="M20" i="18"/>
  <c r="M162" i="17" s="1"/>
  <c r="D131" i="11"/>
  <c r="D132" i="11"/>
  <c r="D130" i="11"/>
  <c r="D117" i="11"/>
  <c r="E118" i="11"/>
  <c r="E124" i="11" s="1"/>
  <c r="D118" i="11"/>
  <c r="Q117" i="18"/>
  <c r="G20" i="18"/>
  <c r="G162" i="17" s="1"/>
  <c r="AD42" i="18"/>
  <c r="E162" i="17"/>
  <c r="E18" i="18" s="1"/>
  <c r="H173" i="20"/>
  <c r="I173" i="20" s="1"/>
  <c r="I174" i="20" s="1"/>
  <c r="I129" i="20" s="1"/>
  <c r="I127" i="20" s="1"/>
  <c r="J30" i="20"/>
  <c r="S30" i="20" s="1"/>
  <c r="AC55" i="18"/>
  <c r="W55" i="18"/>
  <c r="AZ23" i="20"/>
  <c r="R124" i="20"/>
  <c r="M42" i="20"/>
  <c r="N42" i="20" s="1"/>
  <c r="Q42" i="20"/>
  <c r="R42" i="20" s="1"/>
  <c r="N23" i="20"/>
  <c r="R93" i="20"/>
  <c r="BB93" i="20" s="1"/>
  <c r="S76" i="20"/>
  <c r="BC76" i="20" s="1"/>
  <c r="BE65" i="20" s="1"/>
  <c r="BE76" i="20" s="1"/>
  <c r="BC63" i="20"/>
  <c r="AA55" i="18"/>
  <c r="AA15" i="18"/>
  <c r="N106" i="20"/>
  <c r="AX106" i="20" s="1"/>
  <c r="V55" i="18"/>
  <c r="V15" i="18"/>
  <c r="X15" i="18"/>
  <c r="AE14" i="19"/>
  <c r="AF13" i="19"/>
  <c r="AC13" i="19"/>
  <c r="AC14" i="19"/>
  <c r="Z15" i="19"/>
  <c r="Z16" i="19"/>
  <c r="AB12" i="19"/>
  <c r="Y13" i="19"/>
  <c r="AE15" i="19"/>
  <c r="AA16" i="19"/>
  <c r="X11" i="19"/>
  <c r="U13" i="19"/>
  <c r="V14" i="19"/>
  <c r="Z14" i="19"/>
  <c r="Y16" i="19"/>
  <c r="AB16" i="19"/>
  <c r="AC12" i="19"/>
  <c r="X13" i="19"/>
  <c r="AA14" i="19"/>
  <c r="X14" i="19"/>
  <c r="AF15" i="19"/>
  <c r="Y12" i="19"/>
  <c r="V12" i="19"/>
  <c r="V15" i="19"/>
  <c r="AD15" i="19"/>
  <c r="AF16" i="19"/>
  <c r="X15" i="19"/>
  <c r="U12" i="19"/>
  <c r="AA12" i="19"/>
  <c r="AA15" i="19"/>
  <c r="V16" i="19"/>
  <c r="X16" i="19"/>
  <c r="AB13" i="19"/>
  <c r="AD12" i="19"/>
  <c r="AD16" i="19"/>
  <c r="W16" i="19"/>
  <c r="AB15" i="19"/>
  <c r="X12" i="19"/>
  <c r="AE16" i="19"/>
  <c r="U16" i="19"/>
  <c r="AF12" i="19"/>
  <c r="AC15" i="19"/>
  <c r="W14" i="19"/>
  <c r="AF11" i="19"/>
  <c r="AF14" i="19"/>
  <c r="AB11" i="19"/>
  <c r="U15" i="19"/>
  <c r="U14" i="19"/>
  <c r="W15" i="19"/>
  <c r="AC16" i="19"/>
  <c r="AD14" i="19"/>
  <c r="Y15" i="19"/>
  <c r="Y14" i="19"/>
  <c r="AB14" i="19"/>
  <c r="AA13" i="19"/>
  <c r="AD13" i="19"/>
  <c r="Z13" i="19"/>
  <c r="S125" i="20"/>
  <c r="AB49" i="18"/>
  <c r="BB30" i="20"/>
  <c r="U55" i="18"/>
  <c r="AD55" i="18"/>
  <c r="AE12" i="19"/>
  <c r="U11" i="19"/>
  <c r="Z12" i="19"/>
  <c r="AA11" i="19"/>
  <c r="AD11" i="19"/>
  <c r="J93" i="20"/>
  <c r="AT93" i="20" s="1"/>
  <c r="W13" i="19"/>
  <c r="Y45" i="18"/>
  <c r="W12" i="19"/>
  <c r="X55" i="18"/>
  <c r="AB48" i="18"/>
  <c r="V13" i="19"/>
  <c r="AF44" i="18"/>
  <c r="AC11" i="19"/>
  <c r="U42" i="18"/>
  <c r="AE13" i="19"/>
  <c r="W11" i="19"/>
  <c r="Z47" i="18"/>
  <c r="Z49" i="18"/>
  <c r="P24" i="17"/>
  <c r="P26" i="17"/>
  <c r="AE44" i="18"/>
  <c r="W48" i="18"/>
  <c r="AT76" i="20"/>
  <c r="S61" i="20"/>
  <c r="Y55" i="18"/>
  <c r="V11" i="19"/>
  <c r="R106" i="20"/>
  <c r="BB106" i="20" s="1"/>
  <c r="BB76" i="20"/>
  <c r="X43" i="18"/>
  <c r="F7" i="19"/>
  <c r="F10" i="19" s="1"/>
  <c r="F9" i="19"/>
  <c r="Y46" i="18"/>
  <c r="Y44" i="18"/>
  <c r="Z55" i="18"/>
  <c r="Z44" i="18"/>
  <c r="AC49" i="18"/>
  <c r="G7" i="19"/>
  <c r="G10" i="19" s="1"/>
  <c r="G9" i="19"/>
  <c r="AD49" i="18"/>
  <c r="V45" i="18"/>
  <c r="H9" i="19"/>
  <c r="H7" i="19"/>
  <c r="H10" i="19" s="1"/>
  <c r="W47" i="18"/>
  <c r="AA42" i="18"/>
  <c r="J7" i="19"/>
  <c r="J10" i="19" s="1"/>
  <c r="J9" i="19"/>
  <c r="F93" i="20"/>
  <c r="AP93" i="20" s="1"/>
  <c r="X44" i="18"/>
  <c r="AE47" i="18"/>
  <c r="Z11" i="19"/>
  <c r="Y3" i="19"/>
  <c r="I3" i="19"/>
  <c r="Q3" i="19" s="1"/>
  <c r="E7" i="19"/>
  <c r="E9" i="19"/>
  <c r="Q35" i="19"/>
  <c r="V42" i="18"/>
  <c r="AB55" i="18"/>
  <c r="Z41" i="18"/>
  <c r="AE55" i="18"/>
  <c r="AB28" i="18"/>
  <c r="AF55" i="18"/>
  <c r="AF12" i="18"/>
  <c r="AF38" i="18"/>
  <c r="AF37" i="18"/>
  <c r="AF39" i="18"/>
  <c r="J124" i="20"/>
  <c r="N124" i="20"/>
  <c r="Y15" i="18"/>
  <c r="Y28" i="18"/>
  <c r="Y35" i="18"/>
  <c r="AX12" i="20"/>
  <c r="X35" i="18"/>
  <c r="AF35" i="18"/>
  <c r="Z35" i="18"/>
  <c r="V28" i="18"/>
  <c r="Z12" i="18"/>
  <c r="Z15" i="18" s="1"/>
  <c r="Z37" i="18"/>
  <c r="Z39" i="18"/>
  <c r="Z38" i="18"/>
  <c r="AC12" i="18"/>
  <c r="AC15" i="18" s="1"/>
  <c r="AC37" i="18"/>
  <c r="AC41" i="18"/>
  <c r="AC38" i="18"/>
  <c r="AC39" i="18"/>
  <c r="N93" i="20"/>
  <c r="AX93" i="20" s="1"/>
  <c r="X49" i="18"/>
  <c r="Q96" i="18"/>
  <c r="AF41" i="18"/>
  <c r="AA35" i="18"/>
  <c r="AB15" i="18"/>
  <c r="AC43" i="18"/>
  <c r="U49" i="18"/>
  <c r="V47" i="18"/>
  <c r="AA44" i="18"/>
  <c r="AE49" i="18"/>
  <c r="AF46" i="18"/>
  <c r="AC42" i="18"/>
  <c r="U48" i="18"/>
  <c r="AD44" i="18"/>
  <c r="W42" i="18"/>
  <c r="AA47" i="18"/>
  <c r="AF45" i="18"/>
  <c r="U39" i="18"/>
  <c r="U47" i="18"/>
  <c r="Z42" i="18"/>
  <c r="AD47" i="18"/>
  <c r="W45" i="18"/>
  <c r="X42" i="18"/>
  <c r="AF48" i="18"/>
  <c r="U46" i="18"/>
  <c r="Z45" i="18"/>
  <c r="AA45" i="18"/>
  <c r="AF47" i="18"/>
  <c r="U45" i="18"/>
  <c r="V43" i="18"/>
  <c r="Z48" i="18"/>
  <c r="AE45" i="18"/>
  <c r="AF42" i="18"/>
  <c r="X48" i="18"/>
  <c r="U44" i="18"/>
  <c r="Y49" i="18"/>
  <c r="V46" i="18"/>
  <c r="AA43" i="18"/>
  <c r="AE48" i="18"/>
  <c r="X47" i="18"/>
  <c r="U43" i="18"/>
  <c r="Y48" i="18"/>
  <c r="AD43" i="18"/>
  <c r="V49" i="18"/>
  <c r="AA46" i="18"/>
  <c r="AB43" i="18"/>
  <c r="U38" i="18"/>
  <c r="Y47" i="18"/>
  <c r="V48" i="18"/>
  <c r="AE46" i="18"/>
  <c r="AF43" i="18"/>
  <c r="Y42" i="18"/>
  <c r="AC47" i="18"/>
  <c r="AD45" i="18"/>
  <c r="W43" i="18"/>
  <c r="AA48" i="18"/>
  <c r="AB45" i="18"/>
  <c r="AC46" i="18"/>
  <c r="Z43" i="18"/>
  <c r="AD48" i="18"/>
  <c r="W46" i="18"/>
  <c r="AB44" i="18"/>
  <c r="AF49" i="18"/>
  <c r="AC45" i="18"/>
  <c r="U37" i="18"/>
  <c r="Z46" i="18"/>
  <c r="AE43" i="18"/>
  <c r="W49" i="18"/>
  <c r="X46" i="18"/>
  <c r="AC44" i="18"/>
  <c r="V44" i="18"/>
  <c r="AE42" i="18"/>
  <c r="AB42" i="18"/>
  <c r="X45" i="18"/>
  <c r="U41" i="18"/>
  <c r="AB47" i="18"/>
  <c r="Y43" i="18"/>
  <c r="AC48" i="18"/>
  <c r="AD46" i="18"/>
  <c r="W44" i="18"/>
  <c r="AA49" i="18"/>
  <c r="AB46" i="18"/>
  <c r="U12" i="18"/>
  <c r="U15" i="18" s="1"/>
  <c r="Q69" i="18"/>
  <c r="AJ42" i="20"/>
  <c r="AJ94" i="20" s="1"/>
  <c r="AJ107" i="20" s="1"/>
  <c r="AQ12" i="20"/>
  <c r="H146" i="17" s="1"/>
  <c r="J12" i="20"/>
  <c r="AT12" i="20" s="1"/>
  <c r="G23" i="20"/>
  <c r="E42" i="20"/>
  <c r="F42" i="20" s="1"/>
  <c r="AT106" i="20"/>
  <c r="AI185" i="20"/>
  <c r="AJ185" i="20" s="1"/>
  <c r="H123" i="20"/>
  <c r="H186" i="20"/>
  <c r="F134" i="20"/>
  <c r="F106" i="20"/>
  <c r="AP106" i="20" s="1"/>
  <c r="AK12" i="20"/>
  <c r="C127" i="20"/>
  <c r="F128" i="20"/>
  <c r="E161" i="20"/>
  <c r="E135" i="20"/>
  <c r="E134" i="20" s="1"/>
  <c r="AK106" i="20"/>
  <c r="R12" i="20"/>
  <c r="BB12" i="20" s="1"/>
  <c r="O23" i="20"/>
  <c r="AY12" i="20"/>
  <c r="N146" i="17" s="1"/>
  <c r="AT180" i="20"/>
  <c r="AU180" i="20" s="1"/>
  <c r="AS185" i="20"/>
  <c r="I183" i="20" s="1"/>
  <c r="I185" i="20" s="1"/>
  <c r="N128" i="20"/>
  <c r="N132" i="20"/>
  <c r="K133" i="20"/>
  <c r="L132" i="20" s="1"/>
  <c r="L133" i="20" s="1"/>
  <c r="M132" i="20" s="1"/>
  <c r="M133" i="20" s="1"/>
  <c r="F160" i="20"/>
  <c r="F161" i="20" s="1"/>
  <c r="V94" i="20"/>
  <c r="V107" i="20" s="1"/>
  <c r="AN23" i="20"/>
  <c r="X23" i="20"/>
  <c r="BI12" i="20"/>
  <c r="BC61" i="20"/>
  <c r="S184" i="20"/>
  <c r="S169" i="20"/>
  <c r="BC169" i="20" s="1"/>
  <c r="BC166" i="20"/>
  <c r="AF42" i="20"/>
  <c r="AE94" i="20"/>
  <c r="AE107" i="20" s="1"/>
  <c r="F12" i="20"/>
  <c r="C23" i="20"/>
  <c r="AM12" i="20"/>
  <c r="E146" i="17" s="1"/>
  <c r="G129" i="20"/>
  <c r="J129" i="20" s="1"/>
  <c r="G185" i="20"/>
  <c r="P107" i="20"/>
  <c r="AZ107" i="20" s="1"/>
  <c r="AZ94" i="20"/>
  <c r="AB42" i="20"/>
  <c r="AT42" i="20" s="1"/>
  <c r="W185" i="20"/>
  <c r="X185" i="20" s="1"/>
  <c r="E183" i="20"/>
  <c r="F183" i="20" s="1"/>
  <c r="AA185" i="20"/>
  <c r="AB185" i="20" s="1"/>
  <c r="D107" i="20"/>
  <c r="AM42" i="20"/>
  <c r="S105" i="20"/>
  <c r="S106" i="20" s="1"/>
  <c r="S139" i="20"/>
  <c r="S150" i="20" s="1"/>
  <c r="F150" i="20"/>
  <c r="J128" i="20"/>
  <c r="H160" i="20"/>
  <c r="H136" i="20" s="1"/>
  <c r="I157" i="20"/>
  <c r="J157" i="20" s="1"/>
  <c r="J160" i="20" s="1"/>
  <c r="J161" i="20" s="1"/>
  <c r="AK30" i="20"/>
  <c r="AP30" i="20"/>
  <c r="AX30" i="20"/>
  <c r="AY42" i="20"/>
  <c r="W12" i="18"/>
  <c r="W15" i="18" s="1"/>
  <c r="W39" i="18"/>
  <c r="W37" i="18"/>
  <c r="W41" i="18"/>
  <c r="W38" i="18"/>
  <c r="L107" i="20"/>
  <c r="AU94" i="20"/>
  <c r="K107" i="20"/>
  <c r="AU107" i="20" s="1"/>
  <c r="R128" i="20"/>
  <c r="X42" i="20"/>
  <c r="W94" i="20"/>
  <c r="W107" i="20" s="1"/>
  <c r="AE185" i="20"/>
  <c r="AF185" i="20" s="1"/>
  <c r="S28" i="20"/>
  <c r="BC28" i="20" s="1"/>
  <c r="AP28" i="20"/>
  <c r="J135" i="20"/>
  <c r="J134" i="20" s="1"/>
  <c r="BI13" i="20"/>
  <c r="BE64" i="20"/>
  <c r="AK93" i="20"/>
  <c r="Z94" i="20"/>
  <c r="Z107" i="20" s="1"/>
  <c r="AR23" i="20"/>
  <c r="AB23" i="20"/>
  <c r="BC99" i="20"/>
  <c r="AD94" i="20"/>
  <c r="AD107" i="20" s="1"/>
  <c r="AF23" i="20"/>
  <c r="AV23" i="20"/>
  <c r="S92" i="20"/>
  <c r="BC92" i="20" s="1"/>
  <c r="BC25" i="20"/>
  <c r="H107" i="20"/>
  <c r="AS42" i="20"/>
  <c r="I94" i="20"/>
  <c r="P136" i="10"/>
  <c r="O136" i="10"/>
  <c r="N136" i="10"/>
  <c r="M136" i="10"/>
  <c r="L136" i="10"/>
  <c r="K136" i="10"/>
  <c r="P135" i="10"/>
  <c r="O135" i="10"/>
  <c r="N135" i="10"/>
  <c r="M135" i="10"/>
  <c r="L135" i="10"/>
  <c r="K135" i="10"/>
  <c r="P138" i="10"/>
  <c r="O138" i="10"/>
  <c r="N138" i="10"/>
  <c r="M138" i="10"/>
  <c r="L138" i="10"/>
  <c r="K138" i="10"/>
  <c r="P74" i="10"/>
  <c r="O74" i="10"/>
  <c r="N74" i="10"/>
  <c r="M74" i="10"/>
  <c r="L74" i="10"/>
  <c r="K74" i="10"/>
  <c r="J74" i="13"/>
  <c r="I74" i="13"/>
  <c r="H74" i="13"/>
  <c r="P96" i="10"/>
  <c r="O96" i="10"/>
  <c r="N96" i="10"/>
  <c r="M96" i="10"/>
  <c r="L96" i="10"/>
  <c r="K96" i="10"/>
  <c r="P103" i="10"/>
  <c r="P103" i="9" s="1"/>
  <c r="O103" i="10"/>
  <c r="O103" i="9" s="1"/>
  <c r="N103" i="10"/>
  <c r="N103" i="9" s="1"/>
  <c r="M103" i="10"/>
  <c r="M103" i="9" s="1"/>
  <c r="L103" i="10"/>
  <c r="L103" i="9" s="1"/>
  <c r="K103" i="10"/>
  <c r="K103" i="9" s="1"/>
  <c r="P111" i="10"/>
  <c r="O111" i="10"/>
  <c r="N111" i="10"/>
  <c r="M111" i="10"/>
  <c r="L111" i="10"/>
  <c r="K111" i="10"/>
  <c r="P115" i="10"/>
  <c r="P115" i="9" s="1"/>
  <c r="O115" i="10"/>
  <c r="O115" i="9" s="1"/>
  <c r="N115" i="10"/>
  <c r="N115" i="9" s="1"/>
  <c r="M115" i="10"/>
  <c r="M115" i="9" s="1"/>
  <c r="L115" i="10"/>
  <c r="L115" i="9" s="1"/>
  <c r="K115" i="10"/>
  <c r="K115" i="9" s="1"/>
  <c r="P112" i="10"/>
  <c r="O112" i="10"/>
  <c r="N112" i="10"/>
  <c r="M112" i="10"/>
  <c r="L112" i="10"/>
  <c r="K112" i="10"/>
  <c r="P107" i="10"/>
  <c r="O107" i="10"/>
  <c r="N107" i="10"/>
  <c r="M107" i="10"/>
  <c r="L107" i="10"/>
  <c r="K107" i="10"/>
  <c r="P109" i="10"/>
  <c r="O109" i="10"/>
  <c r="N109" i="10"/>
  <c r="M109" i="10"/>
  <c r="L109" i="10"/>
  <c r="K109" i="10"/>
  <c r="P110" i="10"/>
  <c r="O110" i="10"/>
  <c r="N110" i="10"/>
  <c r="M110" i="10"/>
  <c r="L110" i="10"/>
  <c r="K110" i="10"/>
  <c r="P99" i="10"/>
  <c r="O99" i="10"/>
  <c r="N99" i="10"/>
  <c r="M99" i="10"/>
  <c r="L99" i="10"/>
  <c r="K99" i="10"/>
  <c r="P97" i="10"/>
  <c r="O97" i="10"/>
  <c r="N97" i="10"/>
  <c r="M97" i="10"/>
  <c r="L97" i="10"/>
  <c r="K97" i="10"/>
  <c r="P104" i="10"/>
  <c r="P104" i="9" s="1"/>
  <c r="O104" i="10"/>
  <c r="O104" i="9" s="1"/>
  <c r="N104" i="10"/>
  <c r="N104" i="9" s="1"/>
  <c r="M104" i="10"/>
  <c r="M104" i="9" s="1"/>
  <c r="L104" i="10"/>
  <c r="L104" i="9" s="1"/>
  <c r="K104" i="10"/>
  <c r="K104" i="9" s="1"/>
  <c r="P102" i="10"/>
  <c r="O102" i="10"/>
  <c r="N102" i="10"/>
  <c r="M102" i="10"/>
  <c r="L102" i="10"/>
  <c r="K102" i="10"/>
  <c r="P88" i="10"/>
  <c r="O88" i="10"/>
  <c r="N88" i="10"/>
  <c r="M88" i="10"/>
  <c r="L88" i="10"/>
  <c r="K88" i="10"/>
  <c r="P87" i="10"/>
  <c r="O87" i="10"/>
  <c r="N87" i="10"/>
  <c r="M87" i="10"/>
  <c r="L87" i="10"/>
  <c r="K87" i="10"/>
  <c r="P94" i="10"/>
  <c r="P94" i="13" s="1"/>
  <c r="O94" i="10"/>
  <c r="O94" i="13" s="1"/>
  <c r="N94" i="10"/>
  <c r="N94" i="13" s="1"/>
  <c r="M94" i="10"/>
  <c r="M94" i="13" s="1"/>
  <c r="L94" i="10"/>
  <c r="L94" i="13" s="1"/>
  <c r="K94" i="10"/>
  <c r="K94" i="13" s="1"/>
  <c r="J94" i="13"/>
  <c r="I94" i="13"/>
  <c r="H94" i="13"/>
  <c r="G94" i="13"/>
  <c r="P93" i="10"/>
  <c r="O93" i="10"/>
  <c r="N93" i="10"/>
  <c r="M93" i="10"/>
  <c r="L93" i="10"/>
  <c r="K93" i="10"/>
  <c r="P90" i="10"/>
  <c r="O90" i="10"/>
  <c r="N90" i="10"/>
  <c r="M90" i="10"/>
  <c r="L90" i="10"/>
  <c r="K90" i="10"/>
  <c r="P89" i="10"/>
  <c r="O89" i="10"/>
  <c r="N89" i="10"/>
  <c r="M89" i="10"/>
  <c r="L89" i="10"/>
  <c r="K89" i="10"/>
  <c r="P80" i="10"/>
  <c r="O80" i="10"/>
  <c r="N80" i="10"/>
  <c r="M80" i="10"/>
  <c r="L80" i="10"/>
  <c r="K80" i="10"/>
  <c r="P79" i="10"/>
  <c r="O79" i="10"/>
  <c r="N79" i="10"/>
  <c r="M79" i="10"/>
  <c r="L79" i="10"/>
  <c r="K79" i="10"/>
  <c r="P84" i="10"/>
  <c r="O84" i="10"/>
  <c r="N84" i="10"/>
  <c r="M84" i="10"/>
  <c r="L84" i="10"/>
  <c r="K84" i="10"/>
  <c r="P83" i="10"/>
  <c r="O83" i="10"/>
  <c r="N83" i="10"/>
  <c r="M83" i="10"/>
  <c r="L83" i="10"/>
  <c r="K83" i="10"/>
  <c r="P82" i="10"/>
  <c r="O82" i="10"/>
  <c r="N82" i="10"/>
  <c r="M82" i="10"/>
  <c r="L82" i="10"/>
  <c r="K82" i="10"/>
  <c r="P86" i="10"/>
  <c r="O86" i="10"/>
  <c r="N86" i="10"/>
  <c r="M86" i="10"/>
  <c r="L86" i="10"/>
  <c r="K86" i="10"/>
  <c r="P85" i="10"/>
  <c r="O85" i="10"/>
  <c r="N85" i="10"/>
  <c r="M85" i="10"/>
  <c r="L85" i="10"/>
  <c r="K85" i="10"/>
  <c r="P91" i="10"/>
  <c r="O91" i="10"/>
  <c r="N91" i="10"/>
  <c r="M91" i="10"/>
  <c r="L91" i="10"/>
  <c r="K91" i="10"/>
  <c r="P77" i="10"/>
  <c r="O77" i="10"/>
  <c r="N77" i="10"/>
  <c r="M77" i="10"/>
  <c r="L77" i="10"/>
  <c r="K77" i="10"/>
  <c r="P75" i="10"/>
  <c r="O75" i="10"/>
  <c r="N75" i="10"/>
  <c r="M75" i="10"/>
  <c r="L75" i="10"/>
  <c r="K75" i="10"/>
  <c r="P76" i="10"/>
  <c r="O76" i="10"/>
  <c r="N76" i="10"/>
  <c r="M76" i="10"/>
  <c r="L76" i="10"/>
  <c r="K76" i="10"/>
  <c r="P73" i="10"/>
  <c r="O73" i="10"/>
  <c r="N73" i="10"/>
  <c r="M73" i="10"/>
  <c r="L73" i="10"/>
  <c r="K73" i="10"/>
  <c r="P71" i="10"/>
  <c r="O71" i="10"/>
  <c r="N71" i="10"/>
  <c r="M71" i="10"/>
  <c r="L71" i="10"/>
  <c r="K71" i="10"/>
  <c r="P70" i="10"/>
  <c r="O70" i="10"/>
  <c r="N70" i="10"/>
  <c r="M70" i="10"/>
  <c r="L70" i="10"/>
  <c r="K70" i="10"/>
  <c r="P59" i="10"/>
  <c r="O59" i="10"/>
  <c r="N59" i="10"/>
  <c r="M59" i="10"/>
  <c r="L59" i="10"/>
  <c r="K59" i="10"/>
  <c r="F68" i="10"/>
  <c r="P53" i="10"/>
  <c r="O53" i="10"/>
  <c r="N53" i="10"/>
  <c r="M53" i="10"/>
  <c r="L53" i="10"/>
  <c r="K53" i="10"/>
  <c r="P49" i="10"/>
  <c r="O49" i="10"/>
  <c r="N49" i="10"/>
  <c r="M49" i="10"/>
  <c r="L49" i="10"/>
  <c r="K49" i="10"/>
  <c r="G10" i="31"/>
  <c r="P43" i="10"/>
  <c r="O43" i="10"/>
  <c r="N43" i="10"/>
  <c r="M43" i="10"/>
  <c r="L43" i="10"/>
  <c r="K43" i="10"/>
  <c r="H17" i="32"/>
  <c r="G17" i="32"/>
  <c r="P41" i="10"/>
  <c r="O41" i="10"/>
  <c r="N41" i="10"/>
  <c r="M41" i="10"/>
  <c r="L41" i="10"/>
  <c r="K41" i="10"/>
  <c r="H4" i="32"/>
  <c r="G4" i="32"/>
  <c r="P32" i="10"/>
  <c r="O32" i="10"/>
  <c r="N32" i="10"/>
  <c r="M32" i="10"/>
  <c r="L32" i="10"/>
  <c r="K32" i="10"/>
  <c r="P31" i="10"/>
  <c r="O31" i="10"/>
  <c r="N31" i="10"/>
  <c r="M31" i="10"/>
  <c r="L31" i="10"/>
  <c r="K31" i="10"/>
  <c r="P27" i="10"/>
  <c r="O27" i="10"/>
  <c r="N27" i="10"/>
  <c r="M27" i="10"/>
  <c r="L27" i="10"/>
  <c r="K27" i="10"/>
  <c r="J181" i="1"/>
  <c r="I181" i="1"/>
  <c r="P26" i="10"/>
  <c r="O26" i="10"/>
  <c r="N26" i="10"/>
  <c r="M26" i="10"/>
  <c r="L26" i="10"/>
  <c r="K26" i="10"/>
  <c r="K28" i="10"/>
  <c r="K182" i="1" s="1"/>
  <c r="V3" i="13"/>
  <c r="W3" i="13"/>
  <c r="X3" i="13"/>
  <c r="Y3" i="13"/>
  <c r="Z3" i="13"/>
  <c r="AA3" i="13"/>
  <c r="AB3" i="13"/>
  <c r="AC3" i="13"/>
  <c r="AD3" i="13"/>
  <c r="AE3" i="13"/>
  <c r="AF3" i="13"/>
  <c r="V4" i="13"/>
  <c r="V16" i="13" s="1"/>
  <c r="W4" i="13"/>
  <c r="W16" i="13" s="1"/>
  <c r="X4" i="13"/>
  <c r="X16" i="13" s="1"/>
  <c r="Y4" i="13"/>
  <c r="Y16" i="13" s="1"/>
  <c r="Z4" i="13"/>
  <c r="Z16" i="13" s="1"/>
  <c r="AA4" i="13"/>
  <c r="AA16" i="13" s="1"/>
  <c r="AB4" i="13"/>
  <c r="AB16" i="13" s="1"/>
  <c r="AC4" i="13"/>
  <c r="AC16" i="13" s="1"/>
  <c r="AD4" i="13"/>
  <c r="AD16" i="13" s="1"/>
  <c r="AE4" i="13"/>
  <c r="AE16" i="13" s="1"/>
  <c r="AF4" i="13"/>
  <c r="AF16" i="13" s="1"/>
  <c r="W45" i="13"/>
  <c r="X45" i="13"/>
  <c r="Y45" i="13"/>
  <c r="Z45" i="13"/>
  <c r="AA45" i="13"/>
  <c r="AB45" i="13"/>
  <c r="AC45" i="13"/>
  <c r="AD45" i="13"/>
  <c r="AE45" i="13"/>
  <c r="AF45" i="13"/>
  <c r="AG45" i="13"/>
  <c r="V7" i="13"/>
  <c r="W7" i="13"/>
  <c r="X7" i="13"/>
  <c r="Y7" i="13"/>
  <c r="Z7" i="13"/>
  <c r="AA7" i="13"/>
  <c r="AB7" i="13"/>
  <c r="AC7" i="13"/>
  <c r="AD7" i="13"/>
  <c r="AE7" i="13"/>
  <c r="AF7" i="13"/>
  <c r="V45" i="13"/>
  <c r="U4" i="13"/>
  <c r="F59" i="8"/>
  <c r="G59" i="8"/>
  <c r="H59" i="8"/>
  <c r="I59" i="8"/>
  <c r="J59" i="8"/>
  <c r="K59" i="8"/>
  <c r="L59" i="8"/>
  <c r="M59" i="8"/>
  <c r="N59" i="8"/>
  <c r="O59" i="8"/>
  <c r="P59" i="8"/>
  <c r="F60" i="8"/>
  <c r="G60" i="8"/>
  <c r="H60" i="8"/>
  <c r="I60" i="8"/>
  <c r="J60" i="8"/>
  <c r="K60" i="8"/>
  <c r="L60" i="8"/>
  <c r="M60" i="8"/>
  <c r="N60" i="8"/>
  <c r="O60" i="8"/>
  <c r="P60" i="8"/>
  <c r="F61" i="8"/>
  <c r="G61" i="8"/>
  <c r="H61" i="8"/>
  <c r="I61" i="8"/>
  <c r="J61" i="8"/>
  <c r="K61" i="8"/>
  <c r="L61" i="8"/>
  <c r="M61" i="8"/>
  <c r="N61" i="8"/>
  <c r="O61" i="8"/>
  <c r="P61" i="8"/>
  <c r="F62" i="8"/>
  <c r="G62" i="8"/>
  <c r="H62" i="8"/>
  <c r="I62" i="8"/>
  <c r="J62" i="8"/>
  <c r="K62" i="8"/>
  <c r="L62" i="8"/>
  <c r="M62" i="8"/>
  <c r="N62" i="8"/>
  <c r="O62" i="8"/>
  <c r="P62" i="8"/>
  <c r="F63" i="8"/>
  <c r="G63" i="8"/>
  <c r="H63" i="8"/>
  <c r="I63" i="8"/>
  <c r="J63" i="8"/>
  <c r="K63" i="8"/>
  <c r="L63" i="8"/>
  <c r="M63" i="8"/>
  <c r="N63" i="8"/>
  <c r="O63" i="8"/>
  <c r="P63" i="8"/>
  <c r="F64" i="8"/>
  <c r="G64" i="8"/>
  <c r="H64" i="8"/>
  <c r="I64" i="8"/>
  <c r="J64" i="8"/>
  <c r="K64" i="8"/>
  <c r="L64" i="8"/>
  <c r="M64" i="8"/>
  <c r="N64" i="8"/>
  <c r="O64" i="8"/>
  <c r="P64" i="8"/>
  <c r="F65" i="8"/>
  <c r="G65" i="8"/>
  <c r="H65" i="8"/>
  <c r="I65" i="8"/>
  <c r="J65" i="8"/>
  <c r="K65" i="8"/>
  <c r="L65" i="8"/>
  <c r="M65" i="8"/>
  <c r="N65" i="8"/>
  <c r="O65" i="8"/>
  <c r="P65" i="8"/>
  <c r="F66" i="8"/>
  <c r="G66" i="8"/>
  <c r="H66" i="8"/>
  <c r="I66" i="8"/>
  <c r="J66" i="8"/>
  <c r="K66" i="8"/>
  <c r="L66" i="8"/>
  <c r="M66" i="8"/>
  <c r="N66" i="8"/>
  <c r="O66" i="8"/>
  <c r="P66" i="8"/>
  <c r="F4" i="8"/>
  <c r="F8" i="8" s="1"/>
  <c r="G4" i="8"/>
  <c r="G8" i="8" s="1"/>
  <c r="I4" i="8"/>
  <c r="I8" i="8" s="1"/>
  <c r="J4" i="8"/>
  <c r="J8" i="8" s="1"/>
  <c r="K4" i="8"/>
  <c r="K8" i="8" s="1"/>
  <c r="L4" i="8"/>
  <c r="L8" i="8" s="1"/>
  <c r="M4" i="8"/>
  <c r="M8" i="8" s="1"/>
  <c r="N4" i="8"/>
  <c r="N8" i="8" s="1"/>
  <c r="O4" i="8"/>
  <c r="O8" i="8" s="1"/>
  <c r="P4" i="8"/>
  <c r="P8" i="8" s="1"/>
  <c r="F5" i="8"/>
  <c r="G5" i="8"/>
  <c r="H5" i="8"/>
  <c r="I5" i="8"/>
  <c r="J5" i="8"/>
  <c r="K5" i="8"/>
  <c r="L5" i="8"/>
  <c r="M5" i="8"/>
  <c r="N5" i="8"/>
  <c r="O5" i="8"/>
  <c r="P5" i="8"/>
  <c r="F6" i="8"/>
  <c r="G6" i="8"/>
  <c r="H6" i="8"/>
  <c r="I6" i="8"/>
  <c r="J6" i="8"/>
  <c r="K6" i="8"/>
  <c r="L6" i="8"/>
  <c r="M6" i="8"/>
  <c r="N6" i="8"/>
  <c r="O6" i="8"/>
  <c r="P6" i="8"/>
  <c r="P137" i="8"/>
  <c r="O137" i="8"/>
  <c r="N137" i="8"/>
  <c r="M137" i="8"/>
  <c r="L137" i="8"/>
  <c r="K137" i="8"/>
  <c r="J137" i="8"/>
  <c r="I137" i="8"/>
  <c r="H137" i="8"/>
  <c r="G137" i="8"/>
  <c r="F137" i="8"/>
  <c r="P136" i="8"/>
  <c r="O136" i="8"/>
  <c r="N136" i="8"/>
  <c r="M136" i="8"/>
  <c r="L136" i="8"/>
  <c r="K136" i="8"/>
  <c r="J136" i="8"/>
  <c r="I136" i="8"/>
  <c r="H136" i="8"/>
  <c r="G136" i="8"/>
  <c r="F136" i="8"/>
  <c r="P135" i="8"/>
  <c r="O135" i="8"/>
  <c r="N135" i="8"/>
  <c r="M135" i="8"/>
  <c r="L135" i="8"/>
  <c r="K135" i="8"/>
  <c r="J135" i="8"/>
  <c r="I135" i="8"/>
  <c r="H135" i="8"/>
  <c r="G135" i="8"/>
  <c r="F135" i="8"/>
  <c r="F125" i="8"/>
  <c r="G125" i="8"/>
  <c r="H125" i="8"/>
  <c r="I125" i="8"/>
  <c r="J125" i="8"/>
  <c r="K125" i="8"/>
  <c r="L125" i="8"/>
  <c r="M125" i="8"/>
  <c r="N125" i="8"/>
  <c r="O125" i="8"/>
  <c r="P125" i="8"/>
  <c r="F126" i="8"/>
  <c r="G126" i="8"/>
  <c r="H126" i="8"/>
  <c r="I126" i="8"/>
  <c r="J126" i="8"/>
  <c r="K126" i="8"/>
  <c r="L126" i="8"/>
  <c r="M126" i="8"/>
  <c r="N126" i="8"/>
  <c r="O126" i="8"/>
  <c r="P126" i="8"/>
  <c r="F127" i="8"/>
  <c r="G127" i="8"/>
  <c r="H127" i="8"/>
  <c r="I127" i="8"/>
  <c r="J127" i="8"/>
  <c r="K127" i="8"/>
  <c r="L127" i="8"/>
  <c r="M127" i="8"/>
  <c r="N127" i="8"/>
  <c r="O127" i="8"/>
  <c r="P127" i="8"/>
  <c r="E5" i="8"/>
  <c r="F146" i="8"/>
  <c r="G146" i="8"/>
  <c r="H146" i="8"/>
  <c r="I146" i="8"/>
  <c r="J146" i="8"/>
  <c r="K146" i="8"/>
  <c r="L146" i="8"/>
  <c r="M146" i="8"/>
  <c r="N146" i="8"/>
  <c r="O146" i="8"/>
  <c r="P146" i="8"/>
  <c r="F27" i="8"/>
  <c r="G27" i="8"/>
  <c r="W15" i="1" s="1"/>
  <c r="H27" i="8"/>
  <c r="X15" i="1" s="1"/>
  <c r="I27" i="8"/>
  <c r="J27" i="8"/>
  <c r="K27" i="8"/>
  <c r="L27" i="8"/>
  <c r="M27" i="8"/>
  <c r="N27" i="8"/>
  <c r="O27" i="8"/>
  <c r="P27" i="8"/>
  <c r="G28" i="8"/>
  <c r="W16" i="1" s="1"/>
  <c r="H28" i="8"/>
  <c r="X16" i="1" s="1"/>
  <c r="I28" i="8"/>
  <c r="Y16" i="1" s="1"/>
  <c r="J28" i="8"/>
  <c r="Z16" i="1" s="1"/>
  <c r="K28" i="8"/>
  <c r="AA16" i="1" s="1"/>
  <c r="L28" i="8"/>
  <c r="AB16" i="1" s="1"/>
  <c r="M28" i="8"/>
  <c r="AC16" i="1" s="1"/>
  <c r="N28" i="8"/>
  <c r="AD16" i="1" s="1"/>
  <c r="O28" i="8"/>
  <c r="AE16" i="1" s="1"/>
  <c r="P28" i="8"/>
  <c r="AF16" i="1" s="1"/>
  <c r="F29" i="8"/>
  <c r="G29" i="8"/>
  <c r="H29" i="8"/>
  <c r="I29" i="8"/>
  <c r="J29" i="8"/>
  <c r="K29" i="8"/>
  <c r="L29" i="8"/>
  <c r="M29" i="8"/>
  <c r="N29" i="8"/>
  <c r="O29" i="8"/>
  <c r="P29" i="8"/>
  <c r="F30" i="8"/>
  <c r="G30" i="8"/>
  <c r="H30" i="8"/>
  <c r="I30" i="8"/>
  <c r="J30" i="8"/>
  <c r="K30" i="8"/>
  <c r="L30" i="8"/>
  <c r="M30" i="8"/>
  <c r="N30" i="8"/>
  <c r="O30" i="8"/>
  <c r="P30" i="8"/>
  <c r="F31" i="8"/>
  <c r="G31" i="8"/>
  <c r="H31" i="8"/>
  <c r="I31" i="8"/>
  <c r="J31" i="8"/>
  <c r="K31" i="8"/>
  <c r="L31" i="8"/>
  <c r="M31" i="8"/>
  <c r="N31" i="8"/>
  <c r="O31" i="8"/>
  <c r="P31" i="8"/>
  <c r="F53" i="8"/>
  <c r="G53" i="8"/>
  <c r="H53" i="8"/>
  <c r="I53" i="8"/>
  <c r="J53" i="8"/>
  <c r="K53" i="8"/>
  <c r="L53" i="8"/>
  <c r="M53" i="8"/>
  <c r="N53" i="8"/>
  <c r="O53" i="8"/>
  <c r="P53" i="8"/>
  <c r="F54" i="8"/>
  <c r="G54" i="8"/>
  <c r="H54" i="8"/>
  <c r="I54" i="8"/>
  <c r="J54" i="8"/>
  <c r="K54" i="8"/>
  <c r="L54" i="8"/>
  <c r="M54" i="8"/>
  <c r="N54" i="8"/>
  <c r="O54" i="8"/>
  <c r="P54" i="8"/>
  <c r="F55" i="8"/>
  <c r="G55" i="8"/>
  <c r="H55" i="8"/>
  <c r="I55" i="8"/>
  <c r="J55" i="8"/>
  <c r="K55" i="8"/>
  <c r="L55" i="8"/>
  <c r="M55" i="8"/>
  <c r="N55" i="8"/>
  <c r="O55" i="8"/>
  <c r="P55" i="8"/>
  <c r="F56" i="8"/>
  <c r="G56" i="8"/>
  <c r="H56" i="8"/>
  <c r="I56" i="8"/>
  <c r="J56" i="8"/>
  <c r="K56" i="8"/>
  <c r="L56" i="8"/>
  <c r="M56" i="8"/>
  <c r="N56" i="8"/>
  <c r="O56" i="8"/>
  <c r="P56" i="8"/>
  <c r="F57" i="8"/>
  <c r="G57" i="8"/>
  <c r="H57" i="8"/>
  <c r="I57" i="8"/>
  <c r="J57" i="8"/>
  <c r="K57" i="8"/>
  <c r="L57" i="8"/>
  <c r="M57" i="8"/>
  <c r="N57" i="8"/>
  <c r="O57" i="8"/>
  <c r="P57" i="8"/>
  <c r="F58" i="8"/>
  <c r="G58" i="8"/>
  <c r="H58" i="8"/>
  <c r="I58" i="8"/>
  <c r="J58" i="8"/>
  <c r="K58" i="8"/>
  <c r="L58" i="8"/>
  <c r="M58" i="8"/>
  <c r="N58" i="8"/>
  <c r="O58" i="8"/>
  <c r="P58" i="8"/>
  <c r="F44" i="8"/>
  <c r="F45" i="8" s="1"/>
  <c r="F46" i="8" s="1"/>
  <c r="F47" i="8" s="1"/>
  <c r="F48" i="8" s="1"/>
  <c r="G44" i="8"/>
  <c r="G45" i="8" s="1"/>
  <c r="G46" i="8" s="1"/>
  <c r="G47" i="8" s="1"/>
  <c r="G48" i="8" s="1"/>
  <c r="I45" i="8"/>
  <c r="J45" i="8"/>
  <c r="K45" i="8"/>
  <c r="L45" i="8"/>
  <c r="M45" i="8"/>
  <c r="N45" i="8"/>
  <c r="O45" i="8"/>
  <c r="P45" i="8"/>
  <c r="I46" i="8"/>
  <c r="J46" i="8"/>
  <c r="K46" i="8"/>
  <c r="L46" i="8"/>
  <c r="M46" i="8"/>
  <c r="N46" i="8"/>
  <c r="O46" i="8"/>
  <c r="P46" i="8"/>
  <c r="I47" i="8"/>
  <c r="J47" i="8"/>
  <c r="K47" i="8"/>
  <c r="L47" i="8"/>
  <c r="M47" i="8"/>
  <c r="N47" i="8"/>
  <c r="O47" i="8"/>
  <c r="P47" i="8"/>
  <c r="I48" i="8"/>
  <c r="J48" i="8"/>
  <c r="K48" i="8"/>
  <c r="L48" i="8"/>
  <c r="M48" i="8"/>
  <c r="N48" i="8"/>
  <c r="O48" i="8"/>
  <c r="P48" i="8"/>
  <c r="H46" i="8"/>
  <c r="H47" i="8"/>
  <c r="H48" i="8"/>
  <c r="H45" i="8"/>
  <c r="I44" i="8"/>
  <c r="J44" i="8"/>
  <c r="K44" i="8"/>
  <c r="L44" i="8"/>
  <c r="M44" i="8"/>
  <c r="N44" i="8"/>
  <c r="O44" i="8"/>
  <c r="P44" i="8"/>
  <c r="I42" i="8"/>
  <c r="J42" i="8"/>
  <c r="K42" i="8"/>
  <c r="L42" i="8"/>
  <c r="M42" i="8"/>
  <c r="N42" i="8"/>
  <c r="O42" i="8"/>
  <c r="P42" i="8"/>
  <c r="H44" i="8"/>
  <c r="H42" i="8"/>
  <c r="F38" i="8"/>
  <c r="G38" i="8"/>
  <c r="H38" i="8"/>
  <c r="I38" i="8"/>
  <c r="J38" i="8"/>
  <c r="K38" i="8"/>
  <c r="L38" i="8"/>
  <c r="M38" i="8"/>
  <c r="N38" i="8"/>
  <c r="O38" i="8"/>
  <c r="P38" i="8"/>
  <c r="F39" i="8"/>
  <c r="G39" i="8"/>
  <c r="H39" i="8"/>
  <c r="I39" i="8"/>
  <c r="J39" i="8"/>
  <c r="K39" i="8"/>
  <c r="L39" i="8"/>
  <c r="M39" i="8"/>
  <c r="N39" i="8"/>
  <c r="O39" i="8"/>
  <c r="P39" i="8"/>
  <c r="F40" i="8"/>
  <c r="G40" i="8"/>
  <c r="H40" i="8"/>
  <c r="I40" i="8"/>
  <c r="J40" i="8"/>
  <c r="K40" i="8"/>
  <c r="L40" i="8"/>
  <c r="M40" i="8"/>
  <c r="N40" i="8"/>
  <c r="O40" i="8"/>
  <c r="P40" i="8"/>
  <c r="F33" i="8"/>
  <c r="G33" i="8"/>
  <c r="H33" i="8"/>
  <c r="I33" i="8"/>
  <c r="J33" i="8"/>
  <c r="K33" i="8"/>
  <c r="L33" i="8"/>
  <c r="M33" i="8"/>
  <c r="N33" i="8"/>
  <c r="O33" i="8"/>
  <c r="P33" i="8"/>
  <c r="F34" i="8"/>
  <c r="G34" i="8"/>
  <c r="H34" i="8"/>
  <c r="I34" i="8"/>
  <c r="J34" i="8"/>
  <c r="K34" i="8"/>
  <c r="L34" i="8"/>
  <c r="M34" i="8"/>
  <c r="N34" i="8"/>
  <c r="O34" i="8"/>
  <c r="P34" i="8"/>
  <c r="N181" i="1" l="1"/>
  <c r="L4" i="32"/>
  <c r="L17" i="32"/>
  <c r="M74" i="13"/>
  <c r="K181" i="1"/>
  <c r="O181" i="1"/>
  <c r="I4" i="32"/>
  <c r="I2" i="32" s="1"/>
  <c r="M4" i="32"/>
  <c r="M2" i="32" s="1"/>
  <c r="I17" i="32"/>
  <c r="M17" i="32"/>
  <c r="N74" i="13"/>
  <c r="L181" i="1"/>
  <c r="P181" i="1"/>
  <c r="J4" i="32"/>
  <c r="N4" i="32"/>
  <c r="J17" i="32"/>
  <c r="N17" i="32"/>
  <c r="K74" i="13"/>
  <c r="O74" i="13"/>
  <c r="M181" i="1"/>
  <c r="K4" i="32"/>
  <c r="K17" i="32"/>
  <c r="L74" i="13"/>
  <c r="P74" i="13"/>
  <c r="P21" i="10"/>
  <c r="O21" i="10"/>
  <c r="J21" i="10"/>
  <c r="K21" i="10"/>
  <c r="L21" i="10"/>
  <c r="M21" i="10"/>
  <c r="N21" i="10"/>
  <c r="AG3" i="13"/>
  <c r="AA15" i="13"/>
  <c r="AD15" i="13"/>
  <c r="Z15" i="13"/>
  <c r="AC15" i="13"/>
  <c r="Y15" i="13"/>
  <c r="U16" i="13"/>
  <c r="AG4" i="13"/>
  <c r="AE15" i="13"/>
  <c r="W15" i="13"/>
  <c r="V15" i="13"/>
  <c r="AF15" i="13"/>
  <c r="AB15" i="13"/>
  <c r="X15" i="13"/>
  <c r="H10" i="31"/>
  <c r="Z17" i="10"/>
  <c r="I10" i="31"/>
  <c r="AA17" i="10"/>
  <c r="J10" i="31"/>
  <c r="AB17" i="10"/>
  <c r="K10" i="31"/>
  <c r="AC17" i="10"/>
  <c r="L10" i="31"/>
  <c r="AD17" i="10"/>
  <c r="M10" i="31"/>
  <c r="AE17" i="10"/>
  <c r="N10" i="31"/>
  <c r="AF17" i="10"/>
  <c r="I185" i="1"/>
  <c r="O180" i="1"/>
  <c r="J185" i="1"/>
  <c r="P180" i="1"/>
  <c r="K31" i="9"/>
  <c r="K185" i="1"/>
  <c r="L31" i="9"/>
  <c r="L185" i="1"/>
  <c r="M31" i="9"/>
  <c r="M185" i="1"/>
  <c r="N31" i="9"/>
  <c r="N185" i="1"/>
  <c r="O31" i="9"/>
  <c r="O185" i="1"/>
  <c r="N180" i="1"/>
  <c r="I180" i="1"/>
  <c r="P31" i="9"/>
  <c r="P185" i="1"/>
  <c r="J180" i="1"/>
  <c r="K174" i="1"/>
  <c r="K193" i="1" s="1"/>
  <c r="K180" i="1"/>
  <c r="L180" i="1"/>
  <c r="M180" i="1"/>
  <c r="K2" i="32"/>
  <c r="K9" i="32"/>
  <c r="H2" i="32"/>
  <c r="H9" i="32"/>
  <c r="L2" i="32"/>
  <c r="L9" i="32"/>
  <c r="G2" i="32"/>
  <c r="G9" i="32"/>
  <c r="J2" i="32"/>
  <c r="J9" i="32"/>
  <c r="N2" i="32"/>
  <c r="N9" i="32"/>
  <c r="G9" i="31"/>
  <c r="G8" i="31" s="1"/>
  <c r="G12" i="31"/>
  <c r="H15" i="31"/>
  <c r="H18" i="31"/>
  <c r="H12" i="32" s="1"/>
  <c r="H9" i="31"/>
  <c r="H12" i="31"/>
  <c r="I15" i="31"/>
  <c r="I18" i="31"/>
  <c r="I12" i="32" s="1"/>
  <c r="I9" i="31"/>
  <c r="I12" i="31"/>
  <c r="J15" i="31"/>
  <c r="J18" i="31"/>
  <c r="J12" i="32" s="1"/>
  <c r="J9" i="31"/>
  <c r="J12" i="31"/>
  <c r="K15" i="31"/>
  <c r="K18" i="31"/>
  <c r="K12" i="32" s="1"/>
  <c r="K9" i="31"/>
  <c r="K12" i="31"/>
  <c r="L15" i="31"/>
  <c r="L18" i="31"/>
  <c r="L12" i="32" s="1"/>
  <c r="L9" i="31"/>
  <c r="L12" i="31"/>
  <c r="M15" i="31"/>
  <c r="M18" i="31"/>
  <c r="M12" i="32" s="1"/>
  <c r="M9" i="31"/>
  <c r="M12" i="31"/>
  <c r="F15" i="31"/>
  <c r="F18" i="31"/>
  <c r="F12" i="32" s="1"/>
  <c r="N15" i="31"/>
  <c r="N18" i="31"/>
  <c r="N12" i="32" s="1"/>
  <c r="N9" i="31"/>
  <c r="N12" i="31"/>
  <c r="G15" i="31"/>
  <c r="G18" i="31"/>
  <c r="G12" i="32" s="1"/>
  <c r="H117" i="10"/>
  <c r="J117" i="10"/>
  <c r="K117" i="10"/>
  <c r="L117" i="10"/>
  <c r="M117" i="10"/>
  <c r="N117" i="10"/>
  <c r="O117" i="10"/>
  <c r="P117" i="10"/>
  <c r="K173" i="20"/>
  <c r="L173" i="20" s="1"/>
  <c r="L174" i="20" s="1"/>
  <c r="L129" i="20" s="1"/>
  <c r="L127" i="20" s="1"/>
  <c r="I82" i="13"/>
  <c r="K82" i="13"/>
  <c r="M93" i="13"/>
  <c r="L82" i="13"/>
  <c r="N93" i="13"/>
  <c r="M82" i="13"/>
  <c r="G79" i="13"/>
  <c r="O93" i="13"/>
  <c r="N82" i="13"/>
  <c r="H79" i="13"/>
  <c r="P93" i="13"/>
  <c r="L93" i="13"/>
  <c r="O82" i="13"/>
  <c r="I79" i="13"/>
  <c r="K93" i="13"/>
  <c r="P82" i="13"/>
  <c r="J79" i="13"/>
  <c r="O79" i="13"/>
  <c r="P79" i="13"/>
  <c r="K79" i="13"/>
  <c r="G93" i="13"/>
  <c r="L79" i="13"/>
  <c r="H93" i="13"/>
  <c r="J82" i="13"/>
  <c r="G82" i="13"/>
  <c r="M79" i="13"/>
  <c r="I93" i="13"/>
  <c r="H82" i="13"/>
  <c r="N79" i="13"/>
  <c r="J93" i="13"/>
  <c r="Y4" i="1"/>
  <c r="Y15" i="1" s="1"/>
  <c r="G71" i="13"/>
  <c r="I73" i="13"/>
  <c r="M75" i="13"/>
  <c r="P75" i="13"/>
  <c r="H71" i="13"/>
  <c r="J73" i="13"/>
  <c r="N75" i="13"/>
  <c r="K99" i="9"/>
  <c r="I71" i="13"/>
  <c r="K73" i="13"/>
  <c r="O75" i="13"/>
  <c r="L99" i="9"/>
  <c r="Z4" i="1"/>
  <c r="Z15" i="1" s="1"/>
  <c r="K71" i="13"/>
  <c r="M73" i="13"/>
  <c r="N99" i="9"/>
  <c r="AA4" i="1"/>
  <c r="AA15" i="1" s="1"/>
  <c r="L71" i="13"/>
  <c r="N73" i="13"/>
  <c r="O99" i="9"/>
  <c r="M99" i="9"/>
  <c r="AB4" i="1"/>
  <c r="AB15" i="1" s="1"/>
  <c r="M71" i="13"/>
  <c r="O73" i="13"/>
  <c r="G75" i="13"/>
  <c r="P99" i="9"/>
  <c r="AC4" i="1"/>
  <c r="AC15" i="1" s="1"/>
  <c r="N71" i="13"/>
  <c r="P73" i="13"/>
  <c r="H75" i="13"/>
  <c r="J71" i="13"/>
  <c r="AD4" i="1"/>
  <c r="AD15" i="1" s="1"/>
  <c r="O71" i="13"/>
  <c r="I75" i="13"/>
  <c r="AE4" i="1"/>
  <c r="AE15" i="1" s="1"/>
  <c r="P71" i="13"/>
  <c r="J75" i="13"/>
  <c r="L73" i="13"/>
  <c r="AF4" i="1"/>
  <c r="AF15" i="1" s="1"/>
  <c r="G73" i="13"/>
  <c r="K75" i="13"/>
  <c r="H73" i="13"/>
  <c r="L75" i="13"/>
  <c r="G86" i="13"/>
  <c r="P70" i="13"/>
  <c r="N77" i="13"/>
  <c r="P91" i="13"/>
  <c r="H86" i="13"/>
  <c r="K83" i="13"/>
  <c r="G89" i="13"/>
  <c r="I90" i="13"/>
  <c r="O87" i="13"/>
  <c r="K109" i="9"/>
  <c r="L107" i="9"/>
  <c r="M112" i="9"/>
  <c r="O111" i="9"/>
  <c r="O77" i="13"/>
  <c r="G85" i="13"/>
  <c r="I86" i="13"/>
  <c r="L83" i="13"/>
  <c r="H89" i="13"/>
  <c r="J90" i="13"/>
  <c r="P87" i="13"/>
  <c r="K110" i="9"/>
  <c r="L109" i="9"/>
  <c r="M107" i="9"/>
  <c r="N112" i="9"/>
  <c r="P111" i="9"/>
  <c r="M77" i="13"/>
  <c r="P80" i="13"/>
  <c r="L112" i="9"/>
  <c r="P77" i="13"/>
  <c r="H85" i="13"/>
  <c r="J86" i="13"/>
  <c r="M83" i="13"/>
  <c r="G80" i="13"/>
  <c r="I89" i="13"/>
  <c r="K90" i="13"/>
  <c r="G88" i="13"/>
  <c r="L110" i="9"/>
  <c r="M109" i="9"/>
  <c r="N107" i="9"/>
  <c r="O112" i="9"/>
  <c r="G70" i="13"/>
  <c r="G91" i="13"/>
  <c r="I85" i="13"/>
  <c r="K86" i="13"/>
  <c r="N83" i="13"/>
  <c r="H80" i="13"/>
  <c r="J89" i="13"/>
  <c r="L90" i="13"/>
  <c r="H88" i="13"/>
  <c r="M110" i="9"/>
  <c r="N109" i="9"/>
  <c r="O107" i="9"/>
  <c r="P112" i="9"/>
  <c r="H70" i="13"/>
  <c r="H91" i="13"/>
  <c r="J85" i="13"/>
  <c r="L86" i="13"/>
  <c r="O83" i="13"/>
  <c r="I80" i="13"/>
  <c r="K89" i="13"/>
  <c r="M90" i="13"/>
  <c r="G87" i="13"/>
  <c r="I88" i="13"/>
  <c r="N110" i="9"/>
  <c r="O109" i="9"/>
  <c r="P107" i="9"/>
  <c r="I70" i="13"/>
  <c r="G77" i="13"/>
  <c r="I91" i="13"/>
  <c r="K85" i="13"/>
  <c r="M86" i="13"/>
  <c r="P83" i="13"/>
  <c r="J80" i="13"/>
  <c r="L89" i="13"/>
  <c r="N90" i="13"/>
  <c r="H87" i="13"/>
  <c r="J88" i="13"/>
  <c r="O110" i="9"/>
  <c r="P109" i="9"/>
  <c r="J70" i="13"/>
  <c r="H77" i="13"/>
  <c r="J91" i="13"/>
  <c r="L85" i="13"/>
  <c r="N86" i="13"/>
  <c r="K80" i="13"/>
  <c r="M89" i="13"/>
  <c r="O90" i="13"/>
  <c r="I87" i="13"/>
  <c r="K88" i="13"/>
  <c r="P110" i="9"/>
  <c r="K70" i="13"/>
  <c r="I77" i="13"/>
  <c r="K91" i="13"/>
  <c r="M85" i="13"/>
  <c r="O86" i="13"/>
  <c r="L80" i="13"/>
  <c r="N89" i="13"/>
  <c r="P90" i="13"/>
  <c r="J87" i="13"/>
  <c r="L88" i="13"/>
  <c r="O70" i="13"/>
  <c r="H90" i="13"/>
  <c r="L70" i="13"/>
  <c r="J77" i="13"/>
  <c r="L91" i="13"/>
  <c r="N85" i="13"/>
  <c r="P86" i="13"/>
  <c r="G83" i="13"/>
  <c r="M80" i="13"/>
  <c r="O89" i="13"/>
  <c r="K87" i="13"/>
  <c r="M88" i="13"/>
  <c r="K111" i="9"/>
  <c r="J83" i="13"/>
  <c r="N87" i="13"/>
  <c r="K107" i="9"/>
  <c r="M70" i="13"/>
  <c r="K77" i="13"/>
  <c r="M91" i="13"/>
  <c r="O85" i="13"/>
  <c r="H83" i="13"/>
  <c r="N80" i="13"/>
  <c r="P89" i="13"/>
  <c r="L87" i="13"/>
  <c r="N88" i="13"/>
  <c r="L111" i="9"/>
  <c r="O91" i="13"/>
  <c r="P88" i="13"/>
  <c r="N111" i="9"/>
  <c r="N70" i="13"/>
  <c r="L77" i="13"/>
  <c r="N91" i="13"/>
  <c r="P85" i="13"/>
  <c r="I83" i="13"/>
  <c r="O80" i="13"/>
  <c r="G90" i="13"/>
  <c r="M87" i="13"/>
  <c r="O88" i="13"/>
  <c r="K112" i="9"/>
  <c r="M111" i="9"/>
  <c r="V4" i="1"/>
  <c r="V15" i="1" s="1"/>
  <c r="F82" i="13"/>
  <c r="V12" i="10"/>
  <c r="H174" i="20"/>
  <c r="H129" i="20" s="1"/>
  <c r="H127" i="20" s="1"/>
  <c r="H76" i="13"/>
  <c r="L76" i="9"/>
  <c r="L76" i="13"/>
  <c r="P76" i="9"/>
  <c r="P76" i="13"/>
  <c r="G84" i="13"/>
  <c r="K84" i="9"/>
  <c r="K84" i="13"/>
  <c r="O84" i="9"/>
  <c r="O84" i="13"/>
  <c r="I76" i="13"/>
  <c r="M76" i="9"/>
  <c r="M76" i="13"/>
  <c r="H84" i="13"/>
  <c r="L84" i="9"/>
  <c r="L84" i="13"/>
  <c r="P84" i="9"/>
  <c r="P84" i="13"/>
  <c r="J76" i="13"/>
  <c r="N76" i="9"/>
  <c r="N76" i="13"/>
  <c r="I84" i="13"/>
  <c r="M84" i="9"/>
  <c r="M84" i="13"/>
  <c r="G76" i="13"/>
  <c r="K76" i="9"/>
  <c r="K76" i="13"/>
  <c r="O76" i="9"/>
  <c r="O76" i="13"/>
  <c r="J84" i="13"/>
  <c r="N84" i="9"/>
  <c r="N84" i="13"/>
  <c r="F36" i="10"/>
  <c r="F36" i="9"/>
  <c r="O61" i="13"/>
  <c r="O60" i="13"/>
  <c r="O62" i="13"/>
  <c r="K61" i="13"/>
  <c r="K60" i="13"/>
  <c r="K62" i="13"/>
  <c r="G61" i="13"/>
  <c r="G60" i="13"/>
  <c r="G62" i="13"/>
  <c r="N61" i="13"/>
  <c r="N60" i="13"/>
  <c r="N62" i="13"/>
  <c r="J61" i="13"/>
  <c r="J60" i="13"/>
  <c r="J62" i="13"/>
  <c r="F61" i="13"/>
  <c r="F60" i="13"/>
  <c r="F62" i="13"/>
  <c r="P61" i="13"/>
  <c r="P62" i="13"/>
  <c r="P60" i="13"/>
  <c r="L60" i="13"/>
  <c r="L62" i="13"/>
  <c r="L61" i="13"/>
  <c r="H60" i="13"/>
  <c r="H62" i="13"/>
  <c r="H61" i="13"/>
  <c r="M60" i="13"/>
  <c r="M62" i="13"/>
  <c r="M61" i="13"/>
  <c r="I60" i="13"/>
  <c r="I62" i="13"/>
  <c r="I61" i="13"/>
  <c r="AM36" i="10"/>
  <c r="M28" i="10"/>
  <c r="W76" i="10"/>
  <c r="O28" i="10"/>
  <c r="J173" i="20"/>
  <c r="AX42" i="20"/>
  <c r="AW42" i="20"/>
  <c r="X28" i="9"/>
  <c r="AT30" i="20"/>
  <c r="L28" i="10"/>
  <c r="L174" i="1" s="1"/>
  <c r="L193" i="1" s="1"/>
  <c r="Q94" i="20"/>
  <c r="BA94" i="20" s="1"/>
  <c r="BA42" i="20"/>
  <c r="F69" i="10"/>
  <c r="F67" i="10"/>
  <c r="F188" i="1" s="1"/>
  <c r="F201" i="1" s="1"/>
  <c r="F203" i="1" s="1"/>
  <c r="M94" i="20"/>
  <c r="AW94" i="20" s="1"/>
  <c r="N94" i="20"/>
  <c r="N107" i="20" s="1"/>
  <c r="G127" i="20"/>
  <c r="Q75" i="10"/>
  <c r="I174" i="1"/>
  <c r="I193" i="1" s="1"/>
  <c r="K140" i="10"/>
  <c r="P140" i="10"/>
  <c r="F16" i="31"/>
  <c r="Y28" i="10"/>
  <c r="AC19" i="13"/>
  <c r="Z5" i="13"/>
  <c r="AA44" i="13"/>
  <c r="X26" i="10"/>
  <c r="L146" i="10"/>
  <c r="AB19" i="13"/>
  <c r="Y5" i="13"/>
  <c r="Z44" i="13"/>
  <c r="Y26" i="9"/>
  <c r="Y26" i="10"/>
  <c r="M146" i="10"/>
  <c r="AA19" i="13"/>
  <c r="X5" i="13"/>
  <c r="Y44" i="13"/>
  <c r="Z26" i="9"/>
  <c r="Z26" i="10"/>
  <c r="N146" i="10"/>
  <c r="Z19" i="13"/>
  <c r="W5" i="13"/>
  <c r="X44" i="13"/>
  <c r="AA26" i="9"/>
  <c r="AA26" i="10"/>
  <c r="O146" i="10"/>
  <c r="Y19" i="13"/>
  <c r="V5" i="13"/>
  <c r="W44" i="13"/>
  <c r="AB26" i="10"/>
  <c r="K26" i="9"/>
  <c r="AB26" i="9" s="1"/>
  <c r="L140" i="10"/>
  <c r="P146" i="10"/>
  <c r="X19" i="13"/>
  <c r="L26" i="9"/>
  <c r="AC26" i="9" s="1"/>
  <c r="AC26" i="10"/>
  <c r="K138" i="9"/>
  <c r="U5" i="13"/>
  <c r="V44" i="13"/>
  <c r="W19" i="13"/>
  <c r="AF5" i="13"/>
  <c r="AG44" i="13"/>
  <c r="AD26" i="10"/>
  <c r="M26" i="9"/>
  <c r="AD26" i="9" s="1"/>
  <c r="L138" i="9"/>
  <c r="V19" i="13"/>
  <c r="AE5" i="13"/>
  <c r="AF44" i="13"/>
  <c r="N26" i="9"/>
  <c r="AE26" i="9" s="1"/>
  <c r="AE26" i="10"/>
  <c r="M138" i="9"/>
  <c r="G16" i="31"/>
  <c r="U7" i="13"/>
  <c r="AD5" i="13"/>
  <c r="AE44" i="13"/>
  <c r="AF26" i="10"/>
  <c r="O26" i="9"/>
  <c r="AF26" i="9" s="1"/>
  <c r="N138" i="9"/>
  <c r="AF19" i="13"/>
  <c r="AC5" i="13"/>
  <c r="AD44" i="13"/>
  <c r="P26" i="9"/>
  <c r="AG26" i="9" s="1"/>
  <c r="AG26" i="10"/>
  <c r="O138" i="9"/>
  <c r="M140" i="10"/>
  <c r="AE19" i="13"/>
  <c r="AB5" i="13"/>
  <c r="AC44" i="13"/>
  <c r="Q26" i="10"/>
  <c r="V26" i="10"/>
  <c r="P138" i="9"/>
  <c r="N140" i="10"/>
  <c r="AD19" i="13"/>
  <c r="AA5" i="13"/>
  <c r="AB44" i="13"/>
  <c r="W26" i="9"/>
  <c r="W26" i="10"/>
  <c r="Q138" i="10"/>
  <c r="E144" i="1"/>
  <c r="C17" i="31" s="1"/>
  <c r="K146" i="10"/>
  <c r="O140" i="10"/>
  <c r="N27" i="9"/>
  <c r="AE27" i="10"/>
  <c r="N32" i="9"/>
  <c r="AE29" i="10"/>
  <c r="N36" i="10"/>
  <c r="N38" i="9"/>
  <c r="N52" i="10"/>
  <c r="AU36" i="10" s="1"/>
  <c r="N50" i="10"/>
  <c r="AE32" i="10"/>
  <c r="N41" i="9"/>
  <c r="AE33" i="9" s="1"/>
  <c r="AE33" i="10"/>
  <c r="AA34" i="9"/>
  <c r="AA34" i="10"/>
  <c r="J51" i="10"/>
  <c r="AA35" i="10"/>
  <c r="AA36" i="10"/>
  <c r="N53" i="9"/>
  <c r="AE39" i="10"/>
  <c r="N67" i="10"/>
  <c r="N69" i="10"/>
  <c r="N59" i="9"/>
  <c r="AE41" i="10"/>
  <c r="N68" i="10"/>
  <c r="AA44" i="9"/>
  <c r="AA44" i="10"/>
  <c r="J18" i="13"/>
  <c r="J19" i="13" s="1"/>
  <c r="J24" i="13" s="1"/>
  <c r="J20" i="10"/>
  <c r="AA46" i="9"/>
  <c r="AA46" i="10"/>
  <c r="W49" i="9"/>
  <c r="W49" i="10"/>
  <c r="W51" i="9"/>
  <c r="W51" i="10"/>
  <c r="N91" i="9"/>
  <c r="AE51" i="9" s="1"/>
  <c r="AE51" i="10"/>
  <c r="AE61" i="10"/>
  <c r="N85" i="9"/>
  <c r="AE61" i="9" s="1"/>
  <c r="AE62" i="10"/>
  <c r="N86" i="9"/>
  <c r="AE62" i="9" s="1"/>
  <c r="W55" i="9"/>
  <c r="W55" i="10"/>
  <c r="N83" i="9"/>
  <c r="AE56" i="10"/>
  <c r="AA53" i="9"/>
  <c r="AA53" i="10"/>
  <c r="AA54" i="9"/>
  <c r="AA54" i="10"/>
  <c r="W57" i="10"/>
  <c r="W57" i="9"/>
  <c r="W58" i="10"/>
  <c r="W58" i="9"/>
  <c r="W59" i="9"/>
  <c r="W59" i="10"/>
  <c r="N93" i="9"/>
  <c r="AE59" i="9" s="1"/>
  <c r="AE59" i="10"/>
  <c r="N94" i="9"/>
  <c r="AE60" i="9" s="1"/>
  <c r="AE60" i="10"/>
  <c r="AE63" i="10"/>
  <c r="N87" i="9"/>
  <c r="AE63" i="9" s="1"/>
  <c r="AA64" i="10"/>
  <c r="AA64" i="9"/>
  <c r="AA79" i="10"/>
  <c r="AA76" i="10"/>
  <c r="K28" i="9"/>
  <c r="AB30" i="1"/>
  <c r="AB28" i="10"/>
  <c r="O27" i="9"/>
  <c r="AF27" i="10"/>
  <c r="G69" i="10"/>
  <c r="X39" i="10"/>
  <c r="W27" i="10"/>
  <c r="AA29" i="10"/>
  <c r="J36" i="10"/>
  <c r="AA32" i="10"/>
  <c r="J50" i="10"/>
  <c r="J52" i="10"/>
  <c r="AA33" i="9"/>
  <c r="AA33" i="10"/>
  <c r="W35" i="10"/>
  <c r="W36" i="10"/>
  <c r="W36" i="9"/>
  <c r="W39" i="10"/>
  <c r="W41" i="10"/>
  <c r="N70" i="9"/>
  <c r="AE44" i="9" s="1"/>
  <c r="AE44" i="10"/>
  <c r="N18" i="13"/>
  <c r="N19" i="13" s="1"/>
  <c r="N24" i="13" s="1"/>
  <c r="N72" i="10"/>
  <c r="N72" i="13" s="1"/>
  <c r="N71" i="9"/>
  <c r="AA48" i="10"/>
  <c r="AA50" i="1"/>
  <c r="N77" i="9"/>
  <c r="AE49" i="9" s="1"/>
  <c r="AE49" i="10"/>
  <c r="W61" i="9"/>
  <c r="W61" i="10"/>
  <c r="W62" i="9"/>
  <c r="W62" i="10"/>
  <c r="AA55" i="9"/>
  <c r="AA55" i="10"/>
  <c r="W53" i="9"/>
  <c r="W53" i="10"/>
  <c r="W54" i="9"/>
  <c r="W54" i="10"/>
  <c r="N89" i="9"/>
  <c r="AE57" i="9" s="1"/>
  <c r="AE57" i="10"/>
  <c r="N90" i="9"/>
  <c r="AE58" i="9" s="1"/>
  <c r="AE58" i="10"/>
  <c r="W60" i="9"/>
  <c r="W60" i="10"/>
  <c r="W63" i="9"/>
  <c r="W63" i="10"/>
  <c r="W64" i="9"/>
  <c r="W64" i="10"/>
  <c r="W78" i="10"/>
  <c r="N96" i="9"/>
  <c r="AE78" i="10"/>
  <c r="N74" i="9"/>
  <c r="AE45" i="9" s="1"/>
  <c r="AE45" i="10"/>
  <c r="X67" i="10"/>
  <c r="AF67" i="10"/>
  <c r="O135" i="9"/>
  <c r="O142" i="10"/>
  <c r="G143" i="10"/>
  <c r="X68" i="10"/>
  <c r="O143" i="10"/>
  <c r="O136" i="9"/>
  <c r="AF68" i="10"/>
  <c r="X27" i="10"/>
  <c r="X29" i="10"/>
  <c r="AN36" i="10"/>
  <c r="X32" i="10"/>
  <c r="O38" i="9"/>
  <c r="O50" i="10"/>
  <c r="AF32" i="10"/>
  <c r="O52" i="10"/>
  <c r="AV36" i="10" s="1"/>
  <c r="AB33" i="10"/>
  <c r="K41" i="9"/>
  <c r="AB33" i="9" s="1"/>
  <c r="X34" i="9"/>
  <c r="X34" i="10"/>
  <c r="X35" i="10"/>
  <c r="O45" i="9"/>
  <c r="O51" i="10"/>
  <c r="AF35" i="10"/>
  <c r="K49" i="9"/>
  <c r="AB36" i="10"/>
  <c r="K68" i="10"/>
  <c r="K59" i="9"/>
  <c r="AB41" i="10"/>
  <c r="K80" i="9"/>
  <c r="AB54" i="9" s="1"/>
  <c r="AB54" i="10"/>
  <c r="X57" i="9"/>
  <c r="X57" i="10"/>
  <c r="AF57" i="10"/>
  <c r="O89" i="9"/>
  <c r="AF57" i="9" s="1"/>
  <c r="K90" i="9"/>
  <c r="AB58" i="9" s="1"/>
  <c r="AB58" i="10"/>
  <c r="X59" i="9"/>
  <c r="X59" i="10"/>
  <c r="O93" i="9"/>
  <c r="AF59" i="9" s="1"/>
  <c r="AF59" i="10"/>
  <c r="O94" i="9"/>
  <c r="AF60" i="9" s="1"/>
  <c r="AF60" i="10"/>
  <c r="AB63" i="10"/>
  <c r="K87" i="9"/>
  <c r="AB63" i="9" s="1"/>
  <c r="X64" i="9"/>
  <c r="X64" i="10"/>
  <c r="O88" i="9"/>
  <c r="AF64" i="9" s="1"/>
  <c r="AF64" i="10"/>
  <c r="K102" i="9"/>
  <c r="AB79" i="10"/>
  <c r="O102" i="9"/>
  <c r="AF79" i="10"/>
  <c r="X76" i="10"/>
  <c r="AB78" i="10"/>
  <c r="K96" i="9"/>
  <c r="X45" i="9"/>
  <c r="X45" i="10"/>
  <c r="K74" i="9"/>
  <c r="AB45" i="9" s="1"/>
  <c r="AB45" i="10"/>
  <c r="H142" i="9"/>
  <c r="Y67" i="10"/>
  <c r="H142" i="10"/>
  <c r="P135" i="9"/>
  <c r="AG67" i="10"/>
  <c r="P142" i="10"/>
  <c r="AG68" i="10"/>
  <c r="P136" i="9"/>
  <c r="P143" i="10"/>
  <c r="Y27" i="10"/>
  <c r="AC27" i="10"/>
  <c r="L27" i="9"/>
  <c r="P27" i="9"/>
  <c r="AG27" i="10"/>
  <c r="Y29" i="10"/>
  <c r="L32" i="9"/>
  <c r="L36" i="10"/>
  <c r="AC29" i="10"/>
  <c r="P32" i="9"/>
  <c r="P36" i="10"/>
  <c r="AG29" i="10"/>
  <c r="Y32" i="10"/>
  <c r="AO36" i="10"/>
  <c r="L38" i="9"/>
  <c r="AC32" i="10"/>
  <c r="L50" i="10"/>
  <c r="L52" i="10"/>
  <c r="AS36" i="10" s="1"/>
  <c r="P38" i="9"/>
  <c r="P52" i="10"/>
  <c r="AW36" i="10" s="1"/>
  <c r="P50" i="10"/>
  <c r="AG32" i="10"/>
  <c r="Y33" i="10"/>
  <c r="Y33" i="9"/>
  <c r="L41" i="9"/>
  <c r="AC33" i="9" s="1"/>
  <c r="AC33" i="10"/>
  <c r="AG33" i="10"/>
  <c r="P41" i="9"/>
  <c r="AG33" i="9" s="1"/>
  <c r="Y34" i="9"/>
  <c r="Y34" i="10"/>
  <c r="L43" i="9"/>
  <c r="AC34" i="9" s="1"/>
  <c r="AC34" i="10"/>
  <c r="P43" i="9"/>
  <c r="AG34" i="9" s="1"/>
  <c r="AG34" i="10"/>
  <c r="Y35" i="10"/>
  <c r="L45" i="9"/>
  <c r="L51" i="10"/>
  <c r="AC35" i="10"/>
  <c r="AG35" i="10"/>
  <c r="P45" i="9"/>
  <c r="P51" i="10"/>
  <c r="Y36" i="10"/>
  <c r="L49" i="9"/>
  <c r="AC36" i="10"/>
  <c r="P49" i="9"/>
  <c r="AG36" i="10"/>
  <c r="Y39" i="10"/>
  <c r="F3" i="31"/>
  <c r="L53" i="9"/>
  <c r="AC39" i="10"/>
  <c r="L67" i="10"/>
  <c r="L69" i="10"/>
  <c r="P53" i="9"/>
  <c r="AG39" i="10"/>
  <c r="P67" i="10"/>
  <c r="P69" i="10"/>
  <c r="Y41" i="10"/>
  <c r="L59" i="9"/>
  <c r="AC41" i="10"/>
  <c r="L68" i="10"/>
  <c r="P59" i="9"/>
  <c r="AG41" i="10"/>
  <c r="P68" i="10"/>
  <c r="Y44" i="9"/>
  <c r="Y44" i="10"/>
  <c r="AC44" i="10"/>
  <c r="L70" i="9"/>
  <c r="AC44" i="9" s="1"/>
  <c r="P70" i="9"/>
  <c r="AG44" i="9" s="1"/>
  <c r="AG44" i="10"/>
  <c r="H18" i="13"/>
  <c r="H19" i="13" s="1"/>
  <c r="H24" i="13" s="1"/>
  <c r="L18" i="13"/>
  <c r="L19" i="13" s="1"/>
  <c r="L24" i="13" s="1"/>
  <c r="L72" i="10"/>
  <c r="L72" i="13" s="1"/>
  <c r="P18" i="13"/>
  <c r="P19" i="13" s="1"/>
  <c r="P24" i="13" s="1"/>
  <c r="P72" i="10"/>
  <c r="P20" i="10" s="1"/>
  <c r="L71" i="9"/>
  <c r="P71" i="9"/>
  <c r="Y46" i="9"/>
  <c r="Y46" i="10"/>
  <c r="L73" i="9"/>
  <c r="AC46" i="9" s="1"/>
  <c r="AC46" i="10"/>
  <c r="P73" i="9"/>
  <c r="AG46" i="9" s="1"/>
  <c r="AG46" i="10"/>
  <c r="Y48" i="10"/>
  <c r="Y50" i="1"/>
  <c r="AC50" i="1"/>
  <c r="AC48" i="10"/>
  <c r="L75" i="9"/>
  <c r="AG50" i="1"/>
  <c r="P75" i="9"/>
  <c r="AG48" i="10"/>
  <c r="Y49" i="9"/>
  <c r="Y49" i="10"/>
  <c r="L77" i="9"/>
  <c r="AC49" i="9" s="1"/>
  <c r="AC49" i="10"/>
  <c r="AG49" i="10"/>
  <c r="P77" i="9"/>
  <c r="AG49" i="9" s="1"/>
  <c r="Y51" i="9"/>
  <c r="Y51" i="10"/>
  <c r="L91" i="9"/>
  <c r="AC51" i="9" s="1"/>
  <c r="AC51" i="10"/>
  <c r="P91" i="9"/>
  <c r="AG51" i="9" s="1"/>
  <c r="AG51" i="10"/>
  <c r="Y61" i="9"/>
  <c r="Y61" i="10"/>
  <c r="L85" i="9"/>
  <c r="AC61" i="9" s="1"/>
  <c r="AC61" i="10"/>
  <c r="P85" i="9"/>
  <c r="AG61" i="9" s="1"/>
  <c r="AG61" i="10"/>
  <c r="Y62" i="10"/>
  <c r="Y62" i="9"/>
  <c r="L86" i="9"/>
  <c r="AC62" i="9" s="1"/>
  <c r="AC62" i="10"/>
  <c r="AG62" i="10"/>
  <c r="P86" i="9"/>
  <c r="AG62" i="9" s="1"/>
  <c r="Y55" i="9"/>
  <c r="Y55" i="10"/>
  <c r="AC55" i="10"/>
  <c r="L82" i="9"/>
  <c r="AC55" i="9" s="1"/>
  <c r="AG55" i="10"/>
  <c r="P82" i="9"/>
  <c r="AG55" i="9" s="1"/>
  <c r="Y56" i="10"/>
  <c r="L83" i="9"/>
  <c r="AC56" i="10"/>
  <c r="P83" i="9"/>
  <c r="AG56" i="10"/>
  <c r="Y53" i="9"/>
  <c r="Y53" i="10"/>
  <c r="L79" i="9"/>
  <c r="AC53" i="9" s="1"/>
  <c r="AC53" i="10"/>
  <c r="P79" i="9"/>
  <c r="AG53" i="9" s="1"/>
  <c r="AG53" i="10"/>
  <c r="Y54" i="9"/>
  <c r="Y54" i="10"/>
  <c r="L80" i="9"/>
  <c r="AC54" i="9" s="1"/>
  <c r="AC54" i="10"/>
  <c r="P80" i="9"/>
  <c r="AG54" i="9" s="1"/>
  <c r="AG54" i="10"/>
  <c r="Y57" i="9"/>
  <c r="Y57" i="10"/>
  <c r="L89" i="9"/>
  <c r="AC57" i="9" s="1"/>
  <c r="AC57" i="10"/>
  <c r="P89" i="9"/>
  <c r="AG57" i="9" s="1"/>
  <c r="AG57" i="10"/>
  <c r="Y58" i="10"/>
  <c r="Y58" i="9"/>
  <c r="AC58" i="10"/>
  <c r="L90" i="9"/>
  <c r="AC58" i="9" s="1"/>
  <c r="P90" i="9"/>
  <c r="AG58" i="9" s="1"/>
  <c r="AG58" i="10"/>
  <c r="Y59" i="9"/>
  <c r="Y59" i="10"/>
  <c r="L93" i="9"/>
  <c r="AC59" i="9" s="1"/>
  <c r="AC59" i="10"/>
  <c r="P93" i="9"/>
  <c r="AG59" i="9" s="1"/>
  <c r="AG59" i="10"/>
  <c r="Y60" i="9"/>
  <c r="Y60" i="10"/>
  <c r="AC60" i="10"/>
  <c r="L94" i="9"/>
  <c r="AC60" i="9" s="1"/>
  <c r="P94" i="9"/>
  <c r="AG60" i="9" s="1"/>
  <c r="AG60" i="10"/>
  <c r="Y63" i="9"/>
  <c r="Y63" i="10"/>
  <c r="L87" i="9"/>
  <c r="AC63" i="9" s="1"/>
  <c r="AC63" i="10"/>
  <c r="P87" i="9"/>
  <c r="AG63" i="9" s="1"/>
  <c r="AG63" i="10"/>
  <c r="Y64" i="9"/>
  <c r="Y64" i="10"/>
  <c r="L88" i="9"/>
  <c r="AC64" i="9" s="1"/>
  <c r="AC64" i="10"/>
  <c r="P88" i="9"/>
  <c r="AG64" i="9" s="1"/>
  <c r="AG64" i="10"/>
  <c r="Y79" i="10"/>
  <c r="AC79" i="10"/>
  <c r="L102" i="9"/>
  <c r="P102" i="9"/>
  <c r="AG79" i="10"/>
  <c r="Y76" i="10"/>
  <c r="L97" i="9"/>
  <c r="AC76" i="10"/>
  <c r="AG76" i="10"/>
  <c r="P97" i="9"/>
  <c r="Y78" i="10"/>
  <c r="AC78" i="10"/>
  <c r="L96" i="9"/>
  <c r="P96" i="9"/>
  <c r="AG78" i="10"/>
  <c r="Y45" i="9"/>
  <c r="Y45" i="10"/>
  <c r="L74" i="9"/>
  <c r="AC45" i="9" s="1"/>
  <c r="AC45" i="10"/>
  <c r="P74" i="9"/>
  <c r="AG45" i="9" s="1"/>
  <c r="AG45" i="10"/>
  <c r="Q135" i="10"/>
  <c r="E142" i="10"/>
  <c r="V67" i="10"/>
  <c r="Z67" i="10"/>
  <c r="M135" i="9"/>
  <c r="AD67" i="10"/>
  <c r="M142" i="10"/>
  <c r="E143" i="10"/>
  <c r="Q136" i="10"/>
  <c r="V68" i="10"/>
  <c r="M136" i="9"/>
  <c r="AD68" i="10"/>
  <c r="M143" i="10"/>
  <c r="AA27" i="10"/>
  <c r="W29" i="10"/>
  <c r="W32" i="10"/>
  <c r="W33" i="9"/>
  <c r="W33" i="10"/>
  <c r="W34" i="9"/>
  <c r="W34" i="10"/>
  <c r="N43" i="9"/>
  <c r="AE34" i="9" s="1"/>
  <c r="AE34" i="10"/>
  <c r="N45" i="9"/>
  <c r="AE35" i="10"/>
  <c r="N51" i="10"/>
  <c r="AE36" i="10"/>
  <c r="N49" i="9"/>
  <c r="AA39" i="10"/>
  <c r="J69" i="10"/>
  <c r="J67" i="10"/>
  <c r="AA41" i="10"/>
  <c r="J68" i="10"/>
  <c r="W44" i="10"/>
  <c r="W44" i="9"/>
  <c r="W47" i="10"/>
  <c r="W46" i="9"/>
  <c r="W46" i="10"/>
  <c r="N73" i="9"/>
  <c r="AE46" i="9" s="1"/>
  <c r="AE46" i="10"/>
  <c r="AE48" i="10"/>
  <c r="N75" i="9"/>
  <c r="AE50" i="1"/>
  <c r="AA49" i="9"/>
  <c r="AA49" i="10"/>
  <c r="AA51" i="9"/>
  <c r="AA51" i="10"/>
  <c r="AA61" i="9"/>
  <c r="AA61" i="10"/>
  <c r="AA62" i="9"/>
  <c r="AA62" i="10"/>
  <c r="AE55" i="10"/>
  <c r="N82" i="9"/>
  <c r="AE55" i="9" s="1"/>
  <c r="AA56" i="10"/>
  <c r="AE53" i="10"/>
  <c r="N79" i="9"/>
  <c r="AE53" i="9" s="1"/>
  <c r="N80" i="9"/>
  <c r="AE54" i="9" s="1"/>
  <c r="AE54" i="10"/>
  <c r="AA57" i="9"/>
  <c r="AA57" i="10"/>
  <c r="AA58" i="9"/>
  <c r="AA58" i="10"/>
  <c r="AA59" i="9"/>
  <c r="AA59" i="10"/>
  <c r="AA60" i="10"/>
  <c r="AA60" i="9"/>
  <c r="AA63" i="9"/>
  <c r="AA63" i="10"/>
  <c r="N88" i="9"/>
  <c r="AE64" i="9" s="1"/>
  <c r="AE64" i="10"/>
  <c r="W79" i="9"/>
  <c r="W86" i="9" s="1"/>
  <c r="W79" i="10"/>
  <c r="N102" i="9"/>
  <c r="AE79" i="10"/>
  <c r="N97" i="9"/>
  <c r="AE76" i="10"/>
  <c r="AA78" i="10"/>
  <c r="W45" i="9"/>
  <c r="W45" i="10"/>
  <c r="AA45" i="9"/>
  <c r="AA45" i="10"/>
  <c r="K135" i="9"/>
  <c r="K142" i="10"/>
  <c r="AB67" i="10"/>
  <c r="K143" i="10"/>
  <c r="K136" i="9"/>
  <c r="AB68" i="10"/>
  <c r="AB27" i="10"/>
  <c r="K35" i="10"/>
  <c r="I14" i="32" s="1"/>
  <c r="K27" i="9"/>
  <c r="K37" i="10"/>
  <c r="K32" i="9"/>
  <c r="AB29" i="10"/>
  <c r="K36" i="10"/>
  <c r="O32" i="9"/>
  <c r="AF29" i="10"/>
  <c r="O36" i="10"/>
  <c r="K38" i="9"/>
  <c r="K52" i="10"/>
  <c r="K50" i="10"/>
  <c r="AB32" i="10"/>
  <c r="X33" i="9"/>
  <c r="X33" i="10"/>
  <c r="O41" i="9"/>
  <c r="AF33" i="9" s="1"/>
  <c r="AF33" i="10"/>
  <c r="K43" i="9"/>
  <c r="AB34" i="9" s="1"/>
  <c r="AB34" i="10"/>
  <c r="O43" i="9"/>
  <c r="AF34" i="9" s="1"/>
  <c r="AF34" i="10"/>
  <c r="K45" i="9"/>
  <c r="K51" i="10"/>
  <c r="AB35" i="10"/>
  <c r="X36" i="9"/>
  <c r="X36" i="10"/>
  <c r="O49" i="9"/>
  <c r="AF36" i="10"/>
  <c r="K53" i="9"/>
  <c r="K69" i="10"/>
  <c r="AB39" i="10"/>
  <c r="K67" i="10"/>
  <c r="O53" i="9"/>
  <c r="AF39" i="10"/>
  <c r="O69" i="10"/>
  <c r="O67" i="10"/>
  <c r="X41" i="10"/>
  <c r="G68" i="10"/>
  <c r="O59" i="9"/>
  <c r="AF41" i="10"/>
  <c r="O68" i="10"/>
  <c r="X44" i="9"/>
  <c r="X44" i="10"/>
  <c r="K70" i="9"/>
  <c r="AB44" i="9" s="1"/>
  <c r="AB44" i="10"/>
  <c r="O70" i="9"/>
  <c r="AF44" i="9" s="1"/>
  <c r="AF44" i="10"/>
  <c r="K18" i="13"/>
  <c r="K19" i="13" s="1"/>
  <c r="K24" i="13" s="1"/>
  <c r="K72" i="10"/>
  <c r="K20" i="10" s="1"/>
  <c r="O18" i="13"/>
  <c r="O19" i="13" s="1"/>
  <c r="O24" i="13" s="1"/>
  <c r="O72" i="10"/>
  <c r="O20" i="10" s="1"/>
  <c r="K71" i="9"/>
  <c r="O71" i="9"/>
  <c r="X46" i="10"/>
  <c r="X46" i="9"/>
  <c r="K73" i="9"/>
  <c r="AB46" i="9" s="1"/>
  <c r="AB46" i="10"/>
  <c r="AF46" i="10"/>
  <c r="O73" i="9"/>
  <c r="AF46" i="9" s="1"/>
  <c r="X50" i="1"/>
  <c r="X48" i="10"/>
  <c r="K75" i="9"/>
  <c r="AB50" i="1"/>
  <c r="AB48" i="10"/>
  <c r="AF50" i="1"/>
  <c r="O75" i="9"/>
  <c r="AF48" i="10"/>
  <c r="X49" i="9"/>
  <c r="X49" i="10"/>
  <c r="AB49" i="10"/>
  <c r="K77" i="9"/>
  <c r="AB49" i="9" s="1"/>
  <c r="O77" i="9"/>
  <c r="AF49" i="9" s="1"/>
  <c r="AF49" i="10"/>
  <c r="X51" i="9"/>
  <c r="X51" i="10"/>
  <c r="AB51" i="10"/>
  <c r="K91" i="9"/>
  <c r="AB51" i="9" s="1"/>
  <c r="O91" i="9"/>
  <c r="AF51" i="9" s="1"/>
  <c r="AF51" i="10"/>
  <c r="X61" i="9"/>
  <c r="X61" i="10"/>
  <c r="AB61" i="10"/>
  <c r="K85" i="9"/>
  <c r="AB61" i="9" s="1"/>
  <c r="O85" i="9"/>
  <c r="AF61" i="9" s="1"/>
  <c r="AF61" i="10"/>
  <c r="X62" i="9"/>
  <c r="X62" i="10"/>
  <c r="K86" i="9"/>
  <c r="AB62" i="9" s="1"/>
  <c r="AB62" i="10"/>
  <c r="O86" i="9"/>
  <c r="AF62" i="9" s="1"/>
  <c r="AF62" i="10"/>
  <c r="X55" i="9"/>
  <c r="X55" i="10"/>
  <c r="K82" i="9"/>
  <c r="AB55" i="9" s="1"/>
  <c r="AB55" i="10"/>
  <c r="O82" i="9"/>
  <c r="AF55" i="9" s="1"/>
  <c r="AF55" i="10"/>
  <c r="X56" i="10"/>
  <c r="AB56" i="10"/>
  <c r="K83" i="9"/>
  <c r="O83" i="9"/>
  <c r="AF56" i="10"/>
  <c r="X53" i="10"/>
  <c r="X53" i="9"/>
  <c r="K79" i="9"/>
  <c r="AB53" i="9" s="1"/>
  <c r="AB53" i="10"/>
  <c r="O79" i="9"/>
  <c r="AF53" i="9" s="1"/>
  <c r="AF53" i="10"/>
  <c r="X54" i="9"/>
  <c r="X54" i="10"/>
  <c r="O80" i="9"/>
  <c r="AF54" i="9" s="1"/>
  <c r="AF54" i="10"/>
  <c r="K89" i="9"/>
  <c r="AB57" i="9" s="1"/>
  <c r="AB57" i="10"/>
  <c r="X58" i="10"/>
  <c r="X58" i="9"/>
  <c r="O90" i="9"/>
  <c r="AF58" i="9" s="1"/>
  <c r="AF58" i="10"/>
  <c r="K93" i="9"/>
  <c r="AB59" i="9" s="1"/>
  <c r="AB59" i="10"/>
  <c r="X60" i="9"/>
  <c r="X60" i="10"/>
  <c r="K94" i="9"/>
  <c r="AB60" i="9" s="1"/>
  <c r="AB60" i="10"/>
  <c r="X63" i="9"/>
  <c r="X63" i="10"/>
  <c r="AF63" i="10"/>
  <c r="O87" i="9"/>
  <c r="AF63" i="9" s="1"/>
  <c r="K88" i="9"/>
  <c r="AB64" i="9" s="1"/>
  <c r="AB64" i="10"/>
  <c r="X79" i="10"/>
  <c r="K97" i="9"/>
  <c r="AB76" i="10"/>
  <c r="AF76" i="10"/>
  <c r="O97" i="9"/>
  <c r="X78" i="10"/>
  <c r="O96" i="9"/>
  <c r="AF78" i="10"/>
  <c r="O74" i="9"/>
  <c r="AF45" i="9" s="1"/>
  <c r="AF45" i="10"/>
  <c r="L135" i="9"/>
  <c r="L142" i="10"/>
  <c r="AC67" i="10"/>
  <c r="Y68" i="10"/>
  <c r="H143" i="10"/>
  <c r="AC68" i="10"/>
  <c r="L143" i="10"/>
  <c r="L136" i="9"/>
  <c r="V30" i="1"/>
  <c r="V28" i="10"/>
  <c r="Q27" i="10"/>
  <c r="V27" i="10"/>
  <c r="E35" i="10"/>
  <c r="C14" i="32" s="1"/>
  <c r="Z27" i="10"/>
  <c r="M27" i="9"/>
  <c r="AD27" i="10"/>
  <c r="V29" i="10"/>
  <c r="Q32" i="10"/>
  <c r="Z29" i="10"/>
  <c r="M32" i="9"/>
  <c r="M36" i="10"/>
  <c r="AD29" i="10"/>
  <c r="V32" i="10"/>
  <c r="E50" i="10"/>
  <c r="E52" i="10"/>
  <c r="Q38" i="10"/>
  <c r="AP36" i="10"/>
  <c r="Z32" i="10"/>
  <c r="AD32" i="10"/>
  <c r="M38" i="9"/>
  <c r="M50" i="10"/>
  <c r="M52" i="10"/>
  <c r="AT36" i="10" s="1"/>
  <c r="V33" i="10"/>
  <c r="Q41" i="10"/>
  <c r="Z33" i="9"/>
  <c r="Z33" i="10"/>
  <c r="AD33" i="10"/>
  <c r="M41" i="9"/>
  <c r="AD33" i="9" s="1"/>
  <c r="V34" i="10"/>
  <c r="Q43" i="10"/>
  <c r="Z34" i="9"/>
  <c r="Z34" i="10"/>
  <c r="M43" i="9"/>
  <c r="AD34" i="9" s="1"/>
  <c r="AD34" i="10"/>
  <c r="V35" i="10"/>
  <c r="E51" i="10"/>
  <c r="Q45" i="10"/>
  <c r="Z35" i="10"/>
  <c r="M45" i="9"/>
  <c r="AD35" i="10"/>
  <c r="M51" i="10"/>
  <c r="Q49" i="10"/>
  <c r="V36" i="10"/>
  <c r="Z36" i="10"/>
  <c r="M49" i="9"/>
  <c r="AD36" i="10"/>
  <c r="V39" i="10"/>
  <c r="Q53" i="10"/>
  <c r="E67" i="10"/>
  <c r="E69" i="10"/>
  <c r="Z39" i="10"/>
  <c r="I67" i="9"/>
  <c r="AD39" i="10"/>
  <c r="M67" i="10"/>
  <c r="M69" i="10"/>
  <c r="M53" i="9"/>
  <c r="E68" i="10"/>
  <c r="Q59" i="10"/>
  <c r="V41" i="10"/>
  <c r="Z41" i="10"/>
  <c r="I68" i="9"/>
  <c r="M68" i="10"/>
  <c r="M59" i="9"/>
  <c r="AD41" i="10"/>
  <c r="V44" i="10"/>
  <c r="Q70" i="10"/>
  <c r="Z44" i="9"/>
  <c r="Z44" i="10"/>
  <c r="M70" i="9"/>
  <c r="AD44" i="9" s="1"/>
  <c r="AD44" i="10"/>
  <c r="I18" i="13"/>
  <c r="I19" i="13" s="1"/>
  <c r="I24" i="13" s="1"/>
  <c r="M18" i="13"/>
  <c r="M19" i="13" s="1"/>
  <c r="M24" i="13" s="1"/>
  <c r="M72" i="10"/>
  <c r="M20" i="10" s="1"/>
  <c r="Q71" i="10"/>
  <c r="M71" i="9"/>
  <c r="V46" i="9"/>
  <c r="V46" i="10"/>
  <c r="Q73" i="10"/>
  <c r="Z46" i="9"/>
  <c r="Z46" i="10"/>
  <c r="M73" i="9"/>
  <c r="AD46" i="9" s="1"/>
  <c r="AD46" i="10"/>
  <c r="V50" i="1"/>
  <c r="V48" i="10"/>
  <c r="Z50" i="1"/>
  <c r="Z48" i="10"/>
  <c r="AD48" i="10"/>
  <c r="AD50" i="1"/>
  <c r="M75" i="9"/>
  <c r="V49" i="9"/>
  <c r="V49" i="10"/>
  <c r="Q77" i="10"/>
  <c r="Z49" i="9"/>
  <c r="Z49" i="10"/>
  <c r="M77" i="9"/>
  <c r="AD49" i="9" s="1"/>
  <c r="AD49" i="10"/>
  <c r="V51" i="9"/>
  <c r="Q91" i="10"/>
  <c r="V51" i="10"/>
  <c r="Z51" i="9"/>
  <c r="Z51" i="10"/>
  <c r="M91" i="9"/>
  <c r="AD51" i="9" s="1"/>
  <c r="AD51" i="10"/>
  <c r="V61" i="9"/>
  <c r="V61" i="10"/>
  <c r="Q85" i="10"/>
  <c r="Z61" i="10"/>
  <c r="Z61" i="9"/>
  <c r="M85" i="9"/>
  <c r="AD61" i="10"/>
  <c r="V62" i="9"/>
  <c r="Q86" i="10"/>
  <c r="V62" i="10"/>
  <c r="Z62" i="9"/>
  <c r="Z62" i="10"/>
  <c r="M86" i="9"/>
  <c r="AD62" i="9" s="1"/>
  <c r="AD62" i="10"/>
  <c r="V55" i="9"/>
  <c r="V55" i="10"/>
  <c r="Q82" i="10"/>
  <c r="Z55" i="9"/>
  <c r="Z55" i="10"/>
  <c r="M82" i="9"/>
  <c r="AD55" i="9" s="1"/>
  <c r="AD55" i="10"/>
  <c r="V58" i="1"/>
  <c r="V56" i="10"/>
  <c r="Q83" i="10"/>
  <c r="Z56" i="10"/>
  <c r="M83" i="9"/>
  <c r="AD56" i="10"/>
  <c r="V53" i="9"/>
  <c r="V53" i="10"/>
  <c r="Q79" i="10"/>
  <c r="Z53" i="9"/>
  <c r="Z53" i="10"/>
  <c r="M79" i="9"/>
  <c r="AD53" i="9" s="1"/>
  <c r="AD53" i="10"/>
  <c r="V54" i="9"/>
  <c r="V54" i="10"/>
  <c r="Q80" i="10"/>
  <c r="Z54" i="9"/>
  <c r="Z54" i="10"/>
  <c r="M80" i="9"/>
  <c r="AD54" i="9" s="1"/>
  <c r="AD54" i="10"/>
  <c r="V57" i="10"/>
  <c r="Q89" i="10"/>
  <c r="V57" i="9"/>
  <c r="Z57" i="9"/>
  <c r="Z57" i="10"/>
  <c r="AD57" i="10"/>
  <c r="M89" i="9"/>
  <c r="AD57" i="9" s="1"/>
  <c r="V58" i="9"/>
  <c r="V58" i="10"/>
  <c r="Q90" i="10"/>
  <c r="Z58" i="9"/>
  <c r="Z58" i="10"/>
  <c r="M90" i="9"/>
  <c r="AD58" i="9" s="1"/>
  <c r="AD58" i="10"/>
  <c r="Q93" i="10"/>
  <c r="V59" i="10"/>
  <c r="V59" i="9"/>
  <c r="Z59" i="9"/>
  <c r="Z59" i="10"/>
  <c r="AD59" i="10"/>
  <c r="M93" i="9"/>
  <c r="AD59" i="9" s="1"/>
  <c r="V60" i="9"/>
  <c r="Z60" i="10"/>
  <c r="Z60" i="9"/>
  <c r="M94" i="9"/>
  <c r="AD60" i="9" s="1"/>
  <c r="AD60" i="10"/>
  <c r="V63" i="9"/>
  <c r="V63" i="10"/>
  <c r="Q87" i="10"/>
  <c r="Z63" i="9"/>
  <c r="Z63" i="10"/>
  <c r="M87" i="9"/>
  <c r="AD63" i="9" s="1"/>
  <c r="AD63" i="10"/>
  <c r="V64" i="9"/>
  <c r="V64" i="10"/>
  <c r="Q88" i="10"/>
  <c r="Z64" i="9"/>
  <c r="Z64" i="10"/>
  <c r="M88" i="9"/>
  <c r="AD64" i="9" s="1"/>
  <c r="AD64" i="10"/>
  <c r="Q102" i="10"/>
  <c r="V79" i="10"/>
  <c r="Z79" i="10"/>
  <c r="M102" i="9"/>
  <c r="AD79" i="10"/>
  <c r="Q104" i="9"/>
  <c r="Q104" i="10"/>
  <c r="Q97" i="10"/>
  <c r="Z76" i="10"/>
  <c r="AD76" i="10"/>
  <c r="M97" i="9"/>
  <c r="Q99" i="10"/>
  <c r="Q110" i="10"/>
  <c r="Q109" i="10"/>
  <c r="Q107" i="10"/>
  <c r="Q112" i="10"/>
  <c r="Q115" i="9"/>
  <c r="Q115" i="10"/>
  <c r="Q111" i="10"/>
  <c r="Q103" i="9"/>
  <c r="Q103" i="10"/>
  <c r="V78" i="10"/>
  <c r="Q96" i="10"/>
  <c r="Z78" i="10"/>
  <c r="M96" i="9"/>
  <c r="AD78" i="10"/>
  <c r="V45" i="9"/>
  <c r="V45" i="10"/>
  <c r="Q74" i="10"/>
  <c r="Z45" i="9"/>
  <c r="Z45" i="10"/>
  <c r="M74" i="9"/>
  <c r="AD45" i="9" s="1"/>
  <c r="AD45" i="10"/>
  <c r="Z68" i="10"/>
  <c r="F142" i="10"/>
  <c r="W67" i="10"/>
  <c r="AA67" i="10"/>
  <c r="J142" i="10"/>
  <c r="N135" i="9"/>
  <c r="N142" i="10"/>
  <c r="AE67" i="10"/>
  <c r="W68" i="10"/>
  <c r="F143" i="10"/>
  <c r="AA68" i="10"/>
  <c r="J143" i="10"/>
  <c r="AE68" i="10"/>
  <c r="N136" i="9"/>
  <c r="N143" i="10"/>
  <c r="AD122" i="13"/>
  <c r="AD121" i="13"/>
  <c r="AD123" i="13"/>
  <c r="V123" i="13"/>
  <c r="V122" i="13"/>
  <c r="AG121" i="13"/>
  <c r="AG123" i="13"/>
  <c r="AG122" i="13"/>
  <c r="AC121" i="13"/>
  <c r="AC123" i="13"/>
  <c r="AC122" i="13"/>
  <c r="Y121" i="13"/>
  <c r="Y123" i="13"/>
  <c r="Y122" i="13"/>
  <c r="V131" i="13"/>
  <c r="V135" i="13"/>
  <c r="W135" i="13" s="1"/>
  <c r="V139" i="13"/>
  <c r="W139" i="13" s="1"/>
  <c r="X139" i="13" s="1"/>
  <c r="Y139" i="13" s="1"/>
  <c r="Z139" i="13" s="1"/>
  <c r="AA139" i="13" s="1"/>
  <c r="AB139" i="13" s="1"/>
  <c r="AC139" i="13" s="1"/>
  <c r="AD139" i="13" s="1"/>
  <c r="AE139" i="13" s="1"/>
  <c r="AF139" i="13" s="1"/>
  <c r="AG139" i="13" s="1"/>
  <c r="V143" i="13"/>
  <c r="V129" i="13"/>
  <c r="V133" i="13"/>
  <c r="V137" i="13"/>
  <c r="W137" i="13" s="1"/>
  <c r="X137" i="13" s="1"/>
  <c r="Y137" i="13" s="1"/>
  <c r="Z137" i="13" s="1"/>
  <c r="AA137" i="13" s="1"/>
  <c r="AB137" i="13" s="1"/>
  <c r="AC137" i="13" s="1"/>
  <c r="AD137" i="13" s="1"/>
  <c r="AE137" i="13" s="1"/>
  <c r="AF137" i="13" s="1"/>
  <c r="AG137" i="13" s="1"/>
  <c r="V141" i="13"/>
  <c r="W141" i="13" s="1"/>
  <c r="X141" i="13" s="1"/>
  <c r="Y141" i="13" s="1"/>
  <c r="Z141" i="13" s="1"/>
  <c r="AA141" i="13" s="1"/>
  <c r="AB141" i="13" s="1"/>
  <c r="AC141" i="13" s="1"/>
  <c r="AD141" i="13" s="1"/>
  <c r="AE141" i="13" s="1"/>
  <c r="AF141" i="13" s="1"/>
  <c r="AG141" i="13" s="1"/>
  <c r="V145" i="13"/>
  <c r="W145" i="13" s="1"/>
  <c r="X145" i="13" s="1"/>
  <c r="Y145" i="13" s="1"/>
  <c r="Z145" i="13" s="1"/>
  <c r="AA145" i="13" s="1"/>
  <c r="AB145" i="13" s="1"/>
  <c r="AC145" i="13" s="1"/>
  <c r="AD145" i="13" s="1"/>
  <c r="AE145" i="13" s="1"/>
  <c r="AF145" i="13" s="1"/>
  <c r="AG145" i="13" s="1"/>
  <c r="AF123" i="13"/>
  <c r="AF122" i="13"/>
  <c r="AF121" i="13"/>
  <c r="AB123" i="13"/>
  <c r="AB122" i="13"/>
  <c r="AB121" i="13"/>
  <c r="X123" i="13"/>
  <c r="X122" i="13"/>
  <c r="X121" i="13"/>
  <c r="V132" i="13"/>
  <c r="W132" i="13" s="1"/>
  <c r="X132" i="13" s="1"/>
  <c r="Y132" i="13" s="1"/>
  <c r="Z132" i="13" s="1"/>
  <c r="AA132" i="13" s="1"/>
  <c r="AB132" i="13" s="1"/>
  <c r="AC132" i="13" s="1"/>
  <c r="AD132" i="13" s="1"/>
  <c r="AE132" i="13" s="1"/>
  <c r="AF132" i="13" s="1"/>
  <c r="AG132" i="13" s="1"/>
  <c r="V136" i="13"/>
  <c r="W136" i="13" s="1"/>
  <c r="V140" i="13"/>
  <c r="V144" i="13"/>
  <c r="V134" i="13"/>
  <c r="W134" i="13" s="1"/>
  <c r="X134" i="13" s="1"/>
  <c r="Y134" i="13" s="1"/>
  <c r="Z134" i="13" s="1"/>
  <c r="AA134" i="13" s="1"/>
  <c r="AB134" i="13" s="1"/>
  <c r="AC134" i="13" s="1"/>
  <c r="AD134" i="13" s="1"/>
  <c r="AE134" i="13" s="1"/>
  <c r="AF134" i="13" s="1"/>
  <c r="AG134" i="13" s="1"/>
  <c r="V138" i="13"/>
  <c r="W138" i="13" s="1"/>
  <c r="X138" i="13" s="1"/>
  <c r="Y138" i="13" s="1"/>
  <c r="Z138" i="13" s="1"/>
  <c r="AA138" i="13" s="1"/>
  <c r="AB138" i="13" s="1"/>
  <c r="AC138" i="13" s="1"/>
  <c r="AD138" i="13" s="1"/>
  <c r="AE138" i="13" s="1"/>
  <c r="AF138" i="13" s="1"/>
  <c r="AG138" i="13" s="1"/>
  <c r="V142" i="13"/>
  <c r="W142" i="13" s="1"/>
  <c r="X142" i="13" s="1"/>
  <c r="Y142" i="13" s="1"/>
  <c r="Z142" i="13" s="1"/>
  <c r="AA142" i="13" s="1"/>
  <c r="AB142" i="13" s="1"/>
  <c r="AC142" i="13" s="1"/>
  <c r="AD142" i="13" s="1"/>
  <c r="AE142" i="13" s="1"/>
  <c r="AF142" i="13" s="1"/>
  <c r="AG142" i="13" s="1"/>
  <c r="V130" i="13"/>
  <c r="V146" i="13"/>
  <c r="W146" i="13" s="1"/>
  <c r="X146" i="13" s="1"/>
  <c r="Y146" i="13" s="1"/>
  <c r="Z146" i="13" s="1"/>
  <c r="AA146" i="13" s="1"/>
  <c r="Z122" i="13"/>
  <c r="Z121" i="13"/>
  <c r="Z123" i="13"/>
  <c r="AE123" i="13"/>
  <c r="AE122" i="13"/>
  <c r="AE121" i="13"/>
  <c r="AA123" i="13"/>
  <c r="AA122" i="13"/>
  <c r="AA121" i="13"/>
  <c r="W123" i="13"/>
  <c r="W122" i="13"/>
  <c r="W121" i="13"/>
  <c r="AD17" i="19"/>
  <c r="AA17" i="19"/>
  <c r="W17" i="19"/>
  <c r="X17" i="19"/>
  <c r="AB17" i="19"/>
  <c r="AF17" i="19"/>
  <c r="AC17" i="19"/>
  <c r="AE17" i="19"/>
  <c r="U17" i="19"/>
  <c r="Z17" i="19"/>
  <c r="V17" i="19"/>
  <c r="BB42" i="20"/>
  <c r="N28" i="10"/>
  <c r="N182" i="1" s="1"/>
  <c r="P28" i="10"/>
  <c r="P182" i="1" s="1"/>
  <c r="E94" i="20"/>
  <c r="AO94" i="20" s="1"/>
  <c r="S124" i="20"/>
  <c r="AO42" i="20"/>
  <c r="AR94" i="20"/>
  <c r="E10" i="19"/>
  <c r="I7" i="19"/>
  <c r="I10" i="19" s="1"/>
  <c r="I9" i="19"/>
  <c r="Q9" i="19" s="1"/>
  <c r="Y9" i="19"/>
  <c r="Y11" i="19"/>
  <c r="Y17" i="19" s="1"/>
  <c r="AC8" i="13"/>
  <c r="AC20" i="13" s="1"/>
  <c r="AN107" i="20"/>
  <c r="AB8" i="13"/>
  <c r="AB20" i="13" s="1"/>
  <c r="AA8" i="13"/>
  <c r="AA20" i="13" s="1"/>
  <c r="AD50" i="18"/>
  <c r="AA50" i="18"/>
  <c r="AB50" i="18"/>
  <c r="AE50" i="18"/>
  <c r="AF50" i="18"/>
  <c r="X50" i="18"/>
  <c r="Y50" i="18"/>
  <c r="Z50" i="18"/>
  <c r="AC50" i="18"/>
  <c r="V50" i="18"/>
  <c r="U50" i="18"/>
  <c r="W50" i="18"/>
  <c r="AV94" i="20"/>
  <c r="AQ23" i="20"/>
  <c r="J23" i="20"/>
  <c r="J94" i="20" s="1"/>
  <c r="J107" i="20" s="1"/>
  <c r="G94" i="20"/>
  <c r="AV107" i="20"/>
  <c r="J127" i="20"/>
  <c r="AN94" i="20"/>
  <c r="S12" i="20"/>
  <c r="S23" i="20" s="1"/>
  <c r="AK185" i="20"/>
  <c r="AS94" i="20"/>
  <c r="I107" i="20"/>
  <c r="AS107" i="20" s="1"/>
  <c r="AB94" i="20"/>
  <c r="AB107" i="20" s="1"/>
  <c r="I160" i="20"/>
  <c r="I136" i="20" s="1"/>
  <c r="G123" i="20"/>
  <c r="J123" i="20" s="1"/>
  <c r="J185" i="20"/>
  <c r="G186" i="20"/>
  <c r="S42" i="20"/>
  <c r="BC105" i="20"/>
  <c r="AK23" i="20"/>
  <c r="F23" i="20"/>
  <c r="F94" i="20" s="1"/>
  <c r="AM23" i="20"/>
  <c r="C94" i="20"/>
  <c r="BE26" i="20"/>
  <c r="R23" i="20"/>
  <c r="AY23" i="20"/>
  <c r="O94" i="20"/>
  <c r="AP12" i="20"/>
  <c r="AX23" i="20"/>
  <c r="AF94" i="20"/>
  <c r="AF107" i="20" s="1"/>
  <c r="H161" i="20"/>
  <c r="H135" i="20"/>
  <c r="H134" i="20" s="1"/>
  <c r="I123" i="20"/>
  <c r="I186" i="20"/>
  <c r="X94" i="20"/>
  <c r="X107" i="20" s="1"/>
  <c r="AV180" i="20"/>
  <c r="AU185" i="20"/>
  <c r="K183" i="20" s="1"/>
  <c r="S128" i="20"/>
  <c r="F127" i="20"/>
  <c r="AR107" i="20"/>
  <c r="K157" i="20"/>
  <c r="AP42" i="20"/>
  <c r="BC30" i="20"/>
  <c r="AK42" i="20"/>
  <c r="S93" i="20"/>
  <c r="BC93" i="20" s="1"/>
  <c r="J183" i="20"/>
  <c r="O132" i="20"/>
  <c r="N133" i="20"/>
  <c r="BC106" i="20"/>
  <c r="J136" i="13"/>
  <c r="L141" i="11"/>
  <c r="AE8" i="13"/>
  <c r="AE20" i="13" s="1"/>
  <c r="AD8" i="13"/>
  <c r="AD20" i="13" s="1"/>
  <c r="N136" i="13"/>
  <c r="F136" i="13"/>
  <c r="AF8" i="13"/>
  <c r="AF20" i="13" s="1"/>
  <c r="M136" i="13"/>
  <c r="P138" i="13"/>
  <c r="H29" i="13"/>
  <c r="H29" i="11" s="1"/>
  <c r="X8" i="13"/>
  <c r="X20" i="13" s="1"/>
  <c r="Z8" i="13"/>
  <c r="Z20" i="13" s="1"/>
  <c r="K42" i="13"/>
  <c r="K42" i="11" s="1"/>
  <c r="W8" i="13"/>
  <c r="W20" i="13" s="1"/>
  <c r="Y8" i="13"/>
  <c r="Y20" i="13" s="1"/>
  <c r="E132" i="1"/>
  <c r="E133" i="1"/>
  <c r="E134" i="1"/>
  <c r="O55" i="14"/>
  <c r="N55" i="14"/>
  <c r="M55" i="14"/>
  <c r="L55" i="14"/>
  <c r="K55" i="14"/>
  <c r="J55" i="14"/>
  <c r="I55" i="14"/>
  <c r="H55" i="14"/>
  <c r="G55" i="14"/>
  <c r="F55" i="14"/>
  <c r="E55" i="14"/>
  <c r="D55" i="14"/>
  <c r="O54" i="14"/>
  <c r="N54" i="14"/>
  <c r="M54" i="14"/>
  <c r="L54" i="14"/>
  <c r="K54" i="14"/>
  <c r="J54" i="14"/>
  <c r="I54" i="14"/>
  <c r="H54" i="14"/>
  <c r="G54" i="14"/>
  <c r="F54" i="14"/>
  <c r="E54" i="14"/>
  <c r="D54" i="14"/>
  <c r="L53" i="14"/>
  <c r="H53" i="14"/>
  <c r="D53" i="14"/>
  <c r="L52" i="14"/>
  <c r="H52" i="14"/>
  <c r="D52" i="14"/>
  <c r="O51" i="14"/>
  <c r="N51" i="14"/>
  <c r="M51" i="14"/>
  <c r="L51" i="14"/>
  <c r="K51" i="14"/>
  <c r="J51" i="14"/>
  <c r="I51" i="14"/>
  <c r="H51" i="14"/>
  <c r="G51" i="14"/>
  <c r="F51" i="14"/>
  <c r="E51" i="14"/>
  <c r="D51" i="14"/>
  <c r="M9" i="32" l="1"/>
  <c r="I9" i="32"/>
  <c r="E19" i="10"/>
  <c r="AB28" i="9"/>
  <c r="J8" i="31"/>
  <c r="I8" i="31"/>
  <c r="N8" i="31"/>
  <c r="H8" i="31"/>
  <c r="Q21" i="10"/>
  <c r="N20" i="10"/>
  <c r="K8" i="31"/>
  <c r="L20" i="10"/>
  <c r="AG5" i="13"/>
  <c r="U19" i="13"/>
  <c r="AG7" i="13"/>
  <c r="N16" i="31"/>
  <c r="AF18" i="10"/>
  <c r="H16" i="31"/>
  <c r="Z18" i="10"/>
  <c r="K16" i="31"/>
  <c r="AC18" i="10"/>
  <c r="M8" i="31"/>
  <c r="J16" i="31"/>
  <c r="AB18" i="10"/>
  <c r="L16" i="31"/>
  <c r="AD18" i="10"/>
  <c r="L8" i="31"/>
  <c r="M16" i="31"/>
  <c r="AE18" i="10"/>
  <c r="I16" i="31"/>
  <c r="AA18" i="10"/>
  <c r="I188" i="1"/>
  <c r="I201" i="1" s="1"/>
  <c r="N188" i="1"/>
  <c r="N201" i="1" s="1"/>
  <c r="E188" i="1"/>
  <c r="E201" i="1" s="1"/>
  <c r="E203" i="1" s="1"/>
  <c r="K188" i="1"/>
  <c r="K201" i="1" s="1"/>
  <c r="AA28" i="10"/>
  <c r="AA30" i="10" s="1"/>
  <c r="J182" i="1"/>
  <c r="J186" i="1" s="1"/>
  <c r="J199" i="1" s="1"/>
  <c r="O35" i="10"/>
  <c r="M14" i="32" s="1"/>
  <c r="O182" i="1"/>
  <c r="O186" i="1" s="1"/>
  <c r="O199" i="1" s="1"/>
  <c r="P188" i="1"/>
  <c r="P201" i="1" s="1"/>
  <c r="M188" i="1"/>
  <c r="M201" i="1" s="1"/>
  <c r="AD28" i="10"/>
  <c r="AD30" i="10" s="1"/>
  <c r="M182" i="1"/>
  <c r="M186" i="1" s="1"/>
  <c r="M199" i="1" s="1"/>
  <c r="N186" i="1"/>
  <c r="N199" i="1" s="1"/>
  <c r="P186" i="1"/>
  <c r="P199" i="1" s="1"/>
  <c r="M174" i="1"/>
  <c r="M193" i="1" s="1"/>
  <c r="N174" i="1"/>
  <c r="N193" i="1" s="1"/>
  <c r="P174" i="1"/>
  <c r="P193" i="1" s="1"/>
  <c r="L188" i="1"/>
  <c r="L201" i="1" s="1"/>
  <c r="J188" i="1"/>
  <c r="J201" i="1" s="1"/>
  <c r="L35" i="10"/>
  <c r="J14" i="32" s="1"/>
  <c r="L182" i="1"/>
  <c r="L186" i="1" s="1"/>
  <c r="L199" i="1" s="1"/>
  <c r="K186" i="1"/>
  <c r="K199" i="1" s="1"/>
  <c r="Z30" i="1"/>
  <c r="I182" i="1"/>
  <c r="I186" i="1" s="1"/>
  <c r="I199" i="1" s="1"/>
  <c r="O174" i="1"/>
  <c r="O193" i="1" s="1"/>
  <c r="O188" i="1"/>
  <c r="O201" i="1" s="1"/>
  <c r="J174" i="1"/>
  <c r="J193" i="1" s="1"/>
  <c r="E3" i="31"/>
  <c r="E2" i="31" s="1"/>
  <c r="C3" i="31"/>
  <c r="D3" i="31"/>
  <c r="D2" i="31" s="1"/>
  <c r="G3" i="31"/>
  <c r="L3" i="31"/>
  <c r="K3" i="31"/>
  <c r="N3" i="31"/>
  <c r="J3" i="31"/>
  <c r="M3" i="31"/>
  <c r="H3" i="31"/>
  <c r="I3" i="31"/>
  <c r="M173" i="20"/>
  <c r="M174" i="20" s="1"/>
  <c r="M129" i="20" s="1"/>
  <c r="M127" i="20" s="1"/>
  <c r="K19" i="31"/>
  <c r="L19" i="31"/>
  <c r="N19" i="31"/>
  <c r="M19" i="31"/>
  <c r="I19" i="31"/>
  <c r="H19" i="31"/>
  <c r="G19" i="31"/>
  <c r="F19" i="31"/>
  <c r="J19" i="31"/>
  <c r="E23" i="10"/>
  <c r="AU61" i="13"/>
  <c r="AV62" i="13"/>
  <c r="BJ30" i="11" s="1"/>
  <c r="AS53" i="13"/>
  <c r="BG21" i="11" s="1"/>
  <c r="AT53" i="13"/>
  <c r="BH21" i="11" s="1"/>
  <c r="AW49" i="13"/>
  <c r="BK15" i="11" s="1"/>
  <c r="AV64" i="13"/>
  <c r="BJ32" i="11" s="1"/>
  <c r="AQ61" i="13"/>
  <c r="BE29" i="11" s="1"/>
  <c r="AS48" i="13"/>
  <c r="AR54" i="13"/>
  <c r="BF22" i="11" s="1"/>
  <c r="K140" i="9"/>
  <c r="AB69" i="9" s="1"/>
  <c r="K140" i="13"/>
  <c r="J144" i="9"/>
  <c r="J140" i="13"/>
  <c r="O140" i="9"/>
  <c r="AF69" i="9" s="1"/>
  <c r="O140" i="13"/>
  <c r="I144" i="9"/>
  <c r="I144" i="1" s="1"/>
  <c r="I140" i="13"/>
  <c r="L140" i="9"/>
  <c r="AC69" i="9" s="1"/>
  <c r="L140" i="13"/>
  <c r="N140" i="9"/>
  <c r="AE69" i="9" s="1"/>
  <c r="N140" i="13"/>
  <c r="M140" i="9"/>
  <c r="AD69" i="9" s="1"/>
  <c r="M140" i="13"/>
  <c r="Y69" i="9"/>
  <c r="H140" i="13"/>
  <c r="P140" i="9"/>
  <c r="P140" i="13"/>
  <c r="AE36" i="9"/>
  <c r="AC36" i="9"/>
  <c r="AA36" i="9"/>
  <c r="Y36" i="9"/>
  <c r="AF36" i="9"/>
  <c r="AD36" i="9"/>
  <c r="Z36" i="9"/>
  <c r="AG36" i="9"/>
  <c r="AB36" i="9"/>
  <c r="L16" i="21"/>
  <c r="N16" i="21"/>
  <c r="K174" i="20"/>
  <c r="K129" i="20" s="1"/>
  <c r="H117" i="9"/>
  <c r="J16" i="21"/>
  <c r="N117" i="9"/>
  <c r="M117" i="9"/>
  <c r="J117" i="9"/>
  <c r="I117" i="9"/>
  <c r="P117" i="9"/>
  <c r="O117" i="9"/>
  <c r="L117" i="9"/>
  <c r="K117" i="9"/>
  <c r="G37" i="9"/>
  <c r="N17" i="21"/>
  <c r="P16" i="21"/>
  <c r="H16" i="21"/>
  <c r="O17" i="21"/>
  <c r="O16" i="21"/>
  <c r="J17" i="21"/>
  <c r="K17" i="21"/>
  <c r="I17" i="21"/>
  <c r="M16" i="21"/>
  <c r="I16" i="21"/>
  <c r="H17" i="21"/>
  <c r="K16" i="21"/>
  <c r="L17" i="21"/>
  <c r="M17" i="21"/>
  <c r="P17" i="21"/>
  <c r="X26" i="9"/>
  <c r="AD79" i="9"/>
  <c r="AD86" i="9" s="1"/>
  <c r="AM41" i="10"/>
  <c r="AM49" i="10"/>
  <c r="AM39" i="10"/>
  <c r="AM51" i="10"/>
  <c r="AM50" i="10"/>
  <c r="AM40" i="10"/>
  <c r="AM44" i="10"/>
  <c r="AM48" i="10"/>
  <c r="AM47" i="10"/>
  <c r="AM46" i="10"/>
  <c r="AM45" i="10"/>
  <c r="AM43" i="10"/>
  <c r="G37" i="10"/>
  <c r="E146" i="13"/>
  <c r="U8" i="13"/>
  <c r="Z48" i="9"/>
  <c r="AA79" i="9"/>
  <c r="AA86" i="9" s="1"/>
  <c r="K8" i="10"/>
  <c r="AE79" i="9"/>
  <c r="AE86" i="9" s="1"/>
  <c r="Y56" i="9"/>
  <c r="X28" i="10"/>
  <c r="X30" i="10" s="1"/>
  <c r="J8" i="10"/>
  <c r="I8" i="10"/>
  <c r="H8" i="10"/>
  <c r="N8" i="10"/>
  <c r="L8" i="10"/>
  <c r="M8" i="10"/>
  <c r="P8" i="10"/>
  <c r="O8" i="10"/>
  <c r="G8" i="10"/>
  <c r="Z56" i="9"/>
  <c r="AD48" i="9"/>
  <c r="AC56" i="9"/>
  <c r="AC48" i="9"/>
  <c r="AE56" i="9"/>
  <c r="X56" i="9"/>
  <c r="X48" i="9"/>
  <c r="Y79" i="9"/>
  <c r="Y86" i="9" s="1"/>
  <c r="AF79" i="9"/>
  <c r="AF86" i="9" s="1"/>
  <c r="X79" i="9"/>
  <c r="X86" i="9" s="1"/>
  <c r="AD56" i="9"/>
  <c r="AG48" i="9"/>
  <c r="Z79" i="9"/>
  <c r="Z86" i="9" s="1"/>
  <c r="Q99" i="9"/>
  <c r="AB79" i="9"/>
  <c r="AB86" i="9" s="1"/>
  <c r="Q112" i="9"/>
  <c r="Q111" i="9"/>
  <c r="Q109" i="9"/>
  <c r="Q107" i="9"/>
  <c r="AG79" i="9"/>
  <c r="AG86" i="9" s="1"/>
  <c r="AC79" i="9"/>
  <c r="AC86" i="9" s="1"/>
  <c r="AF56" i="9"/>
  <c r="AF48" i="9"/>
  <c r="J174" i="20"/>
  <c r="AA48" i="9"/>
  <c r="Q117" i="10"/>
  <c r="AD76" i="9"/>
  <c r="AD83" i="9" s="1"/>
  <c r="AG76" i="9"/>
  <c r="AG83" i="9" s="1"/>
  <c r="Y76" i="9"/>
  <c r="Y83" i="9" s="1"/>
  <c r="AB76" i="9"/>
  <c r="AB83" i="9" s="1"/>
  <c r="X76" i="9"/>
  <c r="X83" i="9" s="1"/>
  <c r="AA76" i="9"/>
  <c r="AA83" i="9" s="1"/>
  <c r="AF76" i="9"/>
  <c r="AF83" i="9" s="1"/>
  <c r="W76" i="9"/>
  <c r="Z76" i="9"/>
  <c r="Z83" i="9" s="1"/>
  <c r="AE76" i="9"/>
  <c r="AE83" i="9" s="1"/>
  <c r="AC76" i="9"/>
  <c r="AC83" i="9" s="1"/>
  <c r="V8" i="13"/>
  <c r="V20" i="13" s="1"/>
  <c r="F146" i="13"/>
  <c r="Y48" i="9"/>
  <c r="AA56" i="9"/>
  <c r="AE48" i="9"/>
  <c r="F124" i="10"/>
  <c r="AB48" i="9"/>
  <c r="AG56" i="9"/>
  <c r="AB56" i="9"/>
  <c r="Q84" i="9"/>
  <c r="Q76" i="9"/>
  <c r="AD30" i="1"/>
  <c r="M95" i="10"/>
  <c r="M72" i="13"/>
  <c r="K95" i="10"/>
  <c r="K72" i="13"/>
  <c r="J95" i="10"/>
  <c r="H20" i="32" s="1"/>
  <c r="J72" i="13"/>
  <c r="Z47" i="10"/>
  <c r="I72" i="13"/>
  <c r="O95" i="10"/>
  <c r="O72" i="13"/>
  <c r="X47" i="10"/>
  <c r="G72" i="13"/>
  <c r="P95" i="10"/>
  <c r="P72" i="13"/>
  <c r="Y47" i="10"/>
  <c r="H72" i="13"/>
  <c r="AF28" i="10"/>
  <c r="AF30" i="10" s="1"/>
  <c r="F37" i="9"/>
  <c r="AL27" i="10"/>
  <c r="AR27" i="10"/>
  <c r="N144" i="10"/>
  <c r="L11" i="32" s="1"/>
  <c r="G11" i="32"/>
  <c r="O144" i="10"/>
  <c r="M11" i="32" s="1"/>
  <c r="J144" i="10"/>
  <c r="H11" i="32" s="1"/>
  <c r="P144" i="10"/>
  <c r="N11" i="32" s="1"/>
  <c r="K144" i="10"/>
  <c r="I11" i="32" s="1"/>
  <c r="F144" i="10"/>
  <c r="L144" i="10"/>
  <c r="J11" i="32" s="1"/>
  <c r="G144" i="10"/>
  <c r="E11" i="32" s="1"/>
  <c r="M144" i="10"/>
  <c r="K11" i="32" s="1"/>
  <c r="H144" i="10"/>
  <c r="F11" i="32" s="1"/>
  <c r="AF30" i="1"/>
  <c r="E14" i="32"/>
  <c r="X30" i="1"/>
  <c r="O28" i="9"/>
  <c r="AF28" i="9" s="1"/>
  <c r="M35" i="10"/>
  <c r="K14" i="32" s="1"/>
  <c r="M28" i="9"/>
  <c r="AD28" i="9" s="1"/>
  <c r="M37" i="10"/>
  <c r="W71" i="1"/>
  <c r="O37" i="10"/>
  <c r="AA71" i="1"/>
  <c r="Q84" i="10"/>
  <c r="Q107" i="20"/>
  <c r="BA107" i="20" s="1"/>
  <c r="W56" i="10"/>
  <c r="F35" i="10"/>
  <c r="W50" i="1"/>
  <c r="L37" i="10"/>
  <c r="AC28" i="10"/>
  <c r="AC30" i="10" s="1"/>
  <c r="W30" i="1"/>
  <c r="Q31" i="10"/>
  <c r="AC30" i="1"/>
  <c r="L28" i="9"/>
  <c r="AC28" i="9" s="1"/>
  <c r="M107" i="20"/>
  <c r="AW107" i="20" s="1"/>
  <c r="J37" i="10"/>
  <c r="J35" i="10"/>
  <c r="H14" i="32" s="1"/>
  <c r="AA30" i="1"/>
  <c r="J37" i="9"/>
  <c r="F37" i="10"/>
  <c r="W48" i="9"/>
  <c r="Q76" i="10"/>
  <c r="W28" i="10"/>
  <c r="W30" i="10" s="1"/>
  <c r="W48" i="10"/>
  <c r="Q31" i="9"/>
  <c r="M136" i="11"/>
  <c r="Y30" i="1"/>
  <c r="W56" i="9"/>
  <c r="Z28" i="9"/>
  <c r="AA69" i="10"/>
  <c r="AA70" i="10" s="1"/>
  <c r="G14" i="32"/>
  <c r="Z28" i="10"/>
  <c r="Z30" i="10" s="1"/>
  <c r="F136" i="11"/>
  <c r="AB71" i="1"/>
  <c r="AB69" i="10"/>
  <c r="AB70" i="10" s="1"/>
  <c r="AG71" i="1"/>
  <c r="Y28" i="9"/>
  <c r="F8" i="10"/>
  <c r="E10" i="10"/>
  <c r="AG69" i="10"/>
  <c r="AG70" i="10" s="1"/>
  <c r="Y69" i="10"/>
  <c r="Y70" i="10" s="1"/>
  <c r="J136" i="11"/>
  <c r="Y71" i="1"/>
  <c r="P138" i="11"/>
  <c r="W69" i="9"/>
  <c r="E107" i="20"/>
  <c r="AO107" i="20" s="1"/>
  <c r="X71" i="1"/>
  <c r="W69" i="10"/>
  <c r="W70" i="10" s="1"/>
  <c r="AD47" i="10"/>
  <c r="AH26" i="10"/>
  <c r="Z71" i="1"/>
  <c r="AB80" i="10"/>
  <c r="AC71" i="1"/>
  <c r="Z69" i="10"/>
  <c r="Z70" i="10" s="1"/>
  <c r="AE71" i="1"/>
  <c r="AD71" i="1"/>
  <c r="AC69" i="10"/>
  <c r="AC70" i="10" s="1"/>
  <c r="AE69" i="10"/>
  <c r="AE70" i="10" s="1"/>
  <c r="AD69" i="10"/>
  <c r="AD70" i="10" s="1"/>
  <c r="AF71" i="1"/>
  <c r="AF72" i="10"/>
  <c r="O148" i="10"/>
  <c r="AE14" i="10" s="1"/>
  <c r="O146" i="9"/>
  <c r="AF72" i="9" s="1"/>
  <c r="N148" i="10"/>
  <c r="AD14" i="10" s="1"/>
  <c r="AE72" i="10"/>
  <c r="N146" i="9"/>
  <c r="AE72" i="9" s="1"/>
  <c r="M146" i="9"/>
  <c r="AD72" i="9" s="1"/>
  <c r="M148" i="10"/>
  <c r="AC14" i="10" s="1"/>
  <c r="AD72" i="10"/>
  <c r="L148" i="10"/>
  <c r="AB14" i="10" s="1"/>
  <c r="AC72" i="10"/>
  <c r="L146" i="9"/>
  <c r="AC72" i="9" s="1"/>
  <c r="Q26" i="9"/>
  <c r="V26" i="9"/>
  <c r="AF69" i="10"/>
  <c r="AF70" i="10" s="1"/>
  <c r="V72" i="10"/>
  <c r="Q146" i="10"/>
  <c r="AG47" i="10"/>
  <c r="K146" i="9"/>
  <c r="AB72" i="9" s="1"/>
  <c r="AB72" i="10"/>
  <c r="K148" i="10"/>
  <c r="AA14" i="10" s="1"/>
  <c r="X69" i="10"/>
  <c r="X70" i="10" s="1"/>
  <c r="AE80" i="10"/>
  <c r="AA47" i="10"/>
  <c r="X69" i="9"/>
  <c r="V47" i="10"/>
  <c r="Q140" i="10"/>
  <c r="Q144" i="10" s="1"/>
  <c r="Q138" i="9"/>
  <c r="AA72" i="10"/>
  <c r="J148" i="10"/>
  <c r="Z14" i="10" s="1"/>
  <c r="AA72" i="9"/>
  <c r="V69" i="10"/>
  <c r="V70" i="10" s="1"/>
  <c r="Z72" i="9"/>
  <c r="Y14" i="10"/>
  <c r="Z72" i="10"/>
  <c r="X14" i="10"/>
  <c r="Y72" i="10"/>
  <c r="Y72" i="9"/>
  <c r="AB47" i="10"/>
  <c r="X72" i="10"/>
  <c r="G148" i="10"/>
  <c r="W14" i="10" s="1"/>
  <c r="X72" i="9"/>
  <c r="W72" i="10"/>
  <c r="F148" i="10"/>
  <c r="V14" i="10" s="1"/>
  <c r="W72" i="9"/>
  <c r="AG72" i="10"/>
  <c r="P148" i="10"/>
  <c r="AF14" i="10" s="1"/>
  <c r="P146" i="9"/>
  <c r="AG72" i="9" s="1"/>
  <c r="AD80" i="10"/>
  <c r="AH79" i="10"/>
  <c r="V56" i="9"/>
  <c r="AD61" i="9"/>
  <c r="Z80" i="10"/>
  <c r="V48" i="9"/>
  <c r="AH36" i="10"/>
  <c r="Z37" i="10"/>
  <c r="AB30" i="10"/>
  <c r="Y30" i="10"/>
  <c r="AF37" i="10"/>
  <c r="AN47" i="13"/>
  <c r="AS57" i="13"/>
  <c r="BG25" i="11" s="1"/>
  <c r="AO54" i="13"/>
  <c r="BC22" i="11" s="1"/>
  <c r="AW62" i="13"/>
  <c r="BK30" i="11" s="1"/>
  <c r="AO62" i="13"/>
  <c r="BC30" i="11" s="1"/>
  <c r="AW48" i="13"/>
  <c r="AA11" i="10"/>
  <c r="AR57" i="13"/>
  <c r="BF25" i="11" s="1"/>
  <c r="AR61" i="13"/>
  <c r="BF29" i="11" s="1"/>
  <c r="AV48" i="13"/>
  <c r="F124" i="9"/>
  <c r="Z11" i="10"/>
  <c r="W29" i="9"/>
  <c r="AC78" i="9"/>
  <c r="AT58" i="13"/>
  <c r="BH26" i="11" s="1"/>
  <c r="AG55" i="13"/>
  <c r="AX55" i="13"/>
  <c r="BL23" i="11" s="1"/>
  <c r="L72" i="9"/>
  <c r="AC47" i="9" s="1"/>
  <c r="AC49" i="1"/>
  <c r="AG42" i="10"/>
  <c r="AX39" i="13"/>
  <c r="AV58" i="13"/>
  <c r="BJ26" i="11" s="1"/>
  <c r="AN54" i="13"/>
  <c r="BB22" i="11" s="1"/>
  <c r="AA55" i="13"/>
  <c r="AR55" i="13"/>
  <c r="BF23" i="11" s="1"/>
  <c r="AN61" i="13"/>
  <c r="BB29" i="11" s="1"/>
  <c r="AV56" i="13"/>
  <c r="W55" i="13"/>
  <c r="AN55" i="13"/>
  <c r="BB23" i="11" s="1"/>
  <c r="AN51" i="13"/>
  <c r="BB17" i="11" s="1"/>
  <c r="J51" i="9"/>
  <c r="AA35" i="9"/>
  <c r="AE27" i="9"/>
  <c r="N28" i="9"/>
  <c r="AE28" i="9" s="1"/>
  <c r="AE30" i="1"/>
  <c r="AE28" i="10"/>
  <c r="AE30" i="10" s="1"/>
  <c r="J142" i="9"/>
  <c r="AA67" i="9"/>
  <c r="AH78" i="10"/>
  <c r="Q97" i="9"/>
  <c r="AQ64" i="13"/>
  <c r="BE32" i="11" s="1"/>
  <c r="Q88" i="9"/>
  <c r="AU60" i="13"/>
  <c r="BI28" i="11" s="1"/>
  <c r="AU59" i="13"/>
  <c r="BI27" i="11" s="1"/>
  <c r="AM59" i="13"/>
  <c r="AH59" i="10"/>
  <c r="V59" i="13"/>
  <c r="AQ58" i="13"/>
  <c r="BE26" i="11" s="1"/>
  <c r="Q90" i="9"/>
  <c r="AU54" i="13"/>
  <c r="BI22" i="11" s="1"/>
  <c r="V53" i="13"/>
  <c r="AM53" i="13"/>
  <c r="AH53" i="10"/>
  <c r="AU56" i="13"/>
  <c r="AD55" i="13"/>
  <c r="AU55" i="13"/>
  <c r="BI23" i="11" s="1"/>
  <c r="Q85" i="9"/>
  <c r="AU49" i="13"/>
  <c r="BI15" i="11" s="1"/>
  <c r="Q75" i="9"/>
  <c r="AM46" i="13"/>
  <c r="AH46" i="10"/>
  <c r="Q71" i="9"/>
  <c r="AH44" i="10"/>
  <c r="AC11" i="10"/>
  <c r="I69" i="9"/>
  <c r="I69" i="1" s="1"/>
  <c r="I67" i="1"/>
  <c r="Z39" i="9"/>
  <c r="U11" i="10"/>
  <c r="Q69" i="10"/>
  <c r="M51" i="9"/>
  <c r="M51" i="1" s="1"/>
  <c r="AD35" i="9"/>
  <c r="AD37" i="10"/>
  <c r="M50" i="9"/>
  <c r="M52" i="9"/>
  <c r="AD32" i="9"/>
  <c r="Y10" i="10"/>
  <c r="AP35" i="10"/>
  <c r="AP32" i="10"/>
  <c r="AP33" i="10"/>
  <c r="AP34" i="10"/>
  <c r="E50" i="9"/>
  <c r="E52" i="9"/>
  <c r="V32" i="9"/>
  <c r="Q38" i="9"/>
  <c r="Z29" i="9"/>
  <c r="I36" i="9"/>
  <c r="V29" i="9"/>
  <c r="E36" i="9"/>
  <c r="Q32" i="9"/>
  <c r="V27" i="9"/>
  <c r="E35" i="9"/>
  <c r="Q27" i="9"/>
  <c r="E37" i="9"/>
  <c r="V28" i="9"/>
  <c r="L142" i="9"/>
  <c r="AC67" i="9"/>
  <c r="X78" i="9"/>
  <c r="AO56" i="13"/>
  <c r="AS61" i="13"/>
  <c r="BG29" i="11" s="1"/>
  <c r="AS49" i="13"/>
  <c r="BG15" i="11" s="1"/>
  <c r="O72" i="9"/>
  <c r="AF47" i="9" s="1"/>
  <c r="AF49" i="1"/>
  <c r="X49" i="1"/>
  <c r="AN43" i="10"/>
  <c r="AW41" i="13"/>
  <c r="X41" i="9"/>
  <c r="G68" i="9"/>
  <c r="AF39" i="9"/>
  <c r="O67" i="9"/>
  <c r="O67" i="1" s="1"/>
  <c r="O69" i="9"/>
  <c r="O69" i="1" s="1"/>
  <c r="K67" i="9"/>
  <c r="K67" i="1" s="1"/>
  <c r="AB39" i="9"/>
  <c r="K69" i="9"/>
  <c r="AA10" i="10"/>
  <c r="AR35" i="10"/>
  <c r="AR33" i="10"/>
  <c r="AR34" i="10"/>
  <c r="AR32" i="10"/>
  <c r="O36" i="9"/>
  <c r="AF29" i="9"/>
  <c r="AV53" i="13"/>
  <c r="BJ21" i="11" s="1"/>
  <c r="AV55" i="13"/>
  <c r="BJ23" i="11" s="1"/>
  <c r="AE55" i="13"/>
  <c r="AV46" i="13"/>
  <c r="BJ12" i="11" s="1"/>
  <c r="J69" i="9"/>
  <c r="J69" i="1" s="1"/>
  <c r="AA41" i="9"/>
  <c r="J68" i="9"/>
  <c r="AR39" i="13"/>
  <c r="AA42" i="10"/>
  <c r="F52" i="9"/>
  <c r="F50" i="9"/>
  <c r="W32" i="9"/>
  <c r="M143" i="9"/>
  <c r="AD68" i="9"/>
  <c r="V68" i="9"/>
  <c r="E143" i="9"/>
  <c r="E143" i="1" s="1"/>
  <c r="Q136" i="9"/>
  <c r="AX64" i="13"/>
  <c r="BL32" i="11" s="1"/>
  <c r="AP64" i="13"/>
  <c r="BD32" i="11" s="1"/>
  <c r="AC63" i="13"/>
  <c r="AT63" i="13"/>
  <c r="BH31" i="11" s="1"/>
  <c r="AX60" i="13"/>
  <c r="BL28" i="11" s="1"/>
  <c r="AP60" i="13"/>
  <c r="BD28" i="11" s="1"/>
  <c r="AT59" i="13"/>
  <c r="BH27" i="11" s="1"/>
  <c r="AX58" i="13"/>
  <c r="BL26" i="11" s="1"/>
  <c r="AT57" i="13"/>
  <c r="BH25" i="11" s="1"/>
  <c r="AX54" i="13"/>
  <c r="BL22" i="11" s="1"/>
  <c r="AP54" i="13"/>
  <c r="BD22" i="11" s="1"/>
  <c r="AX56" i="13"/>
  <c r="AP56" i="13"/>
  <c r="AT61" i="13"/>
  <c r="BH29" i="11" s="1"/>
  <c r="AX51" i="13"/>
  <c r="BL17" i="11" s="1"/>
  <c r="AP51" i="13"/>
  <c r="BD17" i="11" s="1"/>
  <c r="AT49" i="13"/>
  <c r="BH15" i="11" s="1"/>
  <c r="AX48" i="13"/>
  <c r="AT48" i="13"/>
  <c r="AP48" i="13"/>
  <c r="L118" i="9"/>
  <c r="J6" i="33" s="1"/>
  <c r="L124" i="10"/>
  <c r="AT41" i="13"/>
  <c r="Y41" i="9"/>
  <c r="H68" i="9"/>
  <c r="AG39" i="9"/>
  <c r="P69" i="9"/>
  <c r="P69" i="1" s="1"/>
  <c r="P67" i="9"/>
  <c r="P67" i="1" s="1"/>
  <c r="AC39" i="9"/>
  <c r="L67" i="9"/>
  <c r="L67" i="1" s="1"/>
  <c r="L69" i="9"/>
  <c r="L69" i="1" s="1"/>
  <c r="Y39" i="9"/>
  <c r="H67" i="9"/>
  <c r="H67" i="1" s="1"/>
  <c r="H69" i="9"/>
  <c r="H69" i="1" s="1"/>
  <c r="X10" i="10"/>
  <c r="AO34" i="10"/>
  <c r="AO33" i="10"/>
  <c r="AO32" i="10"/>
  <c r="AO35" i="10"/>
  <c r="AC29" i="9"/>
  <c r="L36" i="9"/>
  <c r="AG27" i="9"/>
  <c r="AC27" i="9"/>
  <c r="Y67" i="9"/>
  <c r="X80" i="10"/>
  <c r="AO64" i="13"/>
  <c r="BC32" i="11" s="1"/>
  <c r="AW60" i="13"/>
  <c r="BK28" i="11" s="1"/>
  <c r="AO59" i="13"/>
  <c r="BC27" i="11" s="1"/>
  <c r="AS54" i="13"/>
  <c r="BG22" i="11" s="1"/>
  <c r="W10" i="10"/>
  <c r="AN35" i="10"/>
  <c r="AN33" i="10"/>
  <c r="AN34" i="10"/>
  <c r="AN32" i="10"/>
  <c r="G36" i="9"/>
  <c r="X29" i="9"/>
  <c r="O143" i="9"/>
  <c r="AF68" i="9"/>
  <c r="AF67" i="9"/>
  <c r="O142" i="9"/>
  <c r="G144" i="9"/>
  <c r="X67" i="9"/>
  <c r="G142" i="9"/>
  <c r="G142" i="1" s="1"/>
  <c r="W80" i="10"/>
  <c r="N72" i="9"/>
  <c r="AE47" i="9" s="1"/>
  <c r="AE49" i="1"/>
  <c r="Z10" i="10"/>
  <c r="AQ32" i="10"/>
  <c r="AQ33" i="10"/>
  <c r="AQ35" i="10"/>
  <c r="AQ34" i="10"/>
  <c r="J36" i="9"/>
  <c r="AA29" i="9"/>
  <c r="G67" i="9"/>
  <c r="G67" i="1" s="1"/>
  <c r="X39" i="9"/>
  <c r="G69" i="9"/>
  <c r="G69" i="1" s="1"/>
  <c r="AE63" i="13"/>
  <c r="AV63" i="13"/>
  <c r="BJ31" i="11" s="1"/>
  <c r="AN58" i="13"/>
  <c r="BB26" i="11" s="1"/>
  <c r="AV61" i="13"/>
  <c r="BJ29" i="11" s="1"/>
  <c r="AV41" i="13"/>
  <c r="AV39" i="13"/>
  <c r="AE42" i="10"/>
  <c r="AE37" i="10"/>
  <c r="AG30" i="1"/>
  <c r="P28" i="9"/>
  <c r="AG28" i="9" s="1"/>
  <c r="AG28" i="10"/>
  <c r="AG30" i="10" s="1"/>
  <c r="N143" i="9"/>
  <c r="AE68" i="9"/>
  <c r="AE67" i="9"/>
  <c r="N142" i="9"/>
  <c r="AH45" i="9"/>
  <c r="Q74" i="9"/>
  <c r="V80" i="10"/>
  <c r="AH76" i="10"/>
  <c r="AH63" i="9"/>
  <c r="Q87" i="9"/>
  <c r="AQ60" i="13"/>
  <c r="BE28" i="11" s="1"/>
  <c r="AH57" i="10"/>
  <c r="V57" i="13"/>
  <c r="AM57" i="13"/>
  <c r="X63" i="13"/>
  <c r="AO63" i="13"/>
  <c r="BC31" i="11" s="1"/>
  <c r="AW51" i="13"/>
  <c r="BK17" i="11" s="1"/>
  <c r="AO51" i="13"/>
  <c r="BC17" i="11" s="1"/>
  <c r="AO41" i="13"/>
  <c r="K36" i="9"/>
  <c r="AB29" i="9"/>
  <c r="AR59" i="13"/>
  <c r="BF27" i="11" s="1"/>
  <c r="Q143" i="10"/>
  <c r="AT60" i="13"/>
  <c r="BH28" i="11" s="1"/>
  <c r="AX49" i="13"/>
  <c r="BL15" i="11" s="1"/>
  <c r="AT46" i="13"/>
  <c r="L51" i="9"/>
  <c r="L51" i="1" s="1"/>
  <c r="AC35" i="9"/>
  <c r="AG37" i="10"/>
  <c r="H36" i="9"/>
  <c r="Y29" i="9"/>
  <c r="AB63" i="13"/>
  <c r="AS63" i="13"/>
  <c r="BG31" i="11" s="1"/>
  <c r="G143" i="9"/>
  <c r="X68" i="9"/>
  <c r="AE78" i="9"/>
  <c r="W39" i="9"/>
  <c r="F69" i="9"/>
  <c r="F67" i="9"/>
  <c r="F67" i="1" s="1"/>
  <c r="J50" i="9"/>
  <c r="J52" i="9"/>
  <c r="AA32" i="9"/>
  <c r="W11" i="10"/>
  <c r="AV59" i="13"/>
  <c r="BJ27" i="11" s="1"/>
  <c r="H6" i="33"/>
  <c r="J124" i="10"/>
  <c r="J143" i="9"/>
  <c r="AA68" i="9"/>
  <c r="F144" i="9"/>
  <c r="F143" i="9"/>
  <c r="W68" i="9"/>
  <c r="W67" i="9"/>
  <c r="F142" i="9"/>
  <c r="F142" i="1" s="1"/>
  <c r="V78" i="9"/>
  <c r="V85" i="9" s="1"/>
  <c r="Q96" i="9"/>
  <c r="V79" i="9"/>
  <c r="Q102" i="9"/>
  <c r="AD63" i="13"/>
  <c r="AU63" i="13"/>
  <c r="BI31" i="11" s="1"/>
  <c r="AQ59" i="13"/>
  <c r="BE27" i="11" s="1"/>
  <c r="Q89" i="9"/>
  <c r="AM54" i="13"/>
  <c r="AH54" i="10"/>
  <c r="AQ53" i="13"/>
  <c r="BE21" i="11" s="1"/>
  <c r="AH53" i="9"/>
  <c r="Q79" i="9"/>
  <c r="AM56" i="13"/>
  <c r="V55" i="13"/>
  <c r="AM55" i="13"/>
  <c r="AH55" i="10"/>
  <c r="AQ62" i="13"/>
  <c r="BE30" i="11" s="1"/>
  <c r="Q86" i="9"/>
  <c r="AU51" i="13"/>
  <c r="BI17" i="11" s="1"/>
  <c r="AM51" i="13"/>
  <c r="AH51" i="10"/>
  <c r="AM49" i="13"/>
  <c r="AH49" i="10"/>
  <c r="AU48" i="13"/>
  <c r="AM48" i="13"/>
  <c r="AQ46" i="13"/>
  <c r="BE12" i="11" s="1"/>
  <c r="Q73" i="9"/>
  <c r="M72" i="9"/>
  <c r="AD47" i="9" s="1"/>
  <c r="AD49" i="1"/>
  <c r="V47" i="9"/>
  <c r="Q72" i="10"/>
  <c r="V49" i="1"/>
  <c r="AU41" i="13"/>
  <c r="Z41" i="9"/>
  <c r="Q68" i="10"/>
  <c r="AQ39" i="13"/>
  <c r="Z42" i="10"/>
  <c r="Q67" i="10"/>
  <c r="V36" i="9"/>
  <c r="Q49" i="9"/>
  <c r="Q51" i="10"/>
  <c r="AH34" i="10"/>
  <c r="AH33" i="10"/>
  <c r="Q50" i="10"/>
  <c r="AD29" i="9"/>
  <c r="M36" i="9"/>
  <c r="Z27" i="9"/>
  <c r="AL26" i="10"/>
  <c r="AL29" i="10"/>
  <c r="AL28" i="10"/>
  <c r="AF78" i="9"/>
  <c r="AS60" i="13"/>
  <c r="BG28" i="11" s="1"/>
  <c r="AS59" i="13"/>
  <c r="BG27" i="11" s="1"/>
  <c r="AW54" i="13"/>
  <c r="BK22" i="11" s="1"/>
  <c r="AW53" i="13"/>
  <c r="BK21" i="11" s="1"/>
  <c r="AF55" i="13"/>
  <c r="AW55" i="13"/>
  <c r="BK23" i="11" s="1"/>
  <c r="AO55" i="13"/>
  <c r="BC23" i="11" s="1"/>
  <c r="X55" i="13"/>
  <c r="AS62" i="13"/>
  <c r="BG30" i="11" s="1"/>
  <c r="AW61" i="13"/>
  <c r="BK29" i="11" s="1"/>
  <c r="AO61" i="13"/>
  <c r="BC29" i="11" s="1"/>
  <c r="AO49" i="13"/>
  <c r="BC15" i="11" s="1"/>
  <c r="AW46" i="13"/>
  <c r="AO46" i="13"/>
  <c r="O118" i="9"/>
  <c r="M6" i="33" s="1"/>
  <c r="O124" i="10"/>
  <c r="G124" i="9"/>
  <c r="G124" i="10"/>
  <c r="AF41" i="9"/>
  <c r="O68" i="9"/>
  <c r="AB35" i="9"/>
  <c r="K51" i="9"/>
  <c r="AB32" i="9"/>
  <c r="K50" i="9"/>
  <c r="K52" i="9"/>
  <c r="AA9" i="10"/>
  <c r="AR26" i="10"/>
  <c r="AR28" i="10"/>
  <c r="AR29" i="10"/>
  <c r="K143" i="9"/>
  <c r="AB68" i="9"/>
  <c r="AR58" i="13"/>
  <c r="BF26" i="11" s="1"/>
  <c r="AV54" i="13"/>
  <c r="BJ22" i="11" s="1"/>
  <c r="AR56" i="13"/>
  <c r="AR62" i="13"/>
  <c r="BF30" i="11" s="1"/>
  <c r="AR51" i="13"/>
  <c r="BF17" i="11" s="1"/>
  <c r="AR41" i="13"/>
  <c r="J67" i="9"/>
  <c r="J67" i="1" s="1"/>
  <c r="AA39" i="9"/>
  <c r="W37" i="10"/>
  <c r="AA27" i="9"/>
  <c r="AH68" i="10"/>
  <c r="M142" i="9"/>
  <c r="AD67" i="9"/>
  <c r="E142" i="9"/>
  <c r="E142" i="1" s="1"/>
  <c r="V67" i="9"/>
  <c r="Q135" i="9"/>
  <c r="AG78" i="9"/>
  <c r="AG80" i="10"/>
  <c r="Y80" i="10"/>
  <c r="AP58" i="13"/>
  <c r="BD26" i="11" s="1"/>
  <c r="AT55" i="13"/>
  <c r="BH23" i="11" s="1"/>
  <c r="AC55" i="13"/>
  <c r="AX62" i="13"/>
  <c r="BL30" i="11" s="1"/>
  <c r="AP62" i="13"/>
  <c r="BD30" i="11" s="1"/>
  <c r="AX46" i="13"/>
  <c r="BL12" i="11" s="1"/>
  <c r="AP46" i="13"/>
  <c r="BD12" i="11" s="1"/>
  <c r="AC47" i="10"/>
  <c r="P72" i="9"/>
  <c r="AG47" i="9" s="1"/>
  <c r="AG49" i="1"/>
  <c r="H95" i="9"/>
  <c r="Y49" i="1"/>
  <c r="H95" i="10"/>
  <c r="AX41" i="13"/>
  <c r="L68" i="9"/>
  <c r="AC41" i="9"/>
  <c r="AF11" i="10"/>
  <c r="AB11" i="10"/>
  <c r="X11" i="10"/>
  <c r="AC37" i="10"/>
  <c r="AF10" i="10"/>
  <c r="AW35" i="10"/>
  <c r="AW34" i="10"/>
  <c r="AW33" i="10"/>
  <c r="AW32" i="10"/>
  <c r="Y37" i="10"/>
  <c r="P36" i="9"/>
  <c r="AG29" i="9"/>
  <c r="P37" i="10"/>
  <c r="P143" i="9"/>
  <c r="AG68" i="9"/>
  <c r="AW57" i="13"/>
  <c r="BK25" i="11" s="1"/>
  <c r="AR36" i="10"/>
  <c r="X35" i="9"/>
  <c r="G51" i="9"/>
  <c r="O50" i="9"/>
  <c r="AF32" i="9"/>
  <c r="O52" i="9"/>
  <c r="X32" i="9"/>
  <c r="G52" i="9"/>
  <c r="G50" i="9"/>
  <c r="X27" i="9"/>
  <c r="W64" i="13"/>
  <c r="AN64" i="13"/>
  <c r="BB32" i="11" s="1"/>
  <c r="W60" i="13"/>
  <c r="AN60" i="13"/>
  <c r="BB28" i="11" s="1"/>
  <c r="AV57" i="13"/>
  <c r="BJ25" i="11" s="1"/>
  <c r="AN53" i="13"/>
  <c r="BB21" i="11" s="1"/>
  <c r="AN62" i="13"/>
  <c r="BB30" i="11" s="1"/>
  <c r="AV49" i="13"/>
  <c r="BJ15" i="11" s="1"/>
  <c r="AR48" i="13"/>
  <c r="N118" i="9"/>
  <c r="L6" i="33" s="1"/>
  <c r="N124" i="10"/>
  <c r="W42" i="10"/>
  <c r="AN39" i="13"/>
  <c r="W35" i="9"/>
  <c r="F51" i="1"/>
  <c r="X42" i="10"/>
  <c r="AO39" i="13"/>
  <c r="AF27" i="9"/>
  <c r="AA80" i="10"/>
  <c r="AV60" i="13"/>
  <c r="BJ28" i="11" s="1"/>
  <c r="W59" i="13"/>
  <c r="AN59" i="13"/>
  <c r="BB27" i="11" s="1"/>
  <c r="AR53" i="13"/>
  <c r="BF21" i="11" s="1"/>
  <c r="AV51" i="13"/>
  <c r="BJ17" i="11" s="1"/>
  <c r="AN49" i="13"/>
  <c r="BB15" i="11" s="1"/>
  <c r="AE41" i="9"/>
  <c r="N68" i="9"/>
  <c r="AE39" i="9"/>
  <c r="N69" i="9"/>
  <c r="N69" i="1" s="1"/>
  <c r="N67" i="9"/>
  <c r="N67" i="1" s="1"/>
  <c r="N37" i="10"/>
  <c r="Z68" i="9"/>
  <c r="I143" i="1"/>
  <c r="Z78" i="9"/>
  <c r="V64" i="13"/>
  <c r="AM64" i="13"/>
  <c r="AH64" i="10"/>
  <c r="Z63" i="13"/>
  <c r="AQ63" i="13"/>
  <c r="BE31" i="11" s="1"/>
  <c r="Q93" i="9"/>
  <c r="AM58" i="13"/>
  <c r="AH58" i="10"/>
  <c r="AQ57" i="13"/>
  <c r="BE25" i="11" s="1"/>
  <c r="AU53" i="13"/>
  <c r="BI21" i="11" s="1"/>
  <c r="Q83" i="9"/>
  <c r="AU62" i="13"/>
  <c r="BI30" i="11" s="1"/>
  <c r="AM62" i="13"/>
  <c r="AH62" i="10"/>
  <c r="AM61" i="13"/>
  <c r="AH61" i="10"/>
  <c r="AQ51" i="13"/>
  <c r="BE17" i="11" s="1"/>
  <c r="Q91" i="9"/>
  <c r="AU46" i="13"/>
  <c r="Z47" i="9"/>
  <c r="Z49" i="1"/>
  <c r="Q70" i="9"/>
  <c r="V41" i="13"/>
  <c r="AM41" i="13"/>
  <c r="AH41" i="10"/>
  <c r="AD39" i="9"/>
  <c r="M69" i="9"/>
  <c r="M69" i="1" s="1"/>
  <c r="M67" i="9"/>
  <c r="M67" i="1" s="1"/>
  <c r="Y11" i="10"/>
  <c r="Q53" i="9"/>
  <c r="E67" i="9"/>
  <c r="E67" i="1" s="1"/>
  <c r="V39" i="9"/>
  <c r="E69" i="1"/>
  <c r="C6" i="31" s="1"/>
  <c r="AM39" i="13"/>
  <c r="AH39" i="10"/>
  <c r="V42" i="10"/>
  <c r="Z35" i="9"/>
  <c r="I51" i="9"/>
  <c r="V35" i="9"/>
  <c r="Q45" i="9"/>
  <c r="E51" i="9"/>
  <c r="Q41" i="9"/>
  <c r="V33" i="9"/>
  <c r="AH33" i="9" s="1"/>
  <c r="U10" i="10"/>
  <c r="AL34" i="10"/>
  <c r="Q52" i="10"/>
  <c r="AL33" i="10"/>
  <c r="AL35" i="10"/>
  <c r="AL32" i="10"/>
  <c r="AH29" i="10"/>
  <c r="AD27" i="9"/>
  <c r="Q28" i="10"/>
  <c r="AS64" i="13"/>
  <c r="BG32" i="11" s="1"/>
  <c r="AO60" i="13"/>
  <c r="BC28" i="11" s="1"/>
  <c r="AW58" i="13"/>
  <c r="BK26" i="11" s="1"/>
  <c r="AW56" i="13"/>
  <c r="AB55" i="13"/>
  <c r="AS55" i="13"/>
  <c r="BG23" i="11" s="1"/>
  <c r="K118" i="9"/>
  <c r="I6" i="33" s="1"/>
  <c r="K124" i="10"/>
  <c r="AW39" i="13"/>
  <c r="AF42" i="10"/>
  <c r="AR63" i="13"/>
  <c r="BF31" i="11" s="1"/>
  <c r="AA63" i="13"/>
  <c r="AR49" i="13"/>
  <c r="BF15" i="11" s="1"/>
  <c r="AE35" i="9"/>
  <c r="N51" i="9"/>
  <c r="V10" i="10"/>
  <c r="AM32" i="10"/>
  <c r="AM33" i="10"/>
  <c r="AM35" i="10"/>
  <c r="AM34" i="10"/>
  <c r="E8" i="10"/>
  <c r="Q142" i="10"/>
  <c r="AC42" i="10"/>
  <c r="AT39" i="13"/>
  <c r="AG35" i="9"/>
  <c r="P51" i="9"/>
  <c r="P51" i="1" s="1"/>
  <c r="AB10" i="10"/>
  <c r="AS32" i="10"/>
  <c r="AS35" i="10"/>
  <c r="AS34" i="10"/>
  <c r="AS33" i="10"/>
  <c r="P142" i="9"/>
  <c r="AG67" i="9"/>
  <c r="AB41" i="9"/>
  <c r="K68" i="9"/>
  <c r="W63" i="13"/>
  <c r="AN63" i="13"/>
  <c r="BB31" i="11" s="1"/>
  <c r="W41" i="9"/>
  <c r="F68" i="9"/>
  <c r="F68" i="1" s="1"/>
  <c r="N50" i="9"/>
  <c r="AE32" i="9"/>
  <c r="N52" i="9"/>
  <c r="N136" i="11"/>
  <c r="AH45" i="10"/>
  <c r="AD78" i="9"/>
  <c r="AU64" i="13"/>
  <c r="BI32" i="11" s="1"/>
  <c r="V63" i="13"/>
  <c r="AH63" i="10"/>
  <c r="AM63" i="13"/>
  <c r="BA31" i="11" s="1"/>
  <c r="Q94" i="9"/>
  <c r="AU58" i="13"/>
  <c r="BI26" i="11" s="1"/>
  <c r="AU57" i="13"/>
  <c r="BI25" i="11" s="1"/>
  <c r="AQ54" i="13"/>
  <c r="BE22" i="11" s="1"/>
  <c r="AH54" i="9"/>
  <c r="Q80" i="9"/>
  <c r="AQ56" i="13"/>
  <c r="AQ55" i="13"/>
  <c r="BE23" i="11" s="1"/>
  <c r="Z55" i="13"/>
  <c r="AH55" i="9"/>
  <c r="Q82" i="9"/>
  <c r="AQ49" i="13"/>
  <c r="BE15" i="11" s="1"/>
  <c r="Q77" i="9"/>
  <c r="AQ48" i="13"/>
  <c r="M118" i="9"/>
  <c r="K6" i="33" s="1"/>
  <c r="M124" i="10"/>
  <c r="Q118" i="10"/>
  <c r="AD41" i="9"/>
  <c r="M68" i="9"/>
  <c r="AQ41" i="13"/>
  <c r="E68" i="9"/>
  <c r="V41" i="9"/>
  <c r="Q59" i="9"/>
  <c r="AD42" i="10"/>
  <c r="AU39" i="13"/>
  <c r="AL36" i="10"/>
  <c r="AH35" i="10"/>
  <c r="Q43" i="9"/>
  <c r="V34" i="9"/>
  <c r="AH34" i="9" s="1"/>
  <c r="AC10" i="10"/>
  <c r="AT34" i="10"/>
  <c r="AT35" i="10"/>
  <c r="AT32" i="10"/>
  <c r="AT33" i="10"/>
  <c r="I50" i="9"/>
  <c r="Z32" i="9"/>
  <c r="V37" i="10"/>
  <c r="AH32" i="10"/>
  <c r="Q36" i="10"/>
  <c r="V30" i="10"/>
  <c r="AH27" i="10"/>
  <c r="L143" i="9"/>
  <c r="AC68" i="9"/>
  <c r="Y68" i="9"/>
  <c r="H143" i="9"/>
  <c r="H143" i="1" s="1"/>
  <c r="AF80" i="10"/>
  <c r="AF63" i="13"/>
  <c r="AW63" i="13"/>
  <c r="BK31" i="11" s="1"/>
  <c r="AO58" i="13"/>
  <c r="BC26" i="11" s="1"/>
  <c r="AO53" i="13"/>
  <c r="BC21" i="11" s="1"/>
  <c r="AS56" i="13"/>
  <c r="AS51" i="13"/>
  <c r="BG17" i="11" s="1"/>
  <c r="AO48" i="13"/>
  <c r="AS46" i="13"/>
  <c r="AF47" i="10"/>
  <c r="K72" i="9"/>
  <c r="AB47" i="9" s="1"/>
  <c r="AB49" i="1"/>
  <c r="AE11" i="10"/>
  <c r="AS39" i="13"/>
  <c r="AB42" i="10"/>
  <c r="AB37" i="10"/>
  <c r="AB27" i="9"/>
  <c r="K37" i="9"/>
  <c r="K35" i="9"/>
  <c r="K179" i="1" s="1"/>
  <c r="K198" i="1" s="1"/>
  <c r="K142" i="9"/>
  <c r="AB67" i="9"/>
  <c r="AA78" i="9"/>
  <c r="AR60" i="13"/>
  <c r="BF28" i="11" s="1"/>
  <c r="AN46" i="13"/>
  <c r="W47" i="9"/>
  <c r="W49" i="1"/>
  <c r="Z67" i="9"/>
  <c r="I142" i="9"/>
  <c r="AH67" i="10"/>
  <c r="Y78" i="9"/>
  <c r="AC80" i="10"/>
  <c r="AT64" i="13"/>
  <c r="BH32" i="11" s="1"/>
  <c r="AG63" i="13"/>
  <c r="AX63" i="13"/>
  <c r="BL31" i="11" s="1"/>
  <c r="AP63" i="13"/>
  <c r="BD31" i="11" s="1"/>
  <c r="Y63" i="13"/>
  <c r="AX59" i="13"/>
  <c r="BL27" i="11" s="1"/>
  <c r="AP59" i="13"/>
  <c r="BD27" i="11" s="1"/>
  <c r="AX57" i="13"/>
  <c r="BL25" i="11" s="1"/>
  <c r="AP57" i="13"/>
  <c r="BD25" i="11" s="1"/>
  <c r="AT54" i="13"/>
  <c r="BH22" i="11" s="1"/>
  <c r="AX53" i="13"/>
  <c r="BL21" i="11" s="1"/>
  <c r="AP53" i="13"/>
  <c r="BD21" i="11" s="1"/>
  <c r="AT56" i="13"/>
  <c r="AP55" i="13"/>
  <c r="BD23" i="11" s="1"/>
  <c r="Y55" i="13"/>
  <c r="AT62" i="13"/>
  <c r="BH30" i="11" s="1"/>
  <c r="AX61" i="13"/>
  <c r="BL29" i="11" s="1"/>
  <c r="AP61" i="13"/>
  <c r="BD29" i="11" s="1"/>
  <c r="AT51" i="13"/>
  <c r="BH17" i="11" s="1"/>
  <c r="AP49" i="13"/>
  <c r="BD15" i="11" s="1"/>
  <c r="P118" i="9"/>
  <c r="N6" i="33" s="1"/>
  <c r="P124" i="10"/>
  <c r="H124" i="10"/>
  <c r="L95" i="10"/>
  <c r="P68" i="9"/>
  <c r="AG41" i="9"/>
  <c r="AP41" i="13"/>
  <c r="Y42" i="10"/>
  <c r="AP39" i="13"/>
  <c r="H51" i="9"/>
  <c r="H51" i="1" s="1"/>
  <c r="Y35" i="9"/>
  <c r="P50" i="9"/>
  <c r="AG32" i="9"/>
  <c r="P52" i="9"/>
  <c r="L50" i="9"/>
  <c r="AC32" i="9"/>
  <c r="L52" i="9"/>
  <c r="H50" i="9"/>
  <c r="Y32" i="9"/>
  <c r="H52" i="9"/>
  <c r="P35" i="10"/>
  <c r="N14" i="32" s="1"/>
  <c r="Y27" i="9"/>
  <c r="AB78" i="9"/>
  <c r="AW64" i="13"/>
  <c r="BK32" i="11" s="1"/>
  <c r="AW59" i="13"/>
  <c r="BK27" i="11" s="1"/>
  <c r="AS58" i="13"/>
  <c r="BG26" i="11" s="1"/>
  <c r="AO57" i="13"/>
  <c r="BC25" i="11" s="1"/>
  <c r="AS41" i="13"/>
  <c r="O51" i="9"/>
  <c r="O51" i="1" s="1"/>
  <c r="AF35" i="9"/>
  <c r="AE10" i="10"/>
  <c r="AV34" i="10"/>
  <c r="AV32" i="10"/>
  <c r="AV33" i="10"/>
  <c r="AV35" i="10"/>
  <c r="X37" i="10"/>
  <c r="W78" i="9"/>
  <c r="AE47" i="10"/>
  <c r="N95" i="10"/>
  <c r="AN41" i="13"/>
  <c r="V11" i="10"/>
  <c r="AA37" i="10"/>
  <c r="W27" i="9"/>
  <c r="AR64" i="13"/>
  <c r="BF32" i="11" s="1"/>
  <c r="W57" i="13"/>
  <c r="AN57" i="13"/>
  <c r="BB25" i="11" s="1"/>
  <c r="AR46" i="13"/>
  <c r="BF12" i="11" s="1"/>
  <c r="AA47" i="9"/>
  <c r="AA49" i="1"/>
  <c r="AD11" i="10"/>
  <c r="AQ36" i="10"/>
  <c r="AD10" i="10"/>
  <c r="AU34" i="10"/>
  <c r="AU32" i="10"/>
  <c r="AU35" i="10"/>
  <c r="AU33" i="10"/>
  <c r="N36" i="9"/>
  <c r="AE29" i="9"/>
  <c r="N35" i="10"/>
  <c r="L14" i="32" s="1"/>
  <c r="V128" i="13"/>
  <c r="W129" i="13"/>
  <c r="W131" i="13"/>
  <c r="X136" i="13"/>
  <c r="W143" i="13"/>
  <c r="AB146" i="13"/>
  <c r="W140" i="13"/>
  <c r="W130" i="13"/>
  <c r="W144" i="13"/>
  <c r="W133" i="13"/>
  <c r="X135" i="13"/>
  <c r="G93" i="11"/>
  <c r="AL59" i="11" s="1"/>
  <c r="O89" i="11"/>
  <c r="AT57" i="11" s="1"/>
  <c r="M85" i="11"/>
  <c r="AR61" i="11" s="1"/>
  <c r="I136" i="13"/>
  <c r="I136" i="11" s="1"/>
  <c r="AT23" i="20"/>
  <c r="P135" i="13"/>
  <c r="P53" i="13"/>
  <c r="G141" i="11"/>
  <c r="AP23" i="20"/>
  <c r="K141" i="11"/>
  <c r="N141" i="11"/>
  <c r="J47" i="13"/>
  <c r="J47" i="11" s="1"/>
  <c r="J57" i="13"/>
  <c r="J57" i="11" s="1"/>
  <c r="O141" i="11"/>
  <c r="F141" i="11"/>
  <c r="I141" i="11"/>
  <c r="L147" i="13"/>
  <c r="L147" i="11" s="1"/>
  <c r="P141" i="11"/>
  <c r="M141" i="11"/>
  <c r="Q10" i="19"/>
  <c r="Q7" i="19"/>
  <c r="H141" i="11"/>
  <c r="J141" i="11"/>
  <c r="AT107" i="20"/>
  <c r="L157" i="20"/>
  <c r="L160" i="20" s="1"/>
  <c r="L136" i="20" s="1"/>
  <c r="L135" i="20" s="1"/>
  <c r="L134" i="20" s="1"/>
  <c r="AQ94" i="20"/>
  <c r="G107" i="20"/>
  <c r="AQ107" i="20" s="1"/>
  <c r="BC12" i="20"/>
  <c r="BC23" i="20"/>
  <c r="BE12" i="20" s="1"/>
  <c r="BE23" i="20" s="1"/>
  <c r="AL23" i="20"/>
  <c r="BI9" i="20" s="1"/>
  <c r="BI7" i="20" s="1"/>
  <c r="BE11" i="20"/>
  <c r="AK94" i="20"/>
  <c r="AK107" i="20" s="1"/>
  <c r="I161" i="20"/>
  <c r="I135" i="20"/>
  <c r="I134" i="20" s="1"/>
  <c r="AX107" i="20"/>
  <c r="AM94" i="20"/>
  <c r="C107" i="20"/>
  <c r="AM107" i="20" s="1"/>
  <c r="J186" i="20"/>
  <c r="R132" i="20"/>
  <c r="O133" i="20"/>
  <c r="P132" i="20" s="1"/>
  <c r="P133" i="20" s="1"/>
  <c r="Q132" i="20" s="1"/>
  <c r="Q133" i="20" s="1"/>
  <c r="R133" i="20" s="1"/>
  <c r="S133" i="20" s="1"/>
  <c r="AW180" i="20"/>
  <c r="AV185" i="20"/>
  <c r="L183" i="20" s="1"/>
  <c r="L185" i="20" s="1"/>
  <c r="AY94" i="20"/>
  <c r="O107" i="20"/>
  <c r="AY107" i="20" s="1"/>
  <c r="R94" i="20"/>
  <c r="BB23" i="20"/>
  <c r="AX94" i="20"/>
  <c r="BI11" i="20"/>
  <c r="BE30" i="20"/>
  <c r="BE31" i="20" s="1"/>
  <c r="BE42" i="20" s="1"/>
  <c r="BC42" i="20"/>
  <c r="K160" i="20"/>
  <c r="K136" i="20" s="1"/>
  <c r="K185" i="20"/>
  <c r="AP94" i="20"/>
  <c r="F107" i="20"/>
  <c r="AP107" i="20" s="1"/>
  <c r="AT94" i="20"/>
  <c r="S94" i="20"/>
  <c r="AX45" i="13"/>
  <c r="BL11" i="11" s="1"/>
  <c r="J45" i="13"/>
  <c r="J45" i="11" s="1"/>
  <c r="P48" i="13"/>
  <c r="P48" i="11" s="1"/>
  <c r="P62" i="11"/>
  <c r="J58" i="13"/>
  <c r="J58" i="11" s="1"/>
  <c r="J40" i="13"/>
  <c r="J40" i="11" s="1"/>
  <c r="P42" i="13"/>
  <c r="P42" i="11" s="1"/>
  <c r="P59" i="13"/>
  <c r="J39" i="13"/>
  <c r="J39" i="11" s="1"/>
  <c r="AR45" i="13"/>
  <c r="BF11" i="11" s="1"/>
  <c r="J84" i="11"/>
  <c r="M26" i="13"/>
  <c r="M26" i="11" s="1"/>
  <c r="M49" i="13"/>
  <c r="M49" i="11" s="1"/>
  <c r="AR36" i="11" s="1"/>
  <c r="J38" i="13"/>
  <c r="J38" i="11" s="1"/>
  <c r="J46" i="13"/>
  <c r="J46" i="11" s="1"/>
  <c r="M29" i="13"/>
  <c r="M29" i="11" s="1"/>
  <c r="J63" i="13"/>
  <c r="J63" i="11" s="1"/>
  <c r="J54" i="13"/>
  <c r="J54" i="11" s="1"/>
  <c r="J56" i="13"/>
  <c r="J139" i="13"/>
  <c r="J139" i="11" s="1"/>
  <c r="J34" i="13"/>
  <c r="J34" i="11" s="1"/>
  <c r="J43" i="13"/>
  <c r="J43" i="11" s="1"/>
  <c r="J138" i="13"/>
  <c r="J138" i="11" s="1"/>
  <c r="J26" i="13"/>
  <c r="J26" i="11" s="1"/>
  <c r="J44" i="13"/>
  <c r="J44" i="11" s="1"/>
  <c r="J76" i="11"/>
  <c r="J53" i="13"/>
  <c r="J30" i="13"/>
  <c r="J30" i="11" s="1"/>
  <c r="J65" i="13"/>
  <c r="J65" i="11" s="1"/>
  <c r="J66" i="13"/>
  <c r="J66" i="11" s="1"/>
  <c r="J137" i="13"/>
  <c r="J137" i="11" s="1"/>
  <c r="J42" i="13"/>
  <c r="J42" i="11" s="1"/>
  <c r="J49" i="13"/>
  <c r="J49" i="11" s="1"/>
  <c r="AO36" i="11" s="1"/>
  <c r="J32" i="13"/>
  <c r="J32" i="11" s="1"/>
  <c r="J55" i="13"/>
  <c r="J55" i="11" s="1"/>
  <c r="J29" i="13"/>
  <c r="J29" i="11" s="1"/>
  <c r="J62" i="11"/>
  <c r="J31" i="13"/>
  <c r="J31" i="11" s="1"/>
  <c r="J41" i="13"/>
  <c r="J41" i="11" s="1"/>
  <c r="J60" i="11"/>
  <c r="J33" i="13"/>
  <c r="J33" i="11" s="1"/>
  <c r="AR44" i="13"/>
  <c r="BF10" i="11" s="1"/>
  <c r="J64" i="13"/>
  <c r="J64" i="11" s="1"/>
  <c r="J146" i="13"/>
  <c r="J27" i="13"/>
  <c r="J27" i="11" s="1"/>
  <c r="AO27" i="11" s="1"/>
  <c r="J48" i="13"/>
  <c r="J48" i="11" s="1"/>
  <c r="J61" i="11"/>
  <c r="I27" i="13"/>
  <c r="I27" i="11" s="1"/>
  <c r="AN27" i="11" s="1"/>
  <c r="AP45" i="13"/>
  <c r="BD11" i="11" s="1"/>
  <c r="I28" i="13"/>
  <c r="I48" i="13"/>
  <c r="I48" i="11" s="1"/>
  <c r="I45" i="13"/>
  <c r="I45" i="11" s="1"/>
  <c r="O34" i="13"/>
  <c r="O34" i="11" s="1"/>
  <c r="I55" i="13"/>
  <c r="I55" i="11" s="1"/>
  <c r="G31" i="13"/>
  <c r="G31" i="11" s="1"/>
  <c r="I43" i="13"/>
  <c r="I43" i="11" s="1"/>
  <c r="M137" i="13"/>
  <c r="M137" i="11" s="1"/>
  <c r="I84" i="11"/>
  <c r="I60" i="11"/>
  <c r="J59" i="13"/>
  <c r="J28" i="13"/>
  <c r="P31" i="13"/>
  <c r="P31" i="11" s="1"/>
  <c r="O146" i="13"/>
  <c r="P41" i="13"/>
  <c r="P41" i="11" s="1"/>
  <c r="P84" i="11"/>
  <c r="H27" i="13"/>
  <c r="H27" i="11" s="1"/>
  <c r="AM27" i="11" s="1"/>
  <c r="H32" i="13"/>
  <c r="H32" i="11" s="1"/>
  <c r="P27" i="13"/>
  <c r="P27" i="11" s="1"/>
  <c r="AU27" i="11" s="1"/>
  <c r="H145" i="13"/>
  <c r="H145" i="11" s="1"/>
  <c r="K44" i="13"/>
  <c r="K44" i="11" s="1"/>
  <c r="K31" i="13"/>
  <c r="K31" i="11" s="1"/>
  <c r="P76" i="11"/>
  <c r="K41" i="13"/>
  <c r="K41" i="11" s="1"/>
  <c r="AP33" i="11" s="1"/>
  <c r="K61" i="11"/>
  <c r="H48" i="13"/>
  <c r="H48" i="11" s="1"/>
  <c r="H42" i="13"/>
  <c r="H42" i="11" s="1"/>
  <c r="N54" i="13"/>
  <c r="N54" i="11" s="1"/>
  <c r="K63" i="13"/>
  <c r="K63" i="11" s="1"/>
  <c r="I61" i="11"/>
  <c r="I32" i="13"/>
  <c r="I32" i="11" s="1"/>
  <c r="I42" i="13"/>
  <c r="I42" i="11" s="1"/>
  <c r="N58" i="13"/>
  <c r="N58" i="11" s="1"/>
  <c r="K147" i="13"/>
  <c r="K147" i="11" s="1"/>
  <c r="H135" i="13"/>
  <c r="K53" i="13"/>
  <c r="H62" i="11"/>
  <c r="I139" i="13"/>
  <c r="I139" i="11" s="1"/>
  <c r="H59" i="13"/>
  <c r="P147" i="13"/>
  <c r="P147" i="11" s="1"/>
  <c r="N44" i="13"/>
  <c r="N44" i="11" s="1"/>
  <c r="N42" i="13"/>
  <c r="N42" i="11" s="1"/>
  <c r="N66" i="13"/>
  <c r="N66" i="11" s="1"/>
  <c r="N63" i="13"/>
  <c r="N63" i="11" s="1"/>
  <c r="AV44" i="13"/>
  <c r="BJ10" i="11" s="1"/>
  <c r="N48" i="13"/>
  <c r="N48" i="11" s="1"/>
  <c r="L66" i="13"/>
  <c r="L66" i="11" s="1"/>
  <c r="P40" i="13"/>
  <c r="P40" i="11" s="1"/>
  <c r="N59" i="13"/>
  <c r="K60" i="11"/>
  <c r="H34" i="13"/>
  <c r="H34" i="11" s="1"/>
  <c r="N139" i="13"/>
  <c r="N139" i="11" s="1"/>
  <c r="P49" i="13"/>
  <c r="P49" i="11" s="1"/>
  <c r="AU36" i="11" s="1"/>
  <c r="N38" i="13"/>
  <c r="N38" i="11" s="1"/>
  <c r="N60" i="11"/>
  <c r="N30" i="13"/>
  <c r="N30" i="11" s="1"/>
  <c r="N33" i="13"/>
  <c r="N33" i="11" s="1"/>
  <c r="N57" i="13"/>
  <c r="N57" i="11" s="1"/>
  <c r="N65" i="13"/>
  <c r="N65" i="11" s="1"/>
  <c r="N39" i="13"/>
  <c r="N39" i="11" s="1"/>
  <c r="N61" i="11"/>
  <c r="N41" i="13"/>
  <c r="N41" i="11" s="1"/>
  <c r="N84" i="11"/>
  <c r="L146" i="13"/>
  <c r="H63" i="13"/>
  <c r="H63" i="11" s="1"/>
  <c r="N46" i="13"/>
  <c r="N46" i="11" s="1"/>
  <c r="N56" i="13"/>
  <c r="N64" i="13"/>
  <c r="N64" i="11" s="1"/>
  <c r="K56" i="13"/>
  <c r="N62" i="11"/>
  <c r="K40" i="13"/>
  <c r="K40" i="11" s="1"/>
  <c r="N146" i="13"/>
  <c r="N31" i="13"/>
  <c r="N31" i="11" s="1"/>
  <c r="N76" i="11"/>
  <c r="L27" i="13"/>
  <c r="L27" i="11" s="1"/>
  <c r="AQ27" i="11" s="1"/>
  <c r="P56" i="13"/>
  <c r="P29" i="13"/>
  <c r="P29" i="11" s="1"/>
  <c r="L38" i="13"/>
  <c r="L38" i="11" s="1"/>
  <c r="F140" i="11"/>
  <c r="G43" i="13"/>
  <c r="G43" i="11" s="1"/>
  <c r="F64" i="13"/>
  <c r="F64" i="11" s="1"/>
  <c r="L43" i="13"/>
  <c r="L43" i="11" s="1"/>
  <c r="L76" i="11"/>
  <c r="L46" i="13"/>
  <c r="L46" i="11" s="1"/>
  <c r="L63" i="13"/>
  <c r="L63" i="11" s="1"/>
  <c r="H139" i="13"/>
  <c r="H139" i="11" s="1"/>
  <c r="L61" i="11"/>
  <c r="L34" i="13"/>
  <c r="L34" i="11" s="1"/>
  <c r="H43" i="13"/>
  <c r="H43" i="11" s="1"/>
  <c r="H84" i="11"/>
  <c r="K32" i="13"/>
  <c r="K32" i="11" s="1"/>
  <c r="H54" i="13"/>
  <c r="H54" i="11" s="1"/>
  <c r="P65" i="13"/>
  <c r="P65" i="11" s="1"/>
  <c r="L139" i="13"/>
  <c r="L139" i="11" s="1"/>
  <c r="L135" i="13"/>
  <c r="L62" i="11"/>
  <c r="O47" i="13"/>
  <c r="O47" i="11" s="1"/>
  <c r="O38" i="13"/>
  <c r="O38" i="11" s="1"/>
  <c r="F56" i="13"/>
  <c r="K65" i="13"/>
  <c r="K65" i="11" s="1"/>
  <c r="AS44" i="13"/>
  <c r="BG10" i="11" s="1"/>
  <c r="L65" i="13"/>
  <c r="L65" i="11" s="1"/>
  <c r="P137" i="13"/>
  <c r="P137" i="11" s="1"/>
  <c r="N138" i="13"/>
  <c r="N138" i="11" s="1"/>
  <c r="P61" i="11"/>
  <c r="H44" i="13"/>
  <c r="H44" i="11" s="1"/>
  <c r="N40" i="13"/>
  <c r="N40" i="11" s="1"/>
  <c r="K30" i="13"/>
  <c r="K30" i="11" s="1"/>
  <c r="L41" i="13"/>
  <c r="L41" i="11" s="1"/>
  <c r="K55" i="13"/>
  <c r="K55" i="11" s="1"/>
  <c r="K29" i="13"/>
  <c r="K29" i="11" s="1"/>
  <c r="K28" i="13"/>
  <c r="K28" i="11" s="1"/>
  <c r="P58" i="13"/>
  <c r="P58" i="11" s="1"/>
  <c r="K62" i="11"/>
  <c r="K38" i="13"/>
  <c r="K38" i="11" s="1"/>
  <c r="F63" i="13"/>
  <c r="F63" i="11" s="1"/>
  <c r="AT45" i="13"/>
  <c r="BH11" i="11" s="1"/>
  <c r="L32" i="13"/>
  <c r="L32" i="11" s="1"/>
  <c r="K57" i="13"/>
  <c r="K57" i="11" s="1"/>
  <c r="L33" i="13"/>
  <c r="L33" i="11" s="1"/>
  <c r="L64" i="13"/>
  <c r="L64" i="11" s="1"/>
  <c r="K137" i="13"/>
  <c r="K137" i="11" s="1"/>
  <c r="L29" i="13"/>
  <c r="L29" i="11" s="1"/>
  <c r="P39" i="13"/>
  <c r="P39" i="11" s="1"/>
  <c r="H45" i="13"/>
  <c r="H45" i="11" s="1"/>
  <c r="L44" i="13"/>
  <c r="L44" i="11" s="1"/>
  <c r="L31" i="13"/>
  <c r="L31" i="11" s="1"/>
  <c r="K136" i="13"/>
  <c r="K136" i="11" s="1"/>
  <c r="H136" i="13"/>
  <c r="H136" i="11" s="1"/>
  <c r="H28" i="13"/>
  <c r="H76" i="11"/>
  <c r="K59" i="13"/>
  <c r="K39" i="13"/>
  <c r="K39" i="11" s="1"/>
  <c r="P54" i="13"/>
  <c r="P54" i="11" s="1"/>
  <c r="N32" i="13"/>
  <c r="N32" i="11" s="1"/>
  <c r="AW44" i="13"/>
  <c r="BK10" i="11" s="1"/>
  <c r="G30" i="13"/>
  <c r="G30" i="11" s="1"/>
  <c r="O147" i="13"/>
  <c r="O147" i="11" s="1"/>
  <c r="O145" i="13"/>
  <c r="O145" i="11" s="1"/>
  <c r="M31" i="13"/>
  <c r="M31" i="11" s="1"/>
  <c r="M46" i="13"/>
  <c r="M46" i="11" s="1"/>
  <c r="M32" i="13"/>
  <c r="M32" i="11" s="1"/>
  <c r="I66" i="13"/>
  <c r="I66" i="11" s="1"/>
  <c r="I134" i="1"/>
  <c r="M132" i="1"/>
  <c r="I132" i="1"/>
  <c r="F135" i="13"/>
  <c r="F135" i="11" s="1"/>
  <c r="I53" i="13"/>
  <c r="P38" i="13"/>
  <c r="P38" i="11" s="1"/>
  <c r="G44" i="13"/>
  <c r="G44" i="11" s="1"/>
  <c r="I40" i="13"/>
  <c r="I40" i="11" s="1"/>
  <c r="I49" i="13"/>
  <c r="I49" i="11" s="1"/>
  <c r="AN36" i="11" s="1"/>
  <c r="F54" i="13"/>
  <c r="F54" i="11" s="1"/>
  <c r="F58" i="13"/>
  <c r="F58" i="11" s="1"/>
  <c r="G84" i="11"/>
  <c r="G147" i="13"/>
  <c r="G147" i="11" s="1"/>
  <c r="G145" i="13"/>
  <c r="G145" i="11" s="1"/>
  <c r="O65" i="13"/>
  <c r="O65" i="11" s="1"/>
  <c r="O58" i="13"/>
  <c r="O58" i="11" s="1"/>
  <c r="H147" i="13"/>
  <c r="H147" i="11" s="1"/>
  <c r="I76" i="11"/>
  <c r="AN45" i="13"/>
  <c r="BB11" i="11" s="1"/>
  <c r="F55" i="13"/>
  <c r="F55" i="11" s="1"/>
  <c r="F29" i="13"/>
  <c r="F29" i="11" s="1"/>
  <c r="O138" i="13"/>
  <c r="O138" i="11" s="1"/>
  <c r="J134" i="1"/>
  <c r="O64" i="13"/>
  <c r="O64" i="11" s="1"/>
  <c r="G38" i="13"/>
  <c r="G38" i="11" s="1"/>
  <c r="O32" i="13"/>
  <c r="O32" i="11" s="1"/>
  <c r="G60" i="11"/>
  <c r="O46" i="13"/>
  <c r="O46" i="11" s="1"/>
  <c r="M135" i="13"/>
  <c r="M55" i="13"/>
  <c r="M55" i="11" s="1"/>
  <c r="G61" i="11"/>
  <c r="F30" i="13"/>
  <c r="F30" i="11" s="1"/>
  <c r="M41" i="13"/>
  <c r="M41" i="11" s="1"/>
  <c r="I137" i="13"/>
  <c r="I137" i="11" s="1"/>
  <c r="M146" i="13"/>
  <c r="G55" i="13"/>
  <c r="G55" i="11" s="1"/>
  <c r="F62" i="11"/>
  <c r="O59" i="13"/>
  <c r="G32" i="13"/>
  <c r="G32" i="11" s="1"/>
  <c r="G39" i="13"/>
  <c r="G39" i="11" s="1"/>
  <c r="F45" i="13"/>
  <c r="F45" i="11" s="1"/>
  <c r="F84" i="11"/>
  <c r="H47" i="13"/>
  <c r="H47" i="11" s="1"/>
  <c r="M42" i="13"/>
  <c r="M42" i="11" s="1"/>
  <c r="G54" i="13"/>
  <c r="G54" i="11" s="1"/>
  <c r="H60" i="11"/>
  <c r="H46" i="13"/>
  <c r="H46" i="11" s="1"/>
  <c r="L49" i="13"/>
  <c r="L49" i="11" s="1"/>
  <c r="AQ36" i="11" s="1"/>
  <c r="G40" i="13"/>
  <c r="G40" i="11" s="1"/>
  <c r="H65" i="13"/>
  <c r="H65" i="11" s="1"/>
  <c r="O139" i="13"/>
  <c r="O139" i="11" s="1"/>
  <c r="H55" i="13"/>
  <c r="H55" i="11" s="1"/>
  <c r="L40" i="13"/>
  <c r="L40" i="11" s="1"/>
  <c r="F34" i="13"/>
  <c r="F34" i="11" s="1"/>
  <c r="P133" i="1"/>
  <c r="H133" i="1"/>
  <c r="J135" i="13"/>
  <c r="M53" i="13"/>
  <c r="I38" i="13"/>
  <c r="I38" i="11" s="1"/>
  <c r="F38" i="13"/>
  <c r="F38" i="11" s="1"/>
  <c r="G146" i="13"/>
  <c r="I138" i="13"/>
  <c r="I138" i="11" s="1"/>
  <c r="F60" i="11"/>
  <c r="G47" i="13"/>
  <c r="G47" i="11" s="1"/>
  <c r="L48" i="13"/>
  <c r="L48" i="11" s="1"/>
  <c r="L42" i="13"/>
  <c r="L42" i="11" s="1"/>
  <c r="M40" i="13"/>
  <c r="M40" i="11" s="1"/>
  <c r="M28" i="13"/>
  <c r="O31" i="13"/>
  <c r="O31" i="11" s="1"/>
  <c r="G34" i="13"/>
  <c r="G34" i="11" s="1"/>
  <c r="M59" i="13"/>
  <c r="M45" i="13"/>
  <c r="M45" i="11" s="1"/>
  <c r="I41" i="13"/>
  <c r="I41" i="11" s="1"/>
  <c r="I39" i="13"/>
  <c r="I39" i="11" s="1"/>
  <c r="F66" i="13"/>
  <c r="F66" i="11" s="1"/>
  <c r="F57" i="13"/>
  <c r="F57" i="11" s="1"/>
  <c r="G76" i="11"/>
  <c r="O76" i="11"/>
  <c r="I147" i="13"/>
  <c r="I147" i="11" s="1"/>
  <c r="I145" i="13"/>
  <c r="I145" i="11" s="1"/>
  <c r="M145" i="13"/>
  <c r="M145" i="11" s="1"/>
  <c r="L28" i="13"/>
  <c r="K64" i="13"/>
  <c r="K64" i="11" s="1"/>
  <c r="K54" i="13"/>
  <c r="K54" i="11" s="1"/>
  <c r="O63" i="13"/>
  <c r="O63" i="11" s="1"/>
  <c r="O57" i="13"/>
  <c r="O57" i="11" s="1"/>
  <c r="O56" i="13"/>
  <c r="AU45" i="13"/>
  <c r="BI11" i="11" s="1"/>
  <c r="K138" i="13"/>
  <c r="K138" i="11" s="1"/>
  <c r="O55" i="13"/>
  <c r="O55" i="11" s="1"/>
  <c r="I47" i="13"/>
  <c r="I47" i="11" s="1"/>
  <c r="M44" i="13"/>
  <c r="M44" i="11" s="1"/>
  <c r="O40" i="13"/>
  <c r="O40" i="11" s="1"/>
  <c r="L30" i="13"/>
  <c r="L30" i="11" s="1"/>
  <c r="I34" i="13"/>
  <c r="I34" i="11" s="1"/>
  <c r="G59" i="13"/>
  <c r="G45" i="13"/>
  <c r="G45" i="11" s="1"/>
  <c r="K27" i="13"/>
  <c r="K27" i="11" s="1"/>
  <c r="AP27" i="11" s="1"/>
  <c r="O39" i="13"/>
  <c r="O39" i="11" s="1"/>
  <c r="L56" i="13"/>
  <c r="L57" i="13"/>
  <c r="L57" i="11" s="1"/>
  <c r="K145" i="13"/>
  <c r="K145" i="11" s="1"/>
  <c r="L53" i="13"/>
  <c r="I30" i="13"/>
  <c r="I30" i="11" s="1"/>
  <c r="M33" i="13"/>
  <c r="M33" i="11" s="1"/>
  <c r="F28" i="13"/>
  <c r="F28" i="11" s="1"/>
  <c r="F76" i="11"/>
  <c r="AS45" i="13"/>
  <c r="BG11" i="11" s="1"/>
  <c r="P139" i="13"/>
  <c r="P139" i="11" s="1"/>
  <c r="P146" i="13"/>
  <c r="G140" i="11"/>
  <c r="O60" i="11"/>
  <c r="I62" i="11"/>
  <c r="G46" i="13"/>
  <c r="G46" i="11" s="1"/>
  <c r="L47" i="13"/>
  <c r="L47" i="11" s="1"/>
  <c r="H49" i="13"/>
  <c r="H49" i="11" s="1"/>
  <c r="AM36" i="11" s="1"/>
  <c r="P44" i="13"/>
  <c r="P44" i="11" s="1"/>
  <c r="F40" i="13"/>
  <c r="F40" i="11" s="1"/>
  <c r="O30" i="13"/>
  <c r="O30" i="11" s="1"/>
  <c r="K33" i="13"/>
  <c r="K33" i="11" s="1"/>
  <c r="P34" i="13"/>
  <c r="P34" i="11" s="1"/>
  <c r="L59" i="13"/>
  <c r="P32" i="13"/>
  <c r="P32" i="11" s="1"/>
  <c r="G66" i="13"/>
  <c r="G66" i="11" s="1"/>
  <c r="G57" i="13"/>
  <c r="G57" i="11" s="1"/>
  <c r="AO44" i="13"/>
  <c r="BC10" i="11" s="1"/>
  <c r="AQ45" i="13"/>
  <c r="BE11" i="11" s="1"/>
  <c r="F137" i="13"/>
  <c r="F137" i="11" s="1"/>
  <c r="N137" i="13"/>
  <c r="N137" i="11" s="1"/>
  <c r="P60" i="11"/>
  <c r="P46" i="13"/>
  <c r="P46" i="11" s="1"/>
  <c r="I44" i="13"/>
  <c r="I44" i="11" s="1"/>
  <c r="G26" i="13"/>
  <c r="G26" i="11" s="1"/>
  <c r="H30" i="13"/>
  <c r="H30" i="11" s="1"/>
  <c r="P33" i="13"/>
  <c r="P33" i="11" s="1"/>
  <c r="G49" i="13"/>
  <c r="G49" i="11" s="1"/>
  <c r="AL36" i="11" s="1"/>
  <c r="O27" i="13"/>
  <c r="O27" i="11" s="1"/>
  <c r="AT27" i="11" s="1"/>
  <c r="AP44" i="13"/>
  <c r="BD10" i="11" s="1"/>
  <c r="H66" i="13"/>
  <c r="H66" i="11" s="1"/>
  <c r="H57" i="13"/>
  <c r="H57" i="11" s="1"/>
  <c r="P64" i="13"/>
  <c r="P64" i="11" s="1"/>
  <c r="P63" i="13"/>
  <c r="P63" i="11" s="1"/>
  <c r="O137" i="13"/>
  <c r="O137" i="11" s="1"/>
  <c r="I135" i="13"/>
  <c r="P55" i="13"/>
  <c r="P55" i="11" s="1"/>
  <c r="P45" i="13"/>
  <c r="P45" i="11" s="1"/>
  <c r="N47" i="13"/>
  <c r="N47" i="11" s="1"/>
  <c r="G41" i="13"/>
  <c r="G41" i="11" s="1"/>
  <c r="H26" i="13"/>
  <c r="H26" i="11" s="1"/>
  <c r="M30" i="13"/>
  <c r="M30" i="11" s="1"/>
  <c r="N34" i="13"/>
  <c r="N34" i="11" s="1"/>
  <c r="N49" i="13"/>
  <c r="N49" i="11" s="1"/>
  <c r="AS36" i="11" s="1"/>
  <c r="N43" i="13"/>
  <c r="N43" i="11" s="1"/>
  <c r="N27" i="13"/>
  <c r="N27" i="11" s="1"/>
  <c r="AS27" i="11" s="1"/>
  <c r="I56" i="13"/>
  <c r="I63" i="13"/>
  <c r="I63" i="11" s="1"/>
  <c r="I65" i="13"/>
  <c r="I65" i="11" s="1"/>
  <c r="M54" i="13"/>
  <c r="M54" i="11" s="1"/>
  <c r="M65" i="13"/>
  <c r="M65" i="11" s="1"/>
  <c r="N134" i="1"/>
  <c r="F134" i="1"/>
  <c r="N133" i="1"/>
  <c r="J133" i="1"/>
  <c r="F133" i="1"/>
  <c r="F132" i="1"/>
  <c r="O45" i="13"/>
  <c r="O45" i="11" s="1"/>
  <c r="G28" i="13"/>
  <c r="G28" i="11" s="1"/>
  <c r="O62" i="11"/>
  <c r="O48" i="13"/>
  <c r="O48" i="11" s="1"/>
  <c r="O42" i="13"/>
  <c r="O42" i="11" s="1"/>
  <c r="H146" i="13"/>
  <c r="G56" i="13"/>
  <c r="G64" i="13"/>
  <c r="G64" i="11" s="1"/>
  <c r="F145" i="13"/>
  <c r="F145" i="11" s="1"/>
  <c r="F147" i="13"/>
  <c r="F147" i="11" s="1"/>
  <c r="G138" i="13"/>
  <c r="G138" i="11" s="1"/>
  <c r="G29" i="13"/>
  <c r="G29" i="11" s="1"/>
  <c r="G137" i="13"/>
  <c r="G137" i="11" s="1"/>
  <c r="AQ44" i="13"/>
  <c r="BE10" i="11" s="1"/>
  <c r="M64" i="13"/>
  <c r="M64" i="11" s="1"/>
  <c r="M56" i="13"/>
  <c r="AO45" i="13"/>
  <c r="BC11" i="11" s="1"/>
  <c r="AW45" i="13"/>
  <c r="BK11" i="11" s="1"/>
  <c r="M134" i="1"/>
  <c r="M133" i="1"/>
  <c r="I133" i="1"/>
  <c r="N53" i="13"/>
  <c r="O53" i="13"/>
  <c r="O135" i="13"/>
  <c r="O43" i="13"/>
  <c r="O43" i="11" s="1"/>
  <c r="O29" i="13"/>
  <c r="O29" i="11" s="1"/>
  <c r="F61" i="11"/>
  <c r="I46" i="13"/>
  <c r="I46" i="11" s="1"/>
  <c r="F44" i="13"/>
  <c r="F44" i="11" s="1"/>
  <c r="H40" i="13"/>
  <c r="H40" i="11" s="1"/>
  <c r="I33" i="13"/>
  <c r="I33" i="11" s="1"/>
  <c r="F59" i="13"/>
  <c r="F41" i="13"/>
  <c r="F41" i="11" s="1"/>
  <c r="M48" i="13"/>
  <c r="M48" i="11" s="1"/>
  <c r="F26" i="13"/>
  <c r="F26" i="11" s="1"/>
  <c r="G33" i="13"/>
  <c r="G33" i="11" s="1"/>
  <c r="G135" i="13"/>
  <c r="G135" i="11" s="1"/>
  <c r="G58" i="13"/>
  <c r="G58" i="11" s="1"/>
  <c r="H33" i="13"/>
  <c r="H33" i="11" s="1"/>
  <c r="O49" i="13"/>
  <c r="O49" i="11" s="1"/>
  <c r="AT36" i="11" s="1"/>
  <c r="H64" i="13"/>
  <c r="H64" i="11" s="1"/>
  <c r="M76" i="11"/>
  <c r="F47" i="13"/>
  <c r="F47" i="11" s="1"/>
  <c r="L39" i="13"/>
  <c r="L39" i="11" s="1"/>
  <c r="I64" i="13"/>
  <c r="I64" i="11" s="1"/>
  <c r="I57" i="13"/>
  <c r="I57" i="11" s="1"/>
  <c r="M63" i="13"/>
  <c r="M63" i="11" s="1"/>
  <c r="AU44" i="13"/>
  <c r="BI10" i="11" s="1"/>
  <c r="L145" i="13"/>
  <c r="L145" i="11" s="1"/>
  <c r="L133" i="1"/>
  <c r="O134" i="1"/>
  <c r="K134" i="1"/>
  <c r="G134" i="1"/>
  <c r="O133" i="1"/>
  <c r="K133" i="1"/>
  <c r="G133" i="1"/>
  <c r="N135" i="13"/>
  <c r="H38" i="13"/>
  <c r="H38" i="11" s="1"/>
  <c r="F53" i="13"/>
  <c r="M38" i="13"/>
  <c r="M38" i="11" s="1"/>
  <c r="G53" i="13"/>
  <c r="K135" i="13"/>
  <c r="K146" i="13"/>
  <c r="M138" i="13"/>
  <c r="M138" i="11" s="1"/>
  <c r="O61" i="11"/>
  <c r="F46" i="13"/>
  <c r="F46" i="11" s="1"/>
  <c r="K47" i="13"/>
  <c r="K47" i="11" s="1"/>
  <c r="O44" i="13"/>
  <c r="O44" i="11" s="1"/>
  <c r="I26" i="13"/>
  <c r="I26" i="11" s="1"/>
  <c r="I29" i="13"/>
  <c r="I29" i="11" s="1"/>
  <c r="F33" i="13"/>
  <c r="F33" i="11" s="1"/>
  <c r="K34" i="13"/>
  <c r="K34" i="11" s="1"/>
  <c r="I59" i="13"/>
  <c r="M43" i="13"/>
  <c r="M43" i="11" s="1"/>
  <c r="M27" i="13"/>
  <c r="M27" i="11" s="1"/>
  <c r="AR27" i="11" s="1"/>
  <c r="M39" i="13"/>
  <c r="M39" i="11" s="1"/>
  <c r="F65" i="13"/>
  <c r="F65" i="11" s="1"/>
  <c r="AN44" i="13"/>
  <c r="BB10" i="11" s="1"/>
  <c r="K76" i="11"/>
  <c r="K84" i="11"/>
  <c r="O84" i="11"/>
  <c r="M139" i="13"/>
  <c r="M139" i="11" s="1"/>
  <c r="M147" i="13"/>
  <c r="M147" i="11" s="1"/>
  <c r="H41" i="13"/>
  <c r="H41" i="11" s="1"/>
  <c r="F39" i="13"/>
  <c r="F39" i="11" s="1"/>
  <c r="K66" i="13"/>
  <c r="K66" i="11" s="1"/>
  <c r="K58" i="13"/>
  <c r="K58" i="11" s="1"/>
  <c r="O54" i="13"/>
  <c r="O54" i="11" s="1"/>
  <c r="O66" i="13"/>
  <c r="O66" i="11" s="1"/>
  <c r="L84" i="11"/>
  <c r="J145" i="13"/>
  <c r="J145" i="11" s="1"/>
  <c r="J147" i="13"/>
  <c r="J147" i="11" s="1"/>
  <c r="L60" i="11"/>
  <c r="L45" i="13"/>
  <c r="L45" i="11" s="1"/>
  <c r="F48" i="13"/>
  <c r="F48" i="11" s="1"/>
  <c r="K26" i="13"/>
  <c r="K26" i="11" s="1"/>
  <c r="I31" i="13"/>
  <c r="I31" i="11" s="1"/>
  <c r="L136" i="13"/>
  <c r="L136" i="11" s="1"/>
  <c r="K49" i="13"/>
  <c r="K49" i="11" s="1"/>
  <c r="AP36" i="11" s="1"/>
  <c r="O28" i="13"/>
  <c r="AT44" i="13"/>
  <c r="BH10" i="11" s="1"/>
  <c r="L58" i="13"/>
  <c r="L58" i="11" s="1"/>
  <c r="L54" i="13"/>
  <c r="L54" i="11" s="1"/>
  <c r="AV45" i="13"/>
  <c r="BJ11" i="11" s="1"/>
  <c r="K139" i="13"/>
  <c r="K139" i="11" s="1"/>
  <c r="H138" i="13"/>
  <c r="H138" i="11" s="1"/>
  <c r="L55" i="13"/>
  <c r="L55" i="11" s="1"/>
  <c r="G62" i="11"/>
  <c r="G48" i="13"/>
  <c r="G48" i="11" s="1"/>
  <c r="G42" i="13"/>
  <c r="G42" i="11" s="1"/>
  <c r="L26" i="13"/>
  <c r="L26" i="11" s="1"/>
  <c r="F31" i="13"/>
  <c r="N45" i="13"/>
  <c r="N45" i="11" s="1"/>
  <c r="F32" i="13"/>
  <c r="F32" i="11" s="1"/>
  <c r="H39" i="13"/>
  <c r="H39" i="11" s="1"/>
  <c r="H137" i="13"/>
  <c r="H137" i="11" s="1"/>
  <c r="P145" i="13"/>
  <c r="P145" i="11" s="1"/>
  <c r="F138" i="13"/>
  <c r="F138" i="11" s="1"/>
  <c r="N55" i="13"/>
  <c r="N55" i="11" s="1"/>
  <c r="H61" i="11"/>
  <c r="M62" i="11"/>
  <c r="K46" i="13"/>
  <c r="K46" i="11" s="1"/>
  <c r="P47" i="13"/>
  <c r="P47" i="11" s="1"/>
  <c r="K43" i="13"/>
  <c r="K43" i="11" s="1"/>
  <c r="O41" i="13"/>
  <c r="O41" i="11" s="1"/>
  <c r="N26" i="13"/>
  <c r="N26" i="11" s="1"/>
  <c r="N29" i="13"/>
  <c r="N29" i="11" s="1"/>
  <c r="H31" i="13"/>
  <c r="H31" i="11" s="1"/>
  <c r="O33" i="13"/>
  <c r="O33" i="11" s="1"/>
  <c r="O136" i="13"/>
  <c r="O136" i="11" s="1"/>
  <c r="G136" i="13"/>
  <c r="G136" i="11" s="1"/>
  <c r="P43" i="13"/>
  <c r="P43" i="11" s="1"/>
  <c r="P28" i="13"/>
  <c r="G65" i="13"/>
  <c r="G65" i="11" s="1"/>
  <c r="G63" i="13"/>
  <c r="G63" i="11" s="1"/>
  <c r="F139" i="13"/>
  <c r="F139" i="11" s="1"/>
  <c r="N147" i="13"/>
  <c r="N147" i="11" s="1"/>
  <c r="N145" i="13"/>
  <c r="N145" i="11" s="1"/>
  <c r="I146" i="13"/>
  <c r="H53" i="13"/>
  <c r="M61" i="11"/>
  <c r="M47" i="13"/>
  <c r="M47" i="11" s="1"/>
  <c r="F42" i="13"/>
  <c r="F42" i="11" s="1"/>
  <c r="O26" i="13"/>
  <c r="O26" i="11" s="1"/>
  <c r="P30" i="13"/>
  <c r="P30" i="11" s="1"/>
  <c r="M34" i="13"/>
  <c r="M34" i="11" s="1"/>
  <c r="K45" i="13"/>
  <c r="K45" i="11" s="1"/>
  <c r="G27" i="13"/>
  <c r="G27" i="11" s="1"/>
  <c r="AL27" i="11" s="1"/>
  <c r="H58" i="13"/>
  <c r="H58" i="11" s="1"/>
  <c r="H56" i="13"/>
  <c r="AX44" i="13"/>
  <c r="BL10" i="11" s="1"/>
  <c r="P66" i="13"/>
  <c r="P66" i="11" s="1"/>
  <c r="P57" i="13"/>
  <c r="P57" i="11" s="1"/>
  <c r="M84" i="11"/>
  <c r="G139" i="13"/>
  <c r="G139" i="11" s="1"/>
  <c r="L138" i="13"/>
  <c r="L138" i="11" s="1"/>
  <c r="M60" i="11"/>
  <c r="K48" i="13"/>
  <c r="K48" i="11" s="1"/>
  <c r="P26" i="13"/>
  <c r="P26" i="11" s="1"/>
  <c r="P136" i="13"/>
  <c r="P136" i="11" s="1"/>
  <c r="F49" i="13"/>
  <c r="F49" i="11" s="1"/>
  <c r="AK36" i="11" s="1"/>
  <c r="F43" i="13"/>
  <c r="F43" i="11" s="1"/>
  <c r="F27" i="13"/>
  <c r="F27" i="11" s="1"/>
  <c r="AK27" i="11" s="1"/>
  <c r="I54" i="13"/>
  <c r="I54" i="11" s="1"/>
  <c r="I58" i="13"/>
  <c r="I58" i="11" s="1"/>
  <c r="M58" i="13"/>
  <c r="M58" i="11" s="1"/>
  <c r="M66" i="13"/>
  <c r="M66" i="11" s="1"/>
  <c r="M57" i="13"/>
  <c r="M57" i="11" s="1"/>
  <c r="L137" i="13"/>
  <c r="L137" i="11" s="1"/>
  <c r="O132" i="1"/>
  <c r="G132" i="1"/>
  <c r="P134" i="1"/>
  <c r="L134" i="1"/>
  <c r="H134" i="1"/>
  <c r="P132" i="1"/>
  <c r="L132" i="1"/>
  <c r="H132" i="1"/>
  <c r="N132" i="1"/>
  <c r="K132" i="1"/>
  <c r="J132" i="1"/>
  <c r="E53" i="14"/>
  <c r="E52" i="14"/>
  <c r="I53" i="14"/>
  <c r="M52" i="14"/>
  <c r="I52" i="14"/>
  <c r="M53" i="14"/>
  <c r="F52" i="14"/>
  <c r="J52" i="14"/>
  <c r="N52" i="14"/>
  <c r="F53" i="14"/>
  <c r="J53" i="14"/>
  <c r="N53" i="14"/>
  <c r="G52" i="14"/>
  <c r="K52" i="14"/>
  <c r="O52" i="14"/>
  <c r="G53" i="14"/>
  <c r="K53" i="14"/>
  <c r="O53" i="14"/>
  <c r="K19" i="10" l="1"/>
  <c r="O19" i="10"/>
  <c r="M19" i="10"/>
  <c r="P19" i="10"/>
  <c r="L19" i="10"/>
  <c r="F19" i="10"/>
  <c r="N19" i="10"/>
  <c r="H19" i="10"/>
  <c r="J19" i="10"/>
  <c r="G19" i="10"/>
  <c r="J144" i="1"/>
  <c r="H17" i="31" s="1"/>
  <c r="Q20" i="10"/>
  <c r="U20" i="13"/>
  <c r="AG8" i="13"/>
  <c r="H144" i="13"/>
  <c r="I144" i="13"/>
  <c r="X6" i="9"/>
  <c r="H24" i="9"/>
  <c r="G22" i="9"/>
  <c r="I203" i="1"/>
  <c r="K187" i="1"/>
  <c r="K200" i="1" s="1"/>
  <c r="K202" i="1" s="1"/>
  <c r="I35" i="9"/>
  <c r="I37" i="1" s="1"/>
  <c r="O203" i="1"/>
  <c r="L203" i="1"/>
  <c r="O173" i="20"/>
  <c r="P173" i="20" s="1"/>
  <c r="P174" i="20" s="1"/>
  <c r="P129" i="20" s="1"/>
  <c r="P127" i="20" s="1"/>
  <c r="K203" i="1"/>
  <c r="M203" i="1"/>
  <c r="Z69" i="9"/>
  <c r="Z70" i="9" s="1"/>
  <c r="G187" i="1"/>
  <c r="G200" i="1" s="1"/>
  <c r="G202" i="1" s="1"/>
  <c r="G204" i="1" s="1"/>
  <c r="N203" i="1"/>
  <c r="L144" i="9"/>
  <c r="AB7" i="9" s="1"/>
  <c r="P203" i="1"/>
  <c r="E50" i="1"/>
  <c r="V34" i="1" s="1"/>
  <c r="E187" i="1"/>
  <c r="E200" i="1" s="1"/>
  <c r="E37" i="1"/>
  <c r="E179" i="1"/>
  <c r="E198" i="1" s="1"/>
  <c r="J203" i="1"/>
  <c r="F50" i="1"/>
  <c r="W34" i="1" s="1"/>
  <c r="F187" i="1"/>
  <c r="F200" i="1" s="1"/>
  <c r="F202" i="1" s="1"/>
  <c r="F204" i="1" s="1"/>
  <c r="O187" i="1"/>
  <c r="O200" i="1" s="1"/>
  <c r="P50" i="1"/>
  <c r="AG34" i="1" s="1"/>
  <c r="P187" i="1"/>
  <c r="P200" i="1" s="1"/>
  <c r="I50" i="1"/>
  <c r="Z34" i="1" s="1"/>
  <c r="I187" i="1"/>
  <c r="I200" i="1" s="1"/>
  <c r="L50" i="1"/>
  <c r="AC34" i="1" s="1"/>
  <c r="L187" i="1"/>
  <c r="L200" i="1" s="1"/>
  <c r="N50" i="1"/>
  <c r="AE34" i="1" s="1"/>
  <c r="N187" i="1"/>
  <c r="N200" i="1" s="1"/>
  <c r="J50" i="1"/>
  <c r="AA34" i="1" s="1"/>
  <c r="J187" i="1"/>
  <c r="J200" i="1" s="1"/>
  <c r="M50" i="1"/>
  <c r="AD34" i="1" s="1"/>
  <c r="M187" i="1"/>
  <c r="M200" i="1" s="1"/>
  <c r="H50" i="1"/>
  <c r="Y34" i="1" s="1"/>
  <c r="H187" i="1"/>
  <c r="H200" i="1" s="1"/>
  <c r="J4" i="31"/>
  <c r="J2" i="31" s="1"/>
  <c r="J20" i="32"/>
  <c r="F4" i="31"/>
  <c r="F2" i="31" s="1"/>
  <c r="F20" i="32"/>
  <c r="L4" i="31"/>
  <c r="L2" i="31" s="1"/>
  <c r="L20" i="32"/>
  <c r="I4" i="31"/>
  <c r="I2" i="31" s="1"/>
  <c r="I20" i="32"/>
  <c r="G4" i="31"/>
  <c r="G2" i="31" s="1"/>
  <c r="G20" i="32"/>
  <c r="N4" i="31"/>
  <c r="N2" i="31" s="1"/>
  <c r="N20" i="32"/>
  <c r="M4" i="31"/>
  <c r="M2" i="31" s="1"/>
  <c r="M20" i="32"/>
  <c r="K4" i="31"/>
  <c r="K2" i="31" s="1"/>
  <c r="K20" i="32"/>
  <c r="P140" i="11"/>
  <c r="AU69" i="11" s="1"/>
  <c r="N173" i="20"/>
  <c r="V13" i="10"/>
  <c r="D11" i="32"/>
  <c r="F35" i="1"/>
  <c r="F167" i="1" s="1"/>
  <c r="F192" i="1" s="1"/>
  <c r="D14" i="32"/>
  <c r="AC7" i="1"/>
  <c r="K6" i="31"/>
  <c r="AD7" i="1"/>
  <c r="L6" i="31"/>
  <c r="AB7" i="1"/>
  <c r="J6" i="31"/>
  <c r="E52" i="1"/>
  <c r="C11" i="31" s="1"/>
  <c r="AC13" i="10"/>
  <c r="K14" i="31"/>
  <c r="Y13" i="10"/>
  <c r="G14" i="31"/>
  <c r="F69" i="1"/>
  <c r="D6" i="31" s="1"/>
  <c r="Y7" i="1"/>
  <c r="G6" i="31"/>
  <c r="W13" i="10"/>
  <c r="E14" i="31"/>
  <c r="AD13" i="10"/>
  <c r="L14" i="31"/>
  <c r="J24" i="10"/>
  <c r="H4" i="31"/>
  <c r="H2" i="31" s="1"/>
  <c r="W7" i="1"/>
  <c r="W5" i="11" s="1"/>
  <c r="E6" i="31"/>
  <c r="E5" i="31" s="1"/>
  <c r="AE7" i="1"/>
  <c r="M6" i="31"/>
  <c r="AB13" i="10"/>
  <c r="J14" i="31"/>
  <c r="Z7" i="1"/>
  <c r="H6" i="31"/>
  <c r="AF7" i="1"/>
  <c r="N6" i="31"/>
  <c r="AA13" i="10"/>
  <c r="I14" i="31"/>
  <c r="X7" i="1"/>
  <c r="F6" i="31"/>
  <c r="AF13" i="10"/>
  <c r="N14" i="31"/>
  <c r="F52" i="1"/>
  <c r="D11" i="31" s="1"/>
  <c r="Z13" i="10"/>
  <c r="H14" i="31"/>
  <c r="G52" i="1"/>
  <c r="E11" i="31" s="1"/>
  <c r="X13" i="10"/>
  <c r="F14" i="31"/>
  <c r="AE13" i="10"/>
  <c r="M14" i="31"/>
  <c r="K144" i="9"/>
  <c r="K144" i="1" s="1"/>
  <c r="I17" i="31" s="1"/>
  <c r="AG69" i="9"/>
  <c r="AG70" i="9" s="1"/>
  <c r="L140" i="11"/>
  <c r="AQ69" i="11" s="1"/>
  <c r="O140" i="11"/>
  <c r="AT69" i="11" s="1"/>
  <c r="M140" i="11"/>
  <c r="AR69" i="11" s="1"/>
  <c r="P144" i="9"/>
  <c r="P144" i="1" s="1"/>
  <c r="N17" i="31" s="1"/>
  <c r="M144" i="9"/>
  <c r="AC7" i="9" s="1"/>
  <c r="O144" i="9"/>
  <c r="AE7" i="9" s="1"/>
  <c r="BI29" i="11"/>
  <c r="K140" i="11"/>
  <c r="AP69" i="11" s="1"/>
  <c r="U3" i="9"/>
  <c r="K22" i="10"/>
  <c r="I23" i="10"/>
  <c r="I22" i="10"/>
  <c r="W9" i="10"/>
  <c r="G23" i="10"/>
  <c r="G22" i="10"/>
  <c r="N23" i="10"/>
  <c r="N22" i="10"/>
  <c r="P23" i="10"/>
  <c r="P22" i="10"/>
  <c r="O23" i="10"/>
  <c r="O22" i="10"/>
  <c r="K23" i="10"/>
  <c r="H23" i="10"/>
  <c r="H22" i="10"/>
  <c r="L23" i="10"/>
  <c r="L22" i="10"/>
  <c r="F37" i="1"/>
  <c r="F23" i="10"/>
  <c r="F22" i="10"/>
  <c r="J23" i="10"/>
  <c r="J22" i="10"/>
  <c r="M23" i="10"/>
  <c r="M22" i="10"/>
  <c r="H140" i="11"/>
  <c r="AM69" i="11" s="1"/>
  <c r="I140" i="11"/>
  <c r="AN69" i="11" s="1"/>
  <c r="J140" i="11"/>
  <c r="AO69" i="11" s="1"/>
  <c r="BG14" i="11"/>
  <c r="N124" i="9"/>
  <c r="N124" i="1" s="1"/>
  <c r="N118" i="11"/>
  <c r="N124" i="11" s="1"/>
  <c r="J124" i="9"/>
  <c r="J124" i="1" s="1"/>
  <c r="J118" i="11"/>
  <c r="J124" i="11" s="1"/>
  <c r="I124" i="9"/>
  <c r="I124" i="1" s="1"/>
  <c r="I118" i="11"/>
  <c r="I124" i="11" s="1"/>
  <c r="P124" i="9"/>
  <c r="P124" i="1" s="1"/>
  <c r="P118" i="11"/>
  <c r="P124" i="11" s="1"/>
  <c r="K124" i="9"/>
  <c r="K124" i="1" s="1"/>
  <c r="K118" i="11"/>
  <c r="K124" i="11" s="1"/>
  <c r="O124" i="9"/>
  <c r="O124" i="1" s="1"/>
  <c r="O118" i="11"/>
  <c r="O124" i="11" s="1"/>
  <c r="L124" i="9"/>
  <c r="L124" i="1" s="1"/>
  <c r="L118" i="11"/>
  <c r="L124" i="11" s="1"/>
  <c r="K69" i="1"/>
  <c r="AB44" i="1" s="1"/>
  <c r="H124" i="9"/>
  <c r="H124" i="1" s="1"/>
  <c r="H118" i="11"/>
  <c r="M124" i="9"/>
  <c r="M124" i="1" s="1"/>
  <c r="M118" i="11"/>
  <c r="M124" i="11" s="1"/>
  <c r="AS47" i="13"/>
  <c r="AS65" i="13" s="1"/>
  <c r="AN48" i="13"/>
  <c r="BB14" i="11" s="1"/>
  <c r="AG65" i="10"/>
  <c r="AG88" i="10" s="1"/>
  <c r="AG122" i="10" s="1"/>
  <c r="AH56" i="10"/>
  <c r="AF65" i="10"/>
  <c r="AF108" i="10" s="1"/>
  <c r="AR47" i="13"/>
  <c r="BF13" i="11" s="1"/>
  <c r="AD65" i="10"/>
  <c r="AD110" i="10" s="1"/>
  <c r="AD144" i="10" s="1"/>
  <c r="Y65" i="10"/>
  <c r="Y98" i="10" s="1"/>
  <c r="Y132" i="10" s="1"/>
  <c r="AO47" i="13"/>
  <c r="AO65" i="13" s="1"/>
  <c r="Z65" i="10"/>
  <c r="Z110" i="10" s="1"/>
  <c r="Z144" i="10" s="1"/>
  <c r="N140" i="11"/>
  <c r="AS69" i="11" s="1"/>
  <c r="AN26" i="10"/>
  <c r="N144" i="9"/>
  <c r="AD7" i="9" s="1"/>
  <c r="H144" i="9"/>
  <c r="X7" i="9" s="1"/>
  <c r="AA69" i="9"/>
  <c r="AA70" i="9" s="1"/>
  <c r="P142" i="1"/>
  <c r="Q140" i="9"/>
  <c r="AH36" i="9"/>
  <c r="N143" i="1"/>
  <c r="AU47" i="10"/>
  <c r="N24" i="10"/>
  <c r="AR51" i="10"/>
  <c r="K24" i="10"/>
  <c r="AP51" i="10"/>
  <c r="AW44" i="10"/>
  <c r="P24" i="10"/>
  <c r="AC12" i="10"/>
  <c r="M24" i="10"/>
  <c r="AO48" i="10"/>
  <c r="H24" i="10"/>
  <c r="AE12" i="10"/>
  <c r="O24" i="10"/>
  <c r="AS46" i="10"/>
  <c r="L24" i="10"/>
  <c r="BE24" i="11"/>
  <c r="P94" i="21"/>
  <c r="M94" i="21"/>
  <c r="K94" i="21"/>
  <c r="AH26" i="9"/>
  <c r="W6" i="9"/>
  <c r="G144" i="1"/>
  <c r="E17" i="31" s="1"/>
  <c r="V3" i="9"/>
  <c r="G37" i="1"/>
  <c r="G35" i="1"/>
  <c r="H94" i="21"/>
  <c r="J94" i="21"/>
  <c r="Q17" i="21"/>
  <c r="Q16" i="21"/>
  <c r="O135" i="11"/>
  <c r="O95" i="21" s="1"/>
  <c r="L135" i="11"/>
  <c r="L95" i="21" s="1"/>
  <c r="K135" i="11"/>
  <c r="K95" i="21" s="1"/>
  <c r="I135" i="11"/>
  <c r="I95" i="21" s="1"/>
  <c r="J135" i="11"/>
  <c r="J95" i="21" s="1"/>
  <c r="M135" i="11"/>
  <c r="M95" i="21" s="1"/>
  <c r="H135" i="11"/>
  <c r="H95" i="21" s="1"/>
  <c r="P135" i="11"/>
  <c r="P95" i="21" s="1"/>
  <c r="N135" i="11"/>
  <c r="N95" i="21" s="1"/>
  <c r="I94" i="21"/>
  <c r="O94" i="21"/>
  <c r="L94" i="21"/>
  <c r="N94" i="21"/>
  <c r="M142" i="1"/>
  <c r="F143" i="1"/>
  <c r="J143" i="1"/>
  <c r="H142" i="1"/>
  <c r="G143" i="1"/>
  <c r="J142" i="1"/>
  <c r="BE14" i="11"/>
  <c r="AT50" i="10"/>
  <c r="AN50" i="10"/>
  <c r="AW45" i="10"/>
  <c r="AQ57" i="10"/>
  <c r="AQ56" i="10"/>
  <c r="AQ55" i="10"/>
  <c r="AQ54" i="10"/>
  <c r="AS43" i="10"/>
  <c r="AV57" i="10"/>
  <c r="AV56" i="10"/>
  <c r="AV55" i="10"/>
  <c r="AV54" i="10"/>
  <c r="AO51" i="10"/>
  <c r="AW57" i="10"/>
  <c r="AW56" i="10"/>
  <c r="AW55" i="10"/>
  <c r="AW54" i="10"/>
  <c r="AP57" i="10"/>
  <c r="AP56" i="10"/>
  <c r="AP55" i="10"/>
  <c r="AP54" i="10"/>
  <c r="AV47" i="10"/>
  <c r="AU57" i="10"/>
  <c r="AU56" i="10"/>
  <c r="AU55" i="10"/>
  <c r="AU54" i="10"/>
  <c r="AO44" i="10"/>
  <c r="BD24" i="11"/>
  <c r="AV48" i="10"/>
  <c r="AO56" i="10"/>
  <c r="AO55" i="10"/>
  <c r="AO57" i="10"/>
  <c r="AO54" i="10"/>
  <c r="AT57" i="10"/>
  <c r="AT56" i="10"/>
  <c r="AT55" i="10"/>
  <c r="AT54" i="10"/>
  <c r="AM52" i="10"/>
  <c r="AO50" i="10"/>
  <c r="AN55" i="10"/>
  <c r="AN57" i="10"/>
  <c r="AN56" i="10"/>
  <c r="AN54" i="10"/>
  <c r="AT44" i="10"/>
  <c r="AS57" i="10"/>
  <c r="AS56" i="10"/>
  <c r="AS55" i="10"/>
  <c r="AS54" i="10"/>
  <c r="AT45" i="10"/>
  <c r="AW46" i="10"/>
  <c r="AM54" i="10"/>
  <c r="AM57" i="10"/>
  <c r="AM56" i="10"/>
  <c r="AM55" i="10"/>
  <c r="AV49" i="10"/>
  <c r="AV43" i="10"/>
  <c r="AR57" i="10"/>
  <c r="AR56" i="10"/>
  <c r="AR55" i="10"/>
  <c r="AR54" i="10"/>
  <c r="AS48" i="10"/>
  <c r="Z12" i="10"/>
  <c r="AQ48" i="10"/>
  <c r="AQ49" i="10"/>
  <c r="Y12" i="10"/>
  <c r="AP41" i="10"/>
  <c r="AP48" i="10"/>
  <c r="AP45" i="10"/>
  <c r="AN47" i="10"/>
  <c r="AV45" i="10"/>
  <c r="AU50" i="10"/>
  <c r="AO45" i="10"/>
  <c r="AQ46" i="10"/>
  <c r="AA12" i="10"/>
  <c r="AR44" i="10"/>
  <c r="AR47" i="10"/>
  <c r="AT49" i="10"/>
  <c r="AR49" i="10"/>
  <c r="AS44" i="10"/>
  <c r="AR46" i="10"/>
  <c r="AV44" i="10"/>
  <c r="AN48" i="10"/>
  <c r="AW48" i="10"/>
  <c r="AV50" i="10"/>
  <c r="AU49" i="10"/>
  <c r="AQ51" i="10"/>
  <c r="AS45" i="10"/>
  <c r="AT48" i="10"/>
  <c r="AR41" i="10"/>
  <c r="AP43" i="10"/>
  <c r="J10" i="10"/>
  <c r="AF12" i="10"/>
  <c r="AW47" i="10"/>
  <c r="AU48" i="10"/>
  <c r="AR45" i="10"/>
  <c r="AT46" i="10"/>
  <c r="AP50" i="10"/>
  <c r="AS50" i="10"/>
  <c r="AS51" i="10"/>
  <c r="AP44" i="10"/>
  <c r="AQ41" i="10"/>
  <c r="AW49" i="10"/>
  <c r="AW50" i="10"/>
  <c r="AP46" i="10"/>
  <c r="AN49" i="10"/>
  <c r="AU46" i="10"/>
  <c r="AU51" i="10"/>
  <c r="X12" i="10"/>
  <c r="AO49" i="10"/>
  <c r="BJ24" i="11"/>
  <c r="AS41" i="10"/>
  <c r="AU43" i="10"/>
  <c r="AO41" i="10"/>
  <c r="AV41" i="10"/>
  <c r="AQ45" i="10"/>
  <c r="AQ43" i="10"/>
  <c r="AN41" i="10"/>
  <c r="AN46" i="10"/>
  <c r="AU41" i="10"/>
  <c r="AQ44" i="10"/>
  <c r="AW41" i="10"/>
  <c r="AV46" i="10"/>
  <c r="AW51" i="10"/>
  <c r="AW43" i="10"/>
  <c r="AO46" i="10"/>
  <c r="AT43" i="10"/>
  <c r="AN51" i="10"/>
  <c r="AV51" i="10"/>
  <c r="AN45" i="10"/>
  <c r="AQ47" i="10"/>
  <c r="AT51" i="10"/>
  <c r="AT41" i="10"/>
  <c r="AO43" i="10"/>
  <c r="AR50" i="10"/>
  <c r="AU45" i="10"/>
  <c r="AU44" i="10"/>
  <c r="AP49" i="10"/>
  <c r="AT47" i="10"/>
  <c r="AN44" i="10"/>
  <c r="AR43" i="10"/>
  <c r="AB12" i="10"/>
  <c r="AS49" i="10"/>
  <c r="AS47" i="10"/>
  <c r="AO47" i="10"/>
  <c r="AQ50" i="10"/>
  <c r="AR48" i="10"/>
  <c r="AP47" i="10"/>
  <c r="BL24" i="11"/>
  <c r="BH24" i="11"/>
  <c r="AN28" i="10"/>
  <c r="AV39" i="10"/>
  <c r="AN29" i="10"/>
  <c r="AN27" i="10"/>
  <c r="W83" i="9"/>
  <c r="W80" i="9"/>
  <c r="BF14" i="11"/>
  <c r="X65" i="10"/>
  <c r="X98" i="10" s="1"/>
  <c r="BH14" i="11"/>
  <c r="BC14" i="11"/>
  <c r="BC24" i="11"/>
  <c r="BI14" i="11"/>
  <c r="M28" i="11"/>
  <c r="M37" i="11" s="1"/>
  <c r="BK24" i="11"/>
  <c r="H10" i="10"/>
  <c r="O10" i="10"/>
  <c r="M10" i="10"/>
  <c r="K10" i="10"/>
  <c r="I10" i="10"/>
  <c r="G10" i="10"/>
  <c r="P10" i="10"/>
  <c r="N10" i="10"/>
  <c r="L10" i="10"/>
  <c r="BL14" i="11"/>
  <c r="BI24" i="11"/>
  <c r="M35" i="9"/>
  <c r="M37" i="9"/>
  <c r="BD14" i="11"/>
  <c r="AW40" i="10"/>
  <c r="AW39" i="10"/>
  <c r="BK14" i="11"/>
  <c r="AT39" i="10"/>
  <c r="AT40" i="10"/>
  <c r="BF24" i="11"/>
  <c r="H152" i="10"/>
  <c r="F152" i="10"/>
  <c r="J152" i="10"/>
  <c r="P152" i="10"/>
  <c r="AT28" i="10"/>
  <c r="M152" i="10"/>
  <c r="N152" i="10"/>
  <c r="O152" i="10"/>
  <c r="BJ14" i="11"/>
  <c r="L152" i="10"/>
  <c r="G152" i="10"/>
  <c r="K152" i="10"/>
  <c r="K154" i="10" s="1"/>
  <c r="BG24" i="11"/>
  <c r="AA3" i="9"/>
  <c r="Z3" i="9"/>
  <c r="W3" i="9"/>
  <c r="AN39" i="10"/>
  <c r="W12" i="10"/>
  <c r="AU40" i="10"/>
  <c r="AD12" i="10"/>
  <c r="Q19" i="13"/>
  <c r="Q18" i="13"/>
  <c r="AT26" i="10"/>
  <c r="AP47" i="13"/>
  <c r="AP65" i="13" s="1"/>
  <c r="AQ47" i="13"/>
  <c r="AQ65" i="13" s="1"/>
  <c r="AR40" i="10"/>
  <c r="AR39" i="10"/>
  <c r="AQ40" i="10"/>
  <c r="AQ39" i="10"/>
  <c r="AV40" i="10"/>
  <c r="AP26" i="10"/>
  <c r="AS27" i="10"/>
  <c r="AV28" i="10"/>
  <c r="AT27" i="10"/>
  <c r="AO28" i="10"/>
  <c r="AM27" i="10"/>
  <c r="AQ27" i="10"/>
  <c r="O37" i="9"/>
  <c r="AC9" i="10"/>
  <c r="H95" i="1"/>
  <c r="F23" i="32" s="1"/>
  <c r="AT29" i="10"/>
  <c r="W8" i="1"/>
  <c r="W18" i="1" s="1"/>
  <c r="N142" i="1"/>
  <c r="K142" i="1"/>
  <c r="P143" i="1"/>
  <c r="O142" i="1"/>
  <c r="M143" i="1"/>
  <c r="L142" i="1"/>
  <c r="I142" i="1"/>
  <c r="K143" i="1"/>
  <c r="O143" i="1"/>
  <c r="L143" i="1"/>
  <c r="O28" i="11"/>
  <c r="O37" i="11" s="1"/>
  <c r="O35" i="9"/>
  <c r="AN56" i="13"/>
  <c r="BB24" i="11" s="1"/>
  <c r="G124" i="1"/>
  <c r="M68" i="1"/>
  <c r="AD43" i="1" s="1"/>
  <c r="K68" i="1"/>
  <c r="AB43" i="1" s="1"/>
  <c r="K50" i="1"/>
  <c r="AB34" i="1" s="1"/>
  <c r="O117" i="1"/>
  <c r="AF82" i="1" s="1"/>
  <c r="W5" i="9"/>
  <c r="X44" i="1"/>
  <c r="J36" i="1"/>
  <c r="AA31" i="1" s="1"/>
  <c r="W7" i="9"/>
  <c r="AB5" i="9"/>
  <c r="AC44" i="1"/>
  <c r="AF4" i="9"/>
  <c r="P52" i="1"/>
  <c r="J117" i="1"/>
  <c r="AA82" i="1" s="1"/>
  <c r="AD4" i="9"/>
  <c r="N52" i="1"/>
  <c r="N51" i="1"/>
  <c r="AE37" i="1" s="1"/>
  <c r="AD5" i="9"/>
  <c r="AE44" i="1"/>
  <c r="G51" i="1"/>
  <c r="Z4" i="9"/>
  <c r="J52" i="1"/>
  <c r="H36" i="1"/>
  <c r="Y31" i="1" s="1"/>
  <c r="X5" i="9"/>
  <c r="Y44" i="1"/>
  <c r="Z5" i="9"/>
  <c r="AA44" i="1"/>
  <c r="AE5" i="9"/>
  <c r="AF44" i="1"/>
  <c r="L117" i="1"/>
  <c r="AC82" i="1" s="1"/>
  <c r="O50" i="1"/>
  <c r="AF34" i="1" s="1"/>
  <c r="I68" i="1"/>
  <c r="Z43" i="1" s="1"/>
  <c r="V5" i="9"/>
  <c r="AF5" i="9"/>
  <c r="AG44" i="1"/>
  <c r="V4" i="9"/>
  <c r="G68" i="1"/>
  <c r="X43" i="1" s="1"/>
  <c r="N36" i="1"/>
  <c r="AE31" i="1" s="1"/>
  <c r="AB4" i="9"/>
  <c r="L52" i="1"/>
  <c r="P68" i="1"/>
  <c r="AG43" i="1" s="1"/>
  <c r="K37" i="1"/>
  <c r="K35" i="1"/>
  <c r="Y4" i="9"/>
  <c r="I52" i="1"/>
  <c r="AC5" i="9"/>
  <c r="AD44" i="1"/>
  <c r="AE4" i="9"/>
  <c r="O52" i="1"/>
  <c r="P36" i="1"/>
  <c r="AG31" i="1" s="1"/>
  <c r="L68" i="1"/>
  <c r="AC43" i="1" s="1"/>
  <c r="K51" i="1"/>
  <c r="AB37" i="1" s="1"/>
  <c r="AV29" i="10"/>
  <c r="K36" i="1"/>
  <c r="AB31" i="1" s="1"/>
  <c r="L36" i="1"/>
  <c r="AC31" i="1" s="1"/>
  <c r="H68" i="1"/>
  <c r="Y43" i="1" s="1"/>
  <c r="AA5" i="9"/>
  <c r="X82" i="1"/>
  <c r="I36" i="1"/>
  <c r="Z31" i="1" s="1"/>
  <c r="AC4" i="9"/>
  <c r="M52" i="1"/>
  <c r="Y5" i="9"/>
  <c r="Z44" i="1"/>
  <c r="Z7" i="9"/>
  <c r="J51" i="1"/>
  <c r="F124" i="1"/>
  <c r="Y7" i="9"/>
  <c r="G17" i="31"/>
  <c r="H117" i="1"/>
  <c r="Y82" i="1" s="1"/>
  <c r="M117" i="1"/>
  <c r="AD82" i="1" s="1"/>
  <c r="W43" i="1"/>
  <c r="W4" i="9"/>
  <c r="O68" i="1"/>
  <c r="AF43" i="1" s="1"/>
  <c r="F117" i="1"/>
  <c r="W82" i="1" s="1"/>
  <c r="K117" i="1"/>
  <c r="AB82" i="1" s="1"/>
  <c r="X4" i="9"/>
  <c r="H52" i="1"/>
  <c r="I51" i="1"/>
  <c r="I117" i="1"/>
  <c r="Z82" i="1" s="1"/>
  <c r="N68" i="1"/>
  <c r="AE43" i="1" s="1"/>
  <c r="G50" i="1"/>
  <c r="X34" i="1" s="1"/>
  <c r="P117" i="1"/>
  <c r="AG82" i="1" s="1"/>
  <c r="AA4" i="9"/>
  <c r="K52" i="1"/>
  <c r="M36" i="1"/>
  <c r="AD31" i="1" s="1"/>
  <c r="V7" i="9"/>
  <c r="F144" i="1"/>
  <c r="D17" i="31" s="1"/>
  <c r="N117" i="1"/>
  <c r="AE82" i="1" s="1"/>
  <c r="X31" i="1"/>
  <c r="J68" i="1"/>
  <c r="AA43" i="1" s="1"/>
  <c r="O36" i="1"/>
  <c r="AF31" i="1" s="1"/>
  <c r="U5" i="9"/>
  <c r="U4" i="9"/>
  <c r="AH79" i="9"/>
  <c r="V86" i="9"/>
  <c r="AG80" i="9"/>
  <c r="AG85" i="9"/>
  <c r="X80" i="9"/>
  <c r="X85" i="9"/>
  <c r="W85" i="9"/>
  <c r="AA80" i="9"/>
  <c r="AA85" i="9"/>
  <c r="Y80" i="9"/>
  <c r="Y85" i="9"/>
  <c r="Z80" i="9"/>
  <c r="Z85" i="9"/>
  <c r="AD80" i="9"/>
  <c r="AD85" i="9"/>
  <c r="AC80" i="9"/>
  <c r="AC85" i="9"/>
  <c r="AF80" i="9"/>
  <c r="AF85" i="9"/>
  <c r="AB80" i="9"/>
  <c r="AB85" i="9"/>
  <c r="AE80" i="9"/>
  <c r="AE85" i="9"/>
  <c r="E35" i="1"/>
  <c r="E167" i="1" s="1"/>
  <c r="E192" i="1" s="1"/>
  <c r="AV27" i="10"/>
  <c r="AE9" i="10"/>
  <c r="AV26" i="10"/>
  <c r="AB9" i="10"/>
  <c r="AD70" i="9"/>
  <c r="AB70" i="9"/>
  <c r="AF70" i="9"/>
  <c r="AS29" i="10"/>
  <c r="AS26" i="10"/>
  <c r="AS28" i="10"/>
  <c r="AH48" i="10"/>
  <c r="AC70" i="9"/>
  <c r="AE70" i="9"/>
  <c r="Y70" i="9"/>
  <c r="W70" i="9"/>
  <c r="X70" i="9"/>
  <c r="AQ26" i="10"/>
  <c r="AQ28" i="10"/>
  <c r="AQ29" i="10"/>
  <c r="Z9" i="10"/>
  <c r="J28" i="11"/>
  <c r="J37" i="11" s="1"/>
  <c r="AA28" i="9"/>
  <c r="AA30" i="9" s="1"/>
  <c r="J35" i="9"/>
  <c r="AH56" i="9"/>
  <c r="L28" i="11"/>
  <c r="L35" i="11" s="1"/>
  <c r="P28" i="11"/>
  <c r="AU28" i="11" s="1"/>
  <c r="L35" i="9"/>
  <c r="L179" i="1" s="1"/>
  <c r="L198" i="1" s="1"/>
  <c r="V9" i="10"/>
  <c r="L37" i="9"/>
  <c r="I28" i="11"/>
  <c r="I37" i="11" s="1"/>
  <c r="AM26" i="10"/>
  <c r="AM28" i="10"/>
  <c r="AM29" i="10"/>
  <c r="AH48" i="9"/>
  <c r="F31" i="11"/>
  <c r="AK28" i="11" s="1"/>
  <c r="AR68" i="11"/>
  <c r="F10" i="10"/>
  <c r="AP27" i="10"/>
  <c r="AA65" i="10"/>
  <c r="AA99" i="10" s="1"/>
  <c r="W65" i="10"/>
  <c r="W95" i="10" s="1"/>
  <c r="W28" i="9"/>
  <c r="AO27" i="10"/>
  <c r="I37" i="9"/>
  <c r="O146" i="11"/>
  <c r="O148" i="11" s="1"/>
  <c r="AS8" i="11" s="1"/>
  <c r="AP29" i="10"/>
  <c r="Y9" i="10"/>
  <c r="AP28" i="10"/>
  <c r="G146" i="11"/>
  <c r="G148" i="11" s="1"/>
  <c r="AK8" i="11" s="1"/>
  <c r="AK68" i="11"/>
  <c r="I72" i="11"/>
  <c r="AU34" i="11"/>
  <c r="H28" i="11"/>
  <c r="H35" i="11" s="1"/>
  <c r="N72" i="11"/>
  <c r="H35" i="9"/>
  <c r="H179" i="1" s="1"/>
  <c r="H198" i="1" s="1"/>
  <c r="P72" i="11"/>
  <c r="AU47" i="13"/>
  <c r="BI13" i="11" s="1"/>
  <c r="N146" i="11"/>
  <c r="N148" i="11" s="1"/>
  <c r="AR8" i="11" s="1"/>
  <c r="Y30" i="9"/>
  <c r="P146" i="11"/>
  <c r="AU72" i="11" s="1"/>
  <c r="J143" i="11"/>
  <c r="AT42" i="13"/>
  <c r="BH7" i="11"/>
  <c r="BH41" i="11" s="1"/>
  <c r="AO26" i="10"/>
  <c r="H72" i="11"/>
  <c r="AX47" i="13"/>
  <c r="AX65" i="13" s="1"/>
  <c r="K146" i="11"/>
  <c r="AP72" i="11" s="1"/>
  <c r="X30" i="9"/>
  <c r="X9" i="10"/>
  <c r="AO29" i="10"/>
  <c r="E95" i="9"/>
  <c r="E24" i="9" s="1"/>
  <c r="AA37" i="9"/>
  <c r="AB65" i="10"/>
  <c r="AB98" i="10" s="1"/>
  <c r="L95" i="9"/>
  <c r="L24" i="9" s="1"/>
  <c r="Q35" i="10"/>
  <c r="L72" i="11"/>
  <c r="J146" i="11"/>
  <c r="AO72" i="11" s="1"/>
  <c r="AF30" i="9"/>
  <c r="Z30" i="9"/>
  <c r="L146" i="11"/>
  <c r="AQ72" i="11" s="1"/>
  <c r="AW42" i="13"/>
  <c r="O72" i="11"/>
  <c r="AE30" i="9"/>
  <c r="V65" i="9"/>
  <c r="AM47" i="13"/>
  <c r="AO42" i="13"/>
  <c r="BA14" i="11"/>
  <c r="Q37" i="10"/>
  <c r="AD30" i="9"/>
  <c r="AO39" i="10"/>
  <c r="N35" i="9"/>
  <c r="H146" i="11"/>
  <c r="AM72" i="11" s="1"/>
  <c r="AH70" i="10"/>
  <c r="AB30" i="9"/>
  <c r="AH69" i="10"/>
  <c r="P37" i="9"/>
  <c r="O95" i="9"/>
  <c r="O24" i="9" s="1"/>
  <c r="M146" i="11"/>
  <c r="M148" i="11" s="1"/>
  <c r="AQ8" i="11" s="1"/>
  <c r="P95" i="9"/>
  <c r="P24" i="9" s="1"/>
  <c r="F72" i="11"/>
  <c r="I146" i="11"/>
  <c r="I148" i="11" s="1"/>
  <c r="AM8" i="11" s="1"/>
  <c r="F146" i="11"/>
  <c r="AK72" i="11" s="1"/>
  <c r="V69" i="9"/>
  <c r="P148" i="9"/>
  <c r="AF8" i="9" s="1"/>
  <c r="L161" i="20"/>
  <c r="Y37" i="9"/>
  <c r="AV42" i="13"/>
  <c r="AC30" i="9"/>
  <c r="K148" i="9"/>
  <c r="AA8" i="9" s="1"/>
  <c r="F148" i="9"/>
  <c r="F23" i="9" s="1"/>
  <c r="I148" i="9"/>
  <c r="Y8" i="9" s="1"/>
  <c r="M148" i="9"/>
  <c r="AC8" i="9" s="1"/>
  <c r="AH72" i="10"/>
  <c r="N148" i="9"/>
  <c r="AD8" i="9" s="1"/>
  <c r="I95" i="9"/>
  <c r="I24" i="9" s="1"/>
  <c r="G148" i="9"/>
  <c r="G23" i="9" s="1"/>
  <c r="Q148" i="10"/>
  <c r="AU37" i="10"/>
  <c r="E148" i="9"/>
  <c r="E23" i="9" s="1"/>
  <c r="Q146" i="9"/>
  <c r="AH72" i="9" s="1"/>
  <c r="AH47" i="10"/>
  <c r="O148" i="9"/>
  <c r="AE8" i="9" s="1"/>
  <c r="M143" i="13"/>
  <c r="X37" i="9"/>
  <c r="H148" i="9"/>
  <c r="X8" i="9" s="1"/>
  <c r="J148" i="9"/>
  <c r="Z8" i="9" s="1"/>
  <c r="L148" i="9"/>
  <c r="AB8" i="9" s="1"/>
  <c r="AN42" i="13"/>
  <c r="K72" i="11"/>
  <c r="Z37" i="9"/>
  <c r="AE37" i="9"/>
  <c r="AH28" i="10"/>
  <c r="AL30" i="10"/>
  <c r="BC7" i="11"/>
  <c r="BC41" i="11" s="1"/>
  <c r="N95" i="9"/>
  <c r="N24" i="9" s="1"/>
  <c r="Y47" i="9"/>
  <c r="Y65" i="9" s="1"/>
  <c r="J95" i="9"/>
  <c r="J24" i="9" s="1"/>
  <c r="J72" i="11"/>
  <c r="BB13" i="11"/>
  <c r="AU42" i="13"/>
  <c r="BI7" i="11"/>
  <c r="BI41" i="11" s="1"/>
  <c r="AM42" i="13"/>
  <c r="AO40" i="10"/>
  <c r="AQ42" i="13"/>
  <c r="AQ37" i="10"/>
  <c r="K95" i="9"/>
  <c r="K24" i="9" s="1"/>
  <c r="X47" i="9"/>
  <c r="AP39" i="10"/>
  <c r="AP40" i="10"/>
  <c r="BC5" i="11"/>
  <c r="BC39" i="11" s="1"/>
  <c r="X42" i="9"/>
  <c r="AN40" i="10"/>
  <c r="BA7" i="11"/>
  <c r="BA41" i="11" s="1"/>
  <c r="AH41" i="9"/>
  <c r="AH60" i="9"/>
  <c r="BM31" i="11"/>
  <c r="AH35" i="9"/>
  <c r="BC12" i="11"/>
  <c r="BH5" i="11"/>
  <c r="BH39" i="11" s="1"/>
  <c r="AC42" i="9"/>
  <c r="AR37" i="10"/>
  <c r="Q52" i="9"/>
  <c r="Y37" i="1"/>
  <c r="BG12" i="11"/>
  <c r="AT47" i="13"/>
  <c r="BH13" i="11" s="1"/>
  <c r="AC65" i="10"/>
  <c r="BH64" i="11" s="1"/>
  <c r="BA17" i="11"/>
  <c r="AH51" i="9"/>
  <c r="M95" i="9"/>
  <c r="M24" i="9" s="1"/>
  <c r="Q69" i="9"/>
  <c r="AD37" i="9"/>
  <c r="BA29" i="11"/>
  <c r="AH61" i="9"/>
  <c r="AU39" i="10"/>
  <c r="AS40" i="10"/>
  <c r="AS39" i="10"/>
  <c r="BA15" i="11"/>
  <c r="AH49" i="9"/>
  <c r="AS37" i="10"/>
  <c r="W37" i="1"/>
  <c r="Q142" i="9"/>
  <c r="G72" i="11"/>
  <c r="AA65" i="9"/>
  <c r="AV47" i="13"/>
  <c r="BJ13" i="11" s="1"/>
  <c r="AP42" i="13"/>
  <c r="BL7" i="11"/>
  <c r="BL41" i="11" s="1"/>
  <c r="AS42" i="13"/>
  <c r="AW47" i="13"/>
  <c r="BK13" i="11" s="1"/>
  <c r="AH37" i="10"/>
  <c r="V43" i="1"/>
  <c r="Q68" i="9"/>
  <c r="BB7" i="11"/>
  <c r="BB41" i="11" s="1"/>
  <c r="AC65" i="9"/>
  <c r="AL37" i="10"/>
  <c r="AH42" i="10"/>
  <c r="BA5" i="11"/>
  <c r="BA39" i="11" s="1"/>
  <c r="V42" i="9"/>
  <c r="AH39" i="9"/>
  <c r="AH44" i="9"/>
  <c r="BA27" i="11"/>
  <c r="AH59" i="9"/>
  <c r="BJ5" i="11"/>
  <c r="BJ39" i="11" s="1"/>
  <c r="AE42" i="9"/>
  <c r="AA42" i="9"/>
  <c r="BF5" i="11"/>
  <c r="BF39" i="11" s="1"/>
  <c r="F95" i="9"/>
  <c r="F24" i="9" s="1"/>
  <c r="AH62" i="9"/>
  <c r="BA30" i="11"/>
  <c r="BA22" i="11"/>
  <c r="BB5" i="11"/>
  <c r="BB39" i="11" s="1"/>
  <c r="W42" i="9"/>
  <c r="AN37" i="10"/>
  <c r="P35" i="9"/>
  <c r="P179" i="1" s="1"/>
  <c r="P198" i="1" s="1"/>
  <c r="BD5" i="11"/>
  <c r="BD39" i="11" s="1"/>
  <c r="Y42" i="9"/>
  <c r="BD7" i="11"/>
  <c r="BD41" i="11" s="1"/>
  <c r="Q143" i="9"/>
  <c r="W37" i="9"/>
  <c r="BF7" i="11"/>
  <c r="BF41" i="11" s="1"/>
  <c r="AF65" i="9"/>
  <c r="Q50" i="9"/>
  <c r="AP37" i="10"/>
  <c r="AD37" i="1"/>
  <c r="Z65" i="9"/>
  <c r="BA26" i="11"/>
  <c r="AH58" i="9"/>
  <c r="N37" i="9"/>
  <c r="AF37" i="9"/>
  <c r="AT37" i="10"/>
  <c r="Q124" i="10"/>
  <c r="AG37" i="1"/>
  <c r="Q51" i="9"/>
  <c r="Q67" i="9"/>
  <c r="BI5" i="11"/>
  <c r="BI39" i="11" s="1"/>
  <c r="AD42" i="9"/>
  <c r="AU26" i="10"/>
  <c r="AU29" i="10"/>
  <c r="AD9" i="10"/>
  <c r="AU28" i="10"/>
  <c r="AU27" i="10"/>
  <c r="AW29" i="10"/>
  <c r="AW26" i="10"/>
  <c r="AW28" i="10"/>
  <c r="AF9" i="10"/>
  <c r="AW27" i="10"/>
  <c r="AW37" i="10"/>
  <c r="AG65" i="9"/>
  <c r="W65" i="9"/>
  <c r="AR30" i="10"/>
  <c r="AB37" i="9"/>
  <c r="BK12" i="11"/>
  <c r="BE7" i="11"/>
  <c r="BE41" i="11" s="1"/>
  <c r="Q72" i="9"/>
  <c r="AH78" i="9"/>
  <c r="AC37" i="9"/>
  <c r="AH80" i="10"/>
  <c r="BJ7" i="11"/>
  <c r="BJ41" i="11" s="1"/>
  <c r="AO37" i="10"/>
  <c r="BH12" i="11"/>
  <c r="AH68" i="9"/>
  <c r="Q28" i="9"/>
  <c r="V31" i="1"/>
  <c r="Q36" i="9"/>
  <c r="AX42" i="13"/>
  <c r="M72" i="11"/>
  <c r="AS68" i="11"/>
  <c r="AV37" i="10"/>
  <c r="AF37" i="1"/>
  <c r="AH30" i="10"/>
  <c r="Q118" i="9"/>
  <c r="BG7" i="11"/>
  <c r="BG41" i="11" s="1"/>
  <c r="AG37" i="9"/>
  <c r="AM37" i="10"/>
  <c r="AH67" i="9"/>
  <c r="AD65" i="9"/>
  <c r="BA12" i="11"/>
  <c r="AH46" i="9"/>
  <c r="BA23" i="11"/>
  <c r="BA24" i="11"/>
  <c r="AH57" i="9"/>
  <c r="BA25" i="11"/>
  <c r="AC37" i="1"/>
  <c r="BB12" i="11"/>
  <c r="AE65" i="9"/>
  <c r="AG30" i="9"/>
  <c r="BL5" i="11"/>
  <c r="BL39" i="11" s="1"/>
  <c r="AG42" i="9"/>
  <c r="AR42" i="13"/>
  <c r="BG5" i="11"/>
  <c r="BG39" i="11" s="1"/>
  <c r="AB42" i="9"/>
  <c r="BK5" i="11"/>
  <c r="BK39" i="11" s="1"/>
  <c r="AF42" i="9"/>
  <c r="BK7" i="11"/>
  <c r="BK41" i="11" s="1"/>
  <c r="AH27" i="9"/>
  <c r="V30" i="9"/>
  <c r="AH29" i="9"/>
  <c r="AH32" i="9"/>
  <c r="V37" i="9"/>
  <c r="Z42" i="9"/>
  <c r="BE5" i="11"/>
  <c r="BE39" i="11" s="1"/>
  <c r="BI12" i="11"/>
  <c r="BA21" i="11"/>
  <c r="AH64" i="9"/>
  <c r="BA32" i="11"/>
  <c r="AE65" i="10"/>
  <c r="AB65" i="9"/>
  <c r="AP34" i="11"/>
  <c r="X140" i="13"/>
  <c r="X144" i="13"/>
  <c r="X143" i="13"/>
  <c r="X133" i="13"/>
  <c r="X130" i="13"/>
  <c r="AC146" i="13"/>
  <c r="Y136" i="13"/>
  <c r="W128" i="13"/>
  <c r="X129" i="13"/>
  <c r="Y135" i="13"/>
  <c r="X131" i="13"/>
  <c r="AO33" i="11"/>
  <c r="AM33" i="11"/>
  <c r="AS34" i="11"/>
  <c r="O71" i="11"/>
  <c r="M83" i="11"/>
  <c r="AR56" i="11" s="1"/>
  <c r="I73" i="11"/>
  <c r="AN46" i="11" s="1"/>
  <c r="F77" i="11"/>
  <c r="AK49" i="11" s="1"/>
  <c r="L89" i="11"/>
  <c r="AQ57" i="11" s="1"/>
  <c r="M75" i="11"/>
  <c r="AR48" i="11" s="1"/>
  <c r="N53" i="11"/>
  <c r="M90" i="11"/>
  <c r="AR58" i="11" s="1"/>
  <c r="L53" i="11"/>
  <c r="I92" i="11"/>
  <c r="AN52" i="11" s="1"/>
  <c r="M77" i="11"/>
  <c r="AR49" i="11" s="1"/>
  <c r="O56" i="11"/>
  <c r="AT40" i="11" s="1"/>
  <c r="H87" i="11"/>
  <c r="AM63" i="11" s="1"/>
  <c r="O83" i="11"/>
  <c r="AT56" i="11" s="1"/>
  <c r="O77" i="11"/>
  <c r="AT49" i="11" s="1"/>
  <c r="H92" i="11"/>
  <c r="AM52" i="11" s="1"/>
  <c r="K70" i="11"/>
  <c r="AP44" i="11" s="1"/>
  <c r="N94" i="11"/>
  <c r="AS60" i="11" s="1"/>
  <c r="N77" i="11"/>
  <c r="AS49" i="11" s="1"/>
  <c r="N71" i="11"/>
  <c r="H59" i="11"/>
  <c r="AM41" i="11" s="1"/>
  <c r="K78" i="11"/>
  <c r="AP50" i="11" s="1"/>
  <c r="K93" i="11"/>
  <c r="AP59" i="11" s="1"/>
  <c r="F73" i="11"/>
  <c r="AK46" i="11" s="1"/>
  <c r="J59" i="11"/>
  <c r="AO41" i="11" s="1"/>
  <c r="J74" i="11"/>
  <c r="AO45" i="11" s="1"/>
  <c r="H56" i="11"/>
  <c r="AM40" i="11" s="1"/>
  <c r="N90" i="11"/>
  <c r="AS58" i="11" s="1"/>
  <c r="F80" i="11"/>
  <c r="AK54" i="11" s="1"/>
  <c r="N82" i="11"/>
  <c r="AS55" i="11" s="1"/>
  <c r="F71" i="11"/>
  <c r="M79" i="11"/>
  <c r="AR53" i="11" s="1"/>
  <c r="L93" i="11"/>
  <c r="AQ59" i="11" s="1"/>
  <c r="K80" i="11"/>
  <c r="AP54" i="11" s="1"/>
  <c r="G75" i="11"/>
  <c r="AL48" i="11" s="1"/>
  <c r="M70" i="11"/>
  <c r="AR44" i="11" s="1"/>
  <c r="H86" i="11"/>
  <c r="AM62" i="11" s="1"/>
  <c r="M93" i="11"/>
  <c r="AR59" i="11" s="1"/>
  <c r="G83" i="11"/>
  <c r="AL56" i="11" s="1"/>
  <c r="O74" i="11"/>
  <c r="AT45" i="11" s="1"/>
  <c r="G87" i="11"/>
  <c r="AL63" i="11" s="1"/>
  <c r="O93" i="11"/>
  <c r="AT59" i="11" s="1"/>
  <c r="G71" i="11"/>
  <c r="H70" i="11"/>
  <c r="AM44" i="11" s="1"/>
  <c r="I74" i="11"/>
  <c r="AN45" i="11" s="1"/>
  <c r="H94" i="11"/>
  <c r="AM60" i="11" s="1"/>
  <c r="K74" i="11"/>
  <c r="AP45" i="11" s="1"/>
  <c r="I90" i="11"/>
  <c r="AN58" i="11" s="1"/>
  <c r="L83" i="11"/>
  <c r="AQ56" i="11" s="1"/>
  <c r="L87" i="11"/>
  <c r="AQ63" i="11" s="1"/>
  <c r="M59" i="11"/>
  <c r="AR41" i="11" s="1"/>
  <c r="G79" i="11"/>
  <c r="AL53" i="11" s="1"/>
  <c r="F82" i="11"/>
  <c r="AK55" i="11" s="1"/>
  <c r="O82" i="11"/>
  <c r="AT55" i="11" s="1"/>
  <c r="F74" i="11"/>
  <c r="AK45" i="11" s="1"/>
  <c r="G78" i="11"/>
  <c r="AL50" i="11" s="1"/>
  <c r="I53" i="11"/>
  <c r="AN39" i="11" s="1"/>
  <c r="O70" i="11"/>
  <c r="AT44" i="11" s="1"/>
  <c r="F86" i="11"/>
  <c r="AK62" i="11" s="1"/>
  <c r="O92" i="11"/>
  <c r="AT52" i="11" s="1"/>
  <c r="K77" i="11"/>
  <c r="AP49" i="11" s="1"/>
  <c r="L85" i="11"/>
  <c r="AQ61" i="11" s="1"/>
  <c r="P56" i="11"/>
  <c r="AU40" i="11" s="1"/>
  <c r="N79" i="11"/>
  <c r="AS53" i="11" s="1"/>
  <c r="K56" i="11"/>
  <c r="N91" i="11"/>
  <c r="AS51" i="11" s="1"/>
  <c r="N78" i="11"/>
  <c r="AS50" i="11" s="1"/>
  <c r="N89" i="11"/>
  <c r="AS57" i="11" s="1"/>
  <c r="L75" i="11"/>
  <c r="AQ48" i="11" s="1"/>
  <c r="N88" i="11"/>
  <c r="AS64" i="11" s="1"/>
  <c r="H89" i="11"/>
  <c r="AM57" i="11" s="1"/>
  <c r="K75" i="11"/>
  <c r="AP48" i="11" s="1"/>
  <c r="M87" i="11"/>
  <c r="AR63" i="11" s="1"/>
  <c r="I85" i="11"/>
  <c r="AN61" i="11" s="1"/>
  <c r="G88" i="11"/>
  <c r="AL64" i="11" s="1"/>
  <c r="J90" i="11"/>
  <c r="AO58" i="11" s="1"/>
  <c r="J87" i="11"/>
  <c r="AO63" i="11" s="1"/>
  <c r="J82" i="11"/>
  <c r="AO55" i="11" s="1"/>
  <c r="J79" i="11"/>
  <c r="AO53" i="11" s="1"/>
  <c r="P90" i="11"/>
  <c r="AU58" i="11" s="1"/>
  <c r="J56" i="11"/>
  <c r="AO40" i="11" s="1"/>
  <c r="K86" i="11"/>
  <c r="AP62" i="11" s="1"/>
  <c r="P77" i="11"/>
  <c r="AU49" i="11" s="1"/>
  <c r="P78" i="11"/>
  <c r="AU50" i="11" s="1"/>
  <c r="P75" i="11"/>
  <c r="AU48" i="11" s="1"/>
  <c r="F83" i="11"/>
  <c r="AK56" i="11" s="1"/>
  <c r="M73" i="11"/>
  <c r="AR46" i="11" s="1"/>
  <c r="G53" i="11"/>
  <c r="AL39" i="11" s="1"/>
  <c r="I89" i="11"/>
  <c r="AN57" i="11" s="1"/>
  <c r="F88" i="11"/>
  <c r="AK64" i="11" s="1"/>
  <c r="M91" i="11"/>
  <c r="AR51" i="11" s="1"/>
  <c r="G82" i="11"/>
  <c r="AL55" i="11" s="1"/>
  <c r="O73" i="11"/>
  <c r="AT46" i="11" s="1"/>
  <c r="G89" i="11"/>
  <c r="AL57" i="11" s="1"/>
  <c r="M94" i="11"/>
  <c r="AR60" i="11" s="1"/>
  <c r="G91" i="11"/>
  <c r="AL51" i="11" s="1"/>
  <c r="I94" i="11"/>
  <c r="AN60" i="11" s="1"/>
  <c r="K90" i="11"/>
  <c r="AP58" i="11" s="1"/>
  <c r="P83" i="11"/>
  <c r="AU56" i="11" s="1"/>
  <c r="P94" i="11"/>
  <c r="AU60" i="11" s="1"/>
  <c r="P93" i="11"/>
  <c r="AU59" i="11" s="1"/>
  <c r="G85" i="11"/>
  <c r="AL61" i="11" s="1"/>
  <c r="I79" i="11"/>
  <c r="AN53" i="11" s="1"/>
  <c r="K85" i="11"/>
  <c r="AP61" i="11" s="1"/>
  <c r="F92" i="11"/>
  <c r="AK52" i="11" s="1"/>
  <c r="N74" i="11"/>
  <c r="AS45" i="11" s="1"/>
  <c r="F93" i="11"/>
  <c r="AK59" i="11" s="1"/>
  <c r="H91" i="11"/>
  <c r="AM51" i="11" s="1"/>
  <c r="O78" i="11"/>
  <c r="AT50" i="11" s="1"/>
  <c r="G90" i="11"/>
  <c r="AL58" i="11" s="1"/>
  <c r="F53" i="11"/>
  <c r="AK39" i="11" s="1"/>
  <c r="F59" i="11"/>
  <c r="AK41" i="11" s="1"/>
  <c r="O94" i="11"/>
  <c r="AT60" i="11" s="1"/>
  <c r="O85" i="11"/>
  <c r="AT61" i="11" s="1"/>
  <c r="M56" i="11"/>
  <c r="AR40" i="11" s="1"/>
  <c r="G56" i="11"/>
  <c r="AL40" i="11" s="1"/>
  <c r="O87" i="11"/>
  <c r="AT63" i="11" s="1"/>
  <c r="I56" i="11"/>
  <c r="AN40" i="11" s="1"/>
  <c r="I71" i="11"/>
  <c r="H75" i="11"/>
  <c r="AM48" i="11" s="1"/>
  <c r="K79" i="11"/>
  <c r="AP53" i="11" s="1"/>
  <c r="F85" i="11"/>
  <c r="AK61" i="11" s="1"/>
  <c r="I88" i="11"/>
  <c r="AN64" i="11" s="1"/>
  <c r="L56" i="11"/>
  <c r="AQ40" i="11" s="1"/>
  <c r="G59" i="11"/>
  <c r="AL41" i="11" s="1"/>
  <c r="M71" i="11"/>
  <c r="L88" i="11"/>
  <c r="AQ64" i="11" s="1"/>
  <c r="L77" i="11"/>
  <c r="AQ49" i="11" s="1"/>
  <c r="H79" i="11"/>
  <c r="AM53" i="11" s="1"/>
  <c r="G92" i="11"/>
  <c r="AL52" i="11" s="1"/>
  <c r="M53" i="11"/>
  <c r="AR39" i="11" s="1"/>
  <c r="O79" i="11"/>
  <c r="AT53" i="11" s="1"/>
  <c r="I87" i="11"/>
  <c r="AN63" i="11" s="1"/>
  <c r="M92" i="11"/>
  <c r="AR52" i="11" s="1"/>
  <c r="J94" i="11"/>
  <c r="AO60" i="11" s="1"/>
  <c r="K59" i="11"/>
  <c r="AP41" i="11" s="1"/>
  <c r="K89" i="11"/>
  <c r="AP57" i="11" s="1"/>
  <c r="L78" i="11"/>
  <c r="AQ50" i="11" s="1"/>
  <c r="L91" i="11"/>
  <c r="AQ51" i="11" s="1"/>
  <c r="L71" i="11"/>
  <c r="G80" i="11"/>
  <c r="AL54" i="11" s="1"/>
  <c r="F75" i="11"/>
  <c r="AK48" i="11" s="1"/>
  <c r="O80" i="11"/>
  <c r="AT54" i="11" s="1"/>
  <c r="N87" i="11"/>
  <c r="AS63" i="11" s="1"/>
  <c r="L92" i="11"/>
  <c r="AQ52" i="11" s="1"/>
  <c r="N83" i="11"/>
  <c r="AS56" i="11" s="1"/>
  <c r="N93" i="11"/>
  <c r="AS59" i="11" s="1"/>
  <c r="N70" i="11"/>
  <c r="AS44" i="11" s="1"/>
  <c r="J83" i="11"/>
  <c r="AO56" i="11" s="1"/>
  <c r="H93" i="11"/>
  <c r="AM59" i="11" s="1"/>
  <c r="K53" i="11"/>
  <c r="AP39" i="11" s="1"/>
  <c r="K92" i="11"/>
  <c r="AP52" i="11" s="1"/>
  <c r="K94" i="11"/>
  <c r="AP60" i="11" s="1"/>
  <c r="M82" i="11"/>
  <c r="AR55" i="11" s="1"/>
  <c r="J88" i="11"/>
  <c r="AO64" i="11" s="1"/>
  <c r="N85" i="11"/>
  <c r="AS61" i="11" s="1"/>
  <c r="J80" i="11"/>
  <c r="AO54" i="11" s="1"/>
  <c r="J91" i="11"/>
  <c r="AO51" i="11" s="1"/>
  <c r="J78" i="11"/>
  <c r="AO50" i="11" s="1"/>
  <c r="J77" i="11"/>
  <c r="AO49" i="11" s="1"/>
  <c r="J53" i="11"/>
  <c r="J71" i="11"/>
  <c r="P59" i="11"/>
  <c r="AU41" i="11" s="1"/>
  <c r="P89" i="11"/>
  <c r="AU57" i="11" s="1"/>
  <c r="P82" i="11"/>
  <c r="AU55" i="11" s="1"/>
  <c r="P71" i="11"/>
  <c r="J86" i="11"/>
  <c r="AO62" i="11" s="1"/>
  <c r="P70" i="11"/>
  <c r="AU44" i="11" s="1"/>
  <c r="H90" i="11"/>
  <c r="AM58" i="11" s="1"/>
  <c r="K91" i="11"/>
  <c r="AP51" i="11" s="1"/>
  <c r="I78" i="11"/>
  <c r="AN50" i="11" s="1"/>
  <c r="H85" i="11"/>
  <c r="AM61" i="11" s="1"/>
  <c r="G86" i="11"/>
  <c r="AL62" i="11" s="1"/>
  <c r="I59" i="11"/>
  <c r="I68" i="11" s="1"/>
  <c r="O90" i="11"/>
  <c r="AT58" i="11" s="1"/>
  <c r="I70" i="11"/>
  <c r="AN44" i="11" s="1"/>
  <c r="H88" i="11"/>
  <c r="AM64" i="11" s="1"/>
  <c r="F87" i="11"/>
  <c r="AK63" i="11" s="1"/>
  <c r="H71" i="11"/>
  <c r="H78" i="11"/>
  <c r="AM50" i="11" s="1"/>
  <c r="K87" i="11"/>
  <c r="AP63" i="11" s="1"/>
  <c r="H77" i="11"/>
  <c r="AM49" i="11" s="1"/>
  <c r="N92" i="11"/>
  <c r="AS52" i="11" s="1"/>
  <c r="L79" i="11"/>
  <c r="AQ53" i="11" s="1"/>
  <c r="N75" i="11"/>
  <c r="N80" i="11"/>
  <c r="AS54" i="11" s="1"/>
  <c r="I83" i="11"/>
  <c r="AN56" i="11" s="1"/>
  <c r="J85" i="11"/>
  <c r="AO61" i="11" s="1"/>
  <c r="P73" i="11"/>
  <c r="AU46" i="11" s="1"/>
  <c r="P91" i="11"/>
  <c r="AU51" i="11" s="1"/>
  <c r="P74" i="11"/>
  <c r="AU45" i="11" s="1"/>
  <c r="O91" i="11"/>
  <c r="AT51" i="11" s="1"/>
  <c r="J92" i="11"/>
  <c r="AO52" i="11" s="1"/>
  <c r="M78" i="11"/>
  <c r="AR50" i="11" s="1"/>
  <c r="H53" i="11"/>
  <c r="AM39" i="11" s="1"/>
  <c r="H80" i="11"/>
  <c r="AM54" i="11" s="1"/>
  <c r="K73" i="11"/>
  <c r="AP46" i="11" s="1"/>
  <c r="F90" i="11"/>
  <c r="AK58" i="11" s="1"/>
  <c r="N73" i="11"/>
  <c r="AS46" i="11" s="1"/>
  <c r="I86" i="11"/>
  <c r="AN62" i="11" s="1"/>
  <c r="L70" i="11"/>
  <c r="H73" i="11"/>
  <c r="AM46" i="11" s="1"/>
  <c r="O86" i="11"/>
  <c r="AT62" i="11" s="1"/>
  <c r="G94" i="11"/>
  <c r="AL60" i="11" s="1"/>
  <c r="F70" i="11"/>
  <c r="F94" i="11"/>
  <c r="AK60" i="11" s="1"/>
  <c r="M89" i="11"/>
  <c r="AR57" i="11" s="1"/>
  <c r="O75" i="11"/>
  <c r="AT48" i="11" s="1"/>
  <c r="O53" i="11"/>
  <c r="AT39" i="11" s="1"/>
  <c r="G74" i="11"/>
  <c r="AL45" i="11" s="1"/>
  <c r="M86" i="11"/>
  <c r="AR62" i="11" s="1"/>
  <c r="G73" i="11"/>
  <c r="AL46" i="11" s="1"/>
  <c r="M88" i="11"/>
  <c r="AR64" i="11" s="1"/>
  <c r="I82" i="11"/>
  <c r="AN55" i="11" s="1"/>
  <c r="G70" i="11"/>
  <c r="AL44" i="11" s="1"/>
  <c r="L59" i="11"/>
  <c r="L68" i="11" s="1"/>
  <c r="K71" i="11"/>
  <c r="F89" i="11"/>
  <c r="AK57" i="11" s="1"/>
  <c r="I75" i="11"/>
  <c r="AN48" i="11" s="1"/>
  <c r="M74" i="11"/>
  <c r="AR45" i="11" s="1"/>
  <c r="L86" i="11"/>
  <c r="AQ62" i="11" s="1"/>
  <c r="L82" i="11"/>
  <c r="AQ55" i="11" s="1"/>
  <c r="O88" i="11"/>
  <c r="AT64" i="11" s="1"/>
  <c r="AN33" i="11"/>
  <c r="G77" i="11"/>
  <c r="AL49" i="11" s="1"/>
  <c r="I93" i="11"/>
  <c r="AN59" i="11" s="1"/>
  <c r="I80" i="11"/>
  <c r="AN54" i="11" s="1"/>
  <c r="O59" i="11"/>
  <c r="O68" i="11" s="1"/>
  <c r="H83" i="11"/>
  <c r="AM56" i="11" s="1"/>
  <c r="F78" i="11"/>
  <c r="AK50" i="11" s="1"/>
  <c r="M80" i="11"/>
  <c r="AR54" i="11" s="1"/>
  <c r="F91" i="11"/>
  <c r="AK51" i="11" s="1"/>
  <c r="L90" i="11"/>
  <c r="AQ58" i="11" s="1"/>
  <c r="L74" i="11"/>
  <c r="AQ45" i="11" s="1"/>
  <c r="L80" i="11"/>
  <c r="AQ54" i="11" s="1"/>
  <c r="L73" i="11"/>
  <c r="AQ46" i="11" s="1"/>
  <c r="F56" i="11"/>
  <c r="AK40" i="11" s="1"/>
  <c r="F79" i="11"/>
  <c r="AK53" i="11" s="1"/>
  <c r="L94" i="11"/>
  <c r="AQ60" i="11" s="1"/>
  <c r="J75" i="11"/>
  <c r="AO48" i="11" s="1"/>
  <c r="K82" i="11"/>
  <c r="AP55" i="11" s="1"/>
  <c r="N56" i="11"/>
  <c r="AS40" i="11" s="1"/>
  <c r="N86" i="11"/>
  <c r="AS62" i="11" s="1"/>
  <c r="N59" i="11"/>
  <c r="N68" i="11" s="1"/>
  <c r="I77" i="11"/>
  <c r="AN49" i="11" s="1"/>
  <c r="K88" i="11"/>
  <c r="AP64" i="11" s="1"/>
  <c r="I91" i="11"/>
  <c r="AN51" i="11" s="1"/>
  <c r="K83" i="11"/>
  <c r="AP56" i="11" s="1"/>
  <c r="P88" i="11"/>
  <c r="AU64" i="11" s="1"/>
  <c r="H82" i="11"/>
  <c r="AM55" i="11" s="1"/>
  <c r="P86" i="11"/>
  <c r="AU62" i="11" s="1"/>
  <c r="P80" i="11"/>
  <c r="AU54" i="11" s="1"/>
  <c r="H74" i="11"/>
  <c r="AM45" i="11" s="1"/>
  <c r="J70" i="11"/>
  <c r="AO44" i="11" s="1"/>
  <c r="J93" i="11"/>
  <c r="AO59" i="11" s="1"/>
  <c r="J73" i="11"/>
  <c r="AO46" i="11" s="1"/>
  <c r="P79" i="11"/>
  <c r="AU53" i="11" s="1"/>
  <c r="P85" i="11"/>
  <c r="AU61" i="11" s="1"/>
  <c r="P87" i="11"/>
  <c r="AU63" i="11" s="1"/>
  <c r="P92" i="11"/>
  <c r="AU52" i="11" s="1"/>
  <c r="J89" i="11"/>
  <c r="AO57" i="11" s="1"/>
  <c r="P53" i="11"/>
  <c r="J143" i="13"/>
  <c r="AO34" i="11"/>
  <c r="N143" i="13"/>
  <c r="AK33" i="11"/>
  <c r="AT33" i="11"/>
  <c r="AR34" i="11"/>
  <c r="AU68" i="11"/>
  <c r="P143" i="11"/>
  <c r="AK26" i="11"/>
  <c r="AL26" i="11"/>
  <c r="G37" i="11"/>
  <c r="G35" i="11"/>
  <c r="AU29" i="11"/>
  <c r="P36" i="11"/>
  <c r="AL35" i="11"/>
  <c r="G51" i="11"/>
  <c r="AN32" i="11"/>
  <c r="I52" i="11"/>
  <c r="AM4" i="11" s="1"/>
  <c r="I50" i="11"/>
  <c r="AL32" i="11"/>
  <c r="G50" i="11"/>
  <c r="G52" i="11"/>
  <c r="AU32" i="11"/>
  <c r="P50" i="11"/>
  <c r="P52" i="11"/>
  <c r="AT4" i="11" s="1"/>
  <c r="AK67" i="11"/>
  <c r="F142" i="11"/>
  <c r="F144" i="11"/>
  <c r="AJ7" i="11" s="1"/>
  <c r="AP68" i="11"/>
  <c r="K143" i="11"/>
  <c r="AP32" i="11"/>
  <c r="K52" i="11"/>
  <c r="AO4" i="11" s="1"/>
  <c r="K50" i="11"/>
  <c r="AQ32" i="11"/>
  <c r="L50" i="11"/>
  <c r="L52" i="11"/>
  <c r="AP4" i="11" s="1"/>
  <c r="AO68" i="11"/>
  <c r="F143" i="11"/>
  <c r="AL68" i="11"/>
  <c r="G143" i="11"/>
  <c r="M50" i="11"/>
  <c r="M52" i="11"/>
  <c r="AQ4" i="11" s="1"/>
  <c r="AR32" i="11"/>
  <c r="AU26" i="11"/>
  <c r="AT68" i="11"/>
  <c r="O143" i="11"/>
  <c r="AS26" i="11"/>
  <c r="AQ26" i="11"/>
  <c r="AQ68" i="11"/>
  <c r="L143" i="11"/>
  <c r="AQ35" i="11"/>
  <c r="L51" i="11"/>
  <c r="AT34" i="11"/>
  <c r="F143" i="13"/>
  <c r="AL28" i="11"/>
  <c r="AU35" i="11"/>
  <c r="P51" i="11"/>
  <c r="AK35" i="11"/>
  <c r="F51" i="11"/>
  <c r="AR33" i="11"/>
  <c r="AS29" i="11"/>
  <c r="N36" i="11"/>
  <c r="K36" i="11"/>
  <c r="AP29" i="11"/>
  <c r="AS33" i="11"/>
  <c r="AU33" i="11"/>
  <c r="AN35" i="11"/>
  <c r="I51" i="11"/>
  <c r="AO29" i="11"/>
  <c r="J36" i="11"/>
  <c r="AR26" i="11"/>
  <c r="N143" i="11"/>
  <c r="AK69" i="11"/>
  <c r="F36" i="11"/>
  <c r="AK29" i="11"/>
  <c r="H52" i="11"/>
  <c r="AL4" i="11" s="1"/>
  <c r="H50" i="11"/>
  <c r="AM32" i="11"/>
  <c r="G144" i="11"/>
  <c r="AK7" i="11" s="1"/>
  <c r="AL67" i="11"/>
  <c r="G142" i="11"/>
  <c r="AT35" i="11"/>
  <c r="O51" i="11"/>
  <c r="AM26" i="11"/>
  <c r="AT32" i="11"/>
  <c r="O52" i="11"/>
  <c r="AS4" i="11" s="1"/>
  <c r="O50" i="11"/>
  <c r="AQ34" i="11"/>
  <c r="AL34" i="11"/>
  <c r="N50" i="11"/>
  <c r="AS32" i="11"/>
  <c r="N52" i="11"/>
  <c r="AR4" i="11" s="1"/>
  <c r="I36" i="11"/>
  <c r="AN29" i="11"/>
  <c r="AM29" i="11"/>
  <c r="H36" i="11"/>
  <c r="AO26" i="11"/>
  <c r="J50" i="11"/>
  <c r="J52" i="11"/>
  <c r="AN4" i="11" s="1"/>
  <c r="AO32" i="11"/>
  <c r="M143" i="11"/>
  <c r="AK34" i="11"/>
  <c r="AT26" i="11"/>
  <c r="AP35" i="11"/>
  <c r="K51" i="11"/>
  <c r="AS35" i="11"/>
  <c r="N51" i="11"/>
  <c r="K37" i="11"/>
  <c r="K35" i="11"/>
  <c r="AP26" i="11"/>
  <c r="AN26" i="11"/>
  <c r="AL69" i="11"/>
  <c r="AL33" i="11"/>
  <c r="M51" i="11"/>
  <c r="AR35" i="11"/>
  <c r="F50" i="11"/>
  <c r="F52" i="11"/>
  <c r="AJ4" i="11" s="1"/>
  <c r="AK32" i="11"/>
  <c r="AL29" i="11"/>
  <c r="G36" i="11"/>
  <c r="AT29" i="11"/>
  <c r="O36" i="11"/>
  <c r="M36" i="11"/>
  <c r="AR29" i="11"/>
  <c r="AM68" i="11"/>
  <c r="H143" i="11"/>
  <c r="AM35" i="11"/>
  <c r="H51" i="11"/>
  <c r="AQ29" i="11"/>
  <c r="L36" i="11"/>
  <c r="AP28" i="11"/>
  <c r="AQ33" i="11"/>
  <c r="AM34" i="11"/>
  <c r="AN34" i="11"/>
  <c r="AO35" i="11"/>
  <c r="J51" i="11"/>
  <c r="AN68" i="11"/>
  <c r="I143" i="11"/>
  <c r="I143" i="13"/>
  <c r="P142" i="13"/>
  <c r="J35" i="13"/>
  <c r="L50" i="13"/>
  <c r="N50" i="13"/>
  <c r="N28" i="13"/>
  <c r="N28" i="11" s="1"/>
  <c r="AS28" i="11" s="1"/>
  <c r="P67" i="13"/>
  <c r="K144" i="13"/>
  <c r="G144" i="13"/>
  <c r="O144" i="13"/>
  <c r="H143" i="13"/>
  <c r="H51" i="13"/>
  <c r="N68" i="13"/>
  <c r="K69" i="13"/>
  <c r="P144" i="13"/>
  <c r="F144" i="13"/>
  <c r="H36" i="13"/>
  <c r="N144" i="13"/>
  <c r="J144" i="13"/>
  <c r="K95" i="13"/>
  <c r="M144" i="13"/>
  <c r="K68" i="13"/>
  <c r="K50" i="13"/>
  <c r="J52" i="13"/>
  <c r="P69" i="13"/>
  <c r="J51" i="13"/>
  <c r="H142" i="13"/>
  <c r="L144" i="13"/>
  <c r="N174" i="20"/>
  <c r="J67" i="13"/>
  <c r="M157" i="20"/>
  <c r="L123" i="20"/>
  <c r="L186" i="20"/>
  <c r="K123" i="20"/>
  <c r="N123" i="20" s="1"/>
  <c r="K186" i="20"/>
  <c r="AX180" i="20"/>
  <c r="AY180" i="20" s="1"/>
  <c r="AW185" i="20"/>
  <c r="M183" i="20" s="1"/>
  <c r="BE105" i="20"/>
  <c r="BE106" i="20"/>
  <c r="BE107" i="20" s="1"/>
  <c r="BC94" i="20"/>
  <c r="BE94" i="20" s="1"/>
  <c r="S107" i="20"/>
  <c r="BC107" i="20" s="1"/>
  <c r="K135" i="20"/>
  <c r="K134" i="20" s="1"/>
  <c r="N136" i="20"/>
  <c r="K161" i="20"/>
  <c r="BI24" i="20"/>
  <c r="BJ11" i="20" s="1"/>
  <c r="BB94" i="20"/>
  <c r="R107" i="20"/>
  <c r="BB107" i="20" s="1"/>
  <c r="N129" i="20"/>
  <c r="K127" i="20"/>
  <c r="P68" i="13"/>
  <c r="K67" i="13"/>
  <c r="M35" i="13"/>
  <c r="M37" i="13"/>
  <c r="I51" i="13"/>
  <c r="J95" i="13"/>
  <c r="L52" i="13"/>
  <c r="J50" i="13"/>
  <c r="J37" i="13"/>
  <c r="J36" i="13"/>
  <c r="H148" i="13"/>
  <c r="J69" i="13"/>
  <c r="K52" i="13"/>
  <c r="I36" i="13"/>
  <c r="J68" i="13"/>
  <c r="N52" i="13"/>
  <c r="O52" i="13"/>
  <c r="L142" i="13"/>
  <c r="N95" i="13"/>
  <c r="K143" i="13"/>
  <c r="H68" i="13"/>
  <c r="K36" i="13"/>
  <c r="O50" i="13"/>
  <c r="N36" i="13"/>
  <c r="L36" i="13"/>
  <c r="E57" i="14"/>
  <c r="K142" i="13"/>
  <c r="M50" i="13"/>
  <c r="M52" i="13"/>
  <c r="N142" i="13"/>
  <c r="O67" i="13"/>
  <c r="O69" i="13"/>
  <c r="I95" i="13"/>
  <c r="Y6" i="13" s="1"/>
  <c r="G68" i="13"/>
  <c r="P52" i="13"/>
  <c r="P50" i="13"/>
  <c r="K35" i="13"/>
  <c r="K37" i="13"/>
  <c r="F95" i="13"/>
  <c r="V6" i="13" s="1"/>
  <c r="F69" i="13"/>
  <c r="F67" i="13"/>
  <c r="G148" i="13"/>
  <c r="O95" i="13"/>
  <c r="AE6" i="13" s="1"/>
  <c r="M68" i="13"/>
  <c r="F52" i="13"/>
  <c r="F50" i="13"/>
  <c r="O148" i="13"/>
  <c r="L37" i="13"/>
  <c r="L35" i="13"/>
  <c r="L148" i="13"/>
  <c r="P51" i="13"/>
  <c r="I50" i="13"/>
  <c r="I52" i="13"/>
  <c r="O35" i="13"/>
  <c r="O37" i="13"/>
  <c r="H67" i="13"/>
  <c r="H69" i="13"/>
  <c r="G143" i="13"/>
  <c r="F36" i="13"/>
  <c r="G67" i="13"/>
  <c r="G69" i="13"/>
  <c r="M95" i="13"/>
  <c r="AC6" i="13" s="1"/>
  <c r="F68" i="13"/>
  <c r="O142" i="13"/>
  <c r="N69" i="13"/>
  <c r="N67" i="13"/>
  <c r="H37" i="13"/>
  <c r="H35" i="13"/>
  <c r="G35" i="13"/>
  <c r="G37" i="13"/>
  <c r="P36" i="13"/>
  <c r="L67" i="13"/>
  <c r="L69" i="13"/>
  <c r="M148" i="13"/>
  <c r="F51" i="13"/>
  <c r="M142" i="13"/>
  <c r="G50" i="13"/>
  <c r="G52" i="13"/>
  <c r="I69" i="13"/>
  <c r="I67" i="13"/>
  <c r="P37" i="13"/>
  <c r="P35" i="13"/>
  <c r="N148" i="13"/>
  <c r="J148" i="13"/>
  <c r="M69" i="13"/>
  <c r="M67" i="13"/>
  <c r="F142" i="13"/>
  <c r="P148" i="13"/>
  <c r="H95" i="13"/>
  <c r="J142" i="13"/>
  <c r="G36" i="13"/>
  <c r="P143" i="13"/>
  <c r="P95" i="13"/>
  <c r="K51" i="13"/>
  <c r="O143" i="13"/>
  <c r="N51" i="13"/>
  <c r="L95" i="13"/>
  <c r="L143" i="13"/>
  <c r="L51" i="13"/>
  <c r="I68" i="13"/>
  <c r="I37" i="13"/>
  <c r="I35" i="13"/>
  <c r="H52" i="13"/>
  <c r="H50" i="13"/>
  <c r="G142" i="13"/>
  <c r="F35" i="13"/>
  <c r="F37" i="13"/>
  <c r="F148" i="13"/>
  <c r="O51" i="13"/>
  <c r="I142" i="13"/>
  <c r="G95" i="13"/>
  <c r="W6" i="13" s="1"/>
  <c r="L68" i="13"/>
  <c r="K148" i="13"/>
  <c r="G51" i="13"/>
  <c r="I148" i="13"/>
  <c r="M51" i="13"/>
  <c r="O68" i="13"/>
  <c r="O36" i="13"/>
  <c r="M36" i="13"/>
  <c r="AF6" i="13" l="1"/>
  <c r="N21" i="9"/>
  <c r="E21" i="9"/>
  <c r="E164" i="13" s="1"/>
  <c r="E168" i="13" s="1"/>
  <c r="J152" i="9"/>
  <c r="J21" i="9"/>
  <c r="J164" i="13" s="1"/>
  <c r="J168" i="13" s="1"/>
  <c r="M21" i="9"/>
  <c r="P21" i="9"/>
  <c r="O21" i="9"/>
  <c r="G21" i="9"/>
  <c r="G164" i="13" s="1"/>
  <c r="I21" i="9"/>
  <c r="I164" i="13" s="1"/>
  <c r="F21" i="9"/>
  <c r="F164" i="13" s="1"/>
  <c r="H21" i="9"/>
  <c r="H164" i="13" s="1"/>
  <c r="L21" i="9"/>
  <c r="K21" i="9"/>
  <c r="Z6" i="13"/>
  <c r="J179" i="1"/>
  <c r="J198" i="1" s="1"/>
  <c r="J202" i="1" s="1"/>
  <c r="J204" i="1" s="1"/>
  <c r="J37" i="1"/>
  <c r="AB6" i="13"/>
  <c r="X6" i="13"/>
  <c r="Q23" i="10"/>
  <c r="AD6" i="13"/>
  <c r="F152" i="13"/>
  <c r="F153" i="13" s="1"/>
  <c r="F155" i="13" s="1"/>
  <c r="O152" i="13"/>
  <c r="O153" i="13" s="1"/>
  <c r="AA6" i="13"/>
  <c r="G152" i="13"/>
  <c r="G153" i="13" s="1"/>
  <c r="K152" i="13"/>
  <c r="K153" i="13" s="1"/>
  <c r="P152" i="13"/>
  <c r="P153" i="13" s="1"/>
  <c r="J152" i="13"/>
  <c r="J153" i="13" s="1"/>
  <c r="I152" i="13"/>
  <c r="I153" i="13" s="1"/>
  <c r="L152" i="13"/>
  <c r="L153" i="13" s="1"/>
  <c r="M152" i="13"/>
  <c r="M153" i="13" s="1"/>
  <c r="H152" i="13"/>
  <c r="H153" i="13" s="1"/>
  <c r="BL56" i="11"/>
  <c r="O22" i="9"/>
  <c r="O23" i="9"/>
  <c r="I23" i="9"/>
  <c r="I22" i="9"/>
  <c r="E22" i="9"/>
  <c r="L22" i="9"/>
  <c r="L23" i="9"/>
  <c r="K22" i="9"/>
  <c r="K23" i="9"/>
  <c r="H22" i="9"/>
  <c r="N22" i="9"/>
  <c r="N23" i="9"/>
  <c r="H23" i="9"/>
  <c r="P22" i="9"/>
  <c r="P23" i="9"/>
  <c r="J22" i="9"/>
  <c r="F22" i="9"/>
  <c r="M22" i="9"/>
  <c r="M23" i="9"/>
  <c r="J23" i="9"/>
  <c r="BD46" i="11"/>
  <c r="O174" i="20"/>
  <c r="O129" i="20" s="1"/>
  <c r="Q173" i="20"/>
  <c r="Q174" i="20" s="1"/>
  <c r="Q129" i="20" s="1"/>
  <c r="Q127" i="20" s="1"/>
  <c r="BD44" i="11"/>
  <c r="BI47" i="11"/>
  <c r="BI54" i="11"/>
  <c r="BI50" i="11"/>
  <c r="BI49" i="11"/>
  <c r="AF7" i="9"/>
  <c r="M144" i="1"/>
  <c r="K17" i="31" s="1"/>
  <c r="BI46" i="11"/>
  <c r="Z5" i="11"/>
  <c r="H4" i="33"/>
  <c r="H14" i="33" s="1"/>
  <c r="AD5" i="11"/>
  <c r="L4" i="33"/>
  <c r="L14" i="33" s="1"/>
  <c r="Y5" i="11"/>
  <c r="G4" i="33"/>
  <c r="G14" i="33" s="1"/>
  <c r="AC5" i="11"/>
  <c r="K4" i="33"/>
  <c r="K14" i="33" s="1"/>
  <c r="AE5" i="11"/>
  <c r="M4" i="33"/>
  <c r="M14" i="33" s="1"/>
  <c r="X5" i="11"/>
  <c r="F4" i="33"/>
  <c r="F14" i="33" s="1"/>
  <c r="AF5" i="11"/>
  <c r="N4" i="33"/>
  <c r="N14" i="33" s="1"/>
  <c r="AB5" i="11"/>
  <c r="J4" i="33"/>
  <c r="J14" i="33" s="1"/>
  <c r="V15" i="10"/>
  <c r="H3" i="9"/>
  <c r="H3" i="21" s="1"/>
  <c r="BK48" i="11"/>
  <c r="K204" i="1"/>
  <c r="P202" i="1"/>
  <c r="P204" i="1" s="1"/>
  <c r="L144" i="1"/>
  <c r="J17" i="31" s="1"/>
  <c r="BE49" i="11"/>
  <c r="BE55" i="11"/>
  <c r="BE59" i="11"/>
  <c r="BE50" i="11"/>
  <c r="BE62" i="11"/>
  <c r="BI58" i="11"/>
  <c r="BI57" i="11"/>
  <c r="BI45" i="11"/>
  <c r="BI63" i="11"/>
  <c r="BI59" i="11"/>
  <c r="BI44" i="11"/>
  <c r="BI53" i="11"/>
  <c r="BI56" i="11"/>
  <c r="BI52" i="11"/>
  <c r="BI60" i="11"/>
  <c r="BI55" i="11"/>
  <c r="BI62" i="11"/>
  <c r="BI51" i="11"/>
  <c r="BI64" i="11"/>
  <c r="BI48" i="11"/>
  <c r="E202" i="1"/>
  <c r="E204" i="1" s="1"/>
  <c r="BL44" i="11"/>
  <c r="BL60" i="11"/>
  <c r="BL55" i="11"/>
  <c r="BL58" i="11"/>
  <c r="BL63" i="11"/>
  <c r="BL62" i="11"/>
  <c r="BL46" i="11"/>
  <c r="BL53" i="11"/>
  <c r="BL59" i="11"/>
  <c r="BL49" i="11"/>
  <c r="BL50" i="11"/>
  <c r="AH69" i="9"/>
  <c r="AH70" i="9" s="1"/>
  <c r="BL45" i="11"/>
  <c r="BL54" i="11"/>
  <c r="BL52" i="11"/>
  <c r="BL57" i="11"/>
  <c r="BL51" i="11"/>
  <c r="BL61" i="11"/>
  <c r="BL64" i="11"/>
  <c r="BL48" i="11"/>
  <c r="BI61" i="11"/>
  <c r="H202" i="1"/>
  <c r="H204" i="1" s="1"/>
  <c r="L202" i="1"/>
  <c r="L204" i="1" s="1"/>
  <c r="W17" i="1"/>
  <c r="E15" i="32"/>
  <c r="G167" i="1"/>
  <c r="G192" i="1" s="1"/>
  <c r="AC17" i="1"/>
  <c r="AA7" i="9"/>
  <c r="AF17" i="1"/>
  <c r="X17" i="1"/>
  <c r="N37" i="1"/>
  <c r="N179" i="1"/>
  <c r="N198" i="1" s="1"/>
  <c r="N202" i="1" s="1"/>
  <c r="N204" i="1" s="1"/>
  <c r="I35" i="1"/>
  <c r="Y3" i="1" s="1"/>
  <c r="I179" i="1"/>
  <c r="I198" i="1" s="1"/>
  <c r="I202" i="1" s="1"/>
  <c r="I204" i="1" s="1"/>
  <c r="I15" i="32"/>
  <c r="K167" i="1"/>
  <c r="K192" i="1" s="1"/>
  <c r="O37" i="1"/>
  <c r="AF32" i="1" s="1"/>
  <c r="O179" i="1"/>
  <c r="O198" i="1" s="1"/>
  <c r="O202" i="1" s="1"/>
  <c r="O204" i="1" s="1"/>
  <c r="M35" i="1"/>
  <c r="AC3" i="1" s="1"/>
  <c r="M179" i="1"/>
  <c r="M198" i="1" s="1"/>
  <c r="M202" i="1" s="1"/>
  <c r="M204" i="1" s="1"/>
  <c r="O144" i="1"/>
  <c r="M17" i="31" s="1"/>
  <c r="BK61" i="11"/>
  <c r="BK52" i="11"/>
  <c r="BK60" i="11"/>
  <c r="BK64" i="11"/>
  <c r="BK45" i="11"/>
  <c r="W44" i="1"/>
  <c r="BK56" i="11"/>
  <c r="BK46" i="11"/>
  <c r="BK47" i="11"/>
  <c r="BK49" i="11"/>
  <c r="BK58" i="11"/>
  <c r="BK63" i="11"/>
  <c r="BK57" i="11"/>
  <c r="BK53" i="11"/>
  <c r="BK62" i="11"/>
  <c r="BK51" i="11"/>
  <c r="BK50" i="11"/>
  <c r="BK54" i="11"/>
  <c r="BK59" i="11"/>
  <c r="BK55" i="11"/>
  <c r="BK44" i="11"/>
  <c r="V3" i="1"/>
  <c r="V3" i="11" s="1"/>
  <c r="D15" i="32"/>
  <c r="U3" i="1"/>
  <c r="U3" i="11" s="1"/>
  <c r="C15" i="32"/>
  <c r="AB17" i="1"/>
  <c r="Y17" i="1"/>
  <c r="N144" i="1"/>
  <c r="L17" i="31" s="1"/>
  <c r="BG13" i="11"/>
  <c r="BG47" i="11" s="1"/>
  <c r="Z17" i="1"/>
  <c r="AD17" i="1"/>
  <c r="AE17" i="1"/>
  <c r="BD51" i="11"/>
  <c r="BD59" i="11"/>
  <c r="BD64" i="11"/>
  <c r="BD63" i="11"/>
  <c r="BC13" i="11"/>
  <c r="BC47" i="11" s="1"/>
  <c r="BD57" i="11"/>
  <c r="BD52" i="11"/>
  <c r="N3" i="9"/>
  <c r="BD53" i="11"/>
  <c r="BD58" i="11"/>
  <c r="BD50" i="11"/>
  <c r="AE15" i="10"/>
  <c r="W15" i="10"/>
  <c r="BD55" i="11"/>
  <c r="AA15" i="10"/>
  <c r="BD61" i="11"/>
  <c r="BD60" i="11"/>
  <c r="BD49" i="11"/>
  <c r="AC15" i="10"/>
  <c r="BD54" i="11"/>
  <c r="X15" i="10"/>
  <c r="BD45" i="11"/>
  <c r="BD62" i="11"/>
  <c r="AA7" i="1"/>
  <c r="I6" i="31"/>
  <c r="Y6" i="1"/>
  <c r="G11" i="31"/>
  <c r="Z6" i="1"/>
  <c r="H11" i="31"/>
  <c r="V7" i="1"/>
  <c r="AM5" i="13" s="1"/>
  <c r="AF6" i="1"/>
  <c r="N11" i="31"/>
  <c r="AE6" i="1"/>
  <c r="M11" i="31"/>
  <c r="W6" i="1"/>
  <c r="W4" i="11" s="1"/>
  <c r="AA6" i="1"/>
  <c r="I11" i="31"/>
  <c r="X6" i="1"/>
  <c r="F11" i="31"/>
  <c r="X8" i="1"/>
  <c r="F7" i="31"/>
  <c r="F5" i="31" s="1"/>
  <c r="AC6" i="1"/>
  <c r="K11" i="31"/>
  <c r="AB6" i="1"/>
  <c r="J11" i="31"/>
  <c r="AD6" i="1"/>
  <c r="L11" i="31"/>
  <c r="V6" i="1"/>
  <c r="V4" i="11" s="1"/>
  <c r="U6" i="1"/>
  <c r="U4" i="11" s="1"/>
  <c r="BE52" i="11"/>
  <c r="BE58" i="11"/>
  <c r="BE61" i="11"/>
  <c r="BE64" i="11"/>
  <c r="BE63" i="11"/>
  <c r="BE44" i="11"/>
  <c r="BE51" i="11"/>
  <c r="BE57" i="11"/>
  <c r="BE60" i="11"/>
  <c r="BE45" i="11"/>
  <c r="BE46" i="11"/>
  <c r="AF15" i="10"/>
  <c r="BE53" i="11"/>
  <c r="BE54" i="11"/>
  <c r="K3" i="9"/>
  <c r="J3" i="9"/>
  <c r="BE48" i="11"/>
  <c r="BE56" i="11"/>
  <c r="Z111" i="10"/>
  <c r="Z145" i="10" s="1"/>
  <c r="Z89" i="10"/>
  <c r="Z123" i="10" s="1"/>
  <c r="E3" i="9"/>
  <c r="F3" i="9"/>
  <c r="P3" i="9"/>
  <c r="P168" i="13" s="1"/>
  <c r="AG95" i="10"/>
  <c r="AG129" i="10" s="1"/>
  <c r="V8" i="9"/>
  <c r="O3" i="9"/>
  <c r="O3" i="21" s="1"/>
  <c r="L3" i="9"/>
  <c r="L3" i="21" s="1"/>
  <c r="G152" i="9"/>
  <c r="G155" i="9" s="1"/>
  <c r="G3" i="9"/>
  <c r="I3" i="9"/>
  <c r="I3" i="21" s="1"/>
  <c r="AC3" i="9"/>
  <c r="M3" i="9"/>
  <c r="M3" i="21" s="1"/>
  <c r="AR65" i="13"/>
  <c r="AF104" i="10"/>
  <c r="AF138" i="10" s="1"/>
  <c r="AF56" i="13" s="1"/>
  <c r="AF109" i="10"/>
  <c r="AF143" i="10" s="1"/>
  <c r="Y95" i="10"/>
  <c r="Y129" i="10" s="1"/>
  <c r="AF94" i="10"/>
  <c r="AF128" i="10" s="1"/>
  <c r="AF99" i="10"/>
  <c r="AF133" i="10" s="1"/>
  <c r="AF103" i="10"/>
  <c r="AF137" i="10" s="1"/>
  <c r="H124" i="11"/>
  <c r="Q118" i="11"/>
  <c r="AF107" i="10"/>
  <c r="AF141" i="10" s="1"/>
  <c r="AD95" i="10"/>
  <c r="AD129" i="10" s="1"/>
  <c r="AF95" i="10"/>
  <c r="AF129" i="10" s="1"/>
  <c r="AF87" i="10"/>
  <c r="AF121" i="10" s="1"/>
  <c r="AK3" i="11"/>
  <c r="X112" i="10"/>
  <c r="X146" i="10" s="1"/>
  <c r="AA95" i="10"/>
  <c r="AA129" i="10" s="1"/>
  <c r="W108" i="10"/>
  <c r="W142" i="10" s="1"/>
  <c r="X101" i="10"/>
  <c r="X135" i="10" s="1"/>
  <c r="W104" i="10"/>
  <c r="W138" i="10" s="1"/>
  <c r="AF98" i="10"/>
  <c r="AF132" i="10" s="1"/>
  <c r="AC97" i="10"/>
  <c r="AC131" i="10" s="1"/>
  <c r="AD108" i="10"/>
  <c r="AD142" i="10" s="1"/>
  <c r="AD111" i="10"/>
  <c r="AD145" i="10" s="1"/>
  <c r="AG106" i="10"/>
  <c r="AG140" i="10" s="1"/>
  <c r="AG100" i="10"/>
  <c r="AG134" i="10" s="1"/>
  <c r="Y109" i="10"/>
  <c r="Y143" i="10" s="1"/>
  <c r="Z95" i="10"/>
  <c r="Z129" i="10" s="1"/>
  <c r="W103" i="10"/>
  <c r="W137" i="10" s="1"/>
  <c r="X107" i="10"/>
  <c r="X141" i="10" s="1"/>
  <c r="AF88" i="10"/>
  <c r="AF122" i="10" s="1"/>
  <c r="AC96" i="10"/>
  <c r="AC130" i="10" s="1"/>
  <c r="AC100" i="10"/>
  <c r="AC134" i="10" s="1"/>
  <c r="AD99" i="10"/>
  <c r="AD133" i="10" s="1"/>
  <c r="AD101" i="10"/>
  <c r="AD135" i="10" s="1"/>
  <c r="AG101" i="10"/>
  <c r="AG135" i="10" s="1"/>
  <c r="AG103" i="10"/>
  <c r="AG137" i="10" s="1"/>
  <c r="Y96" i="10"/>
  <c r="Y130" i="10" s="1"/>
  <c r="AA88" i="10"/>
  <c r="X104" i="10"/>
  <c r="X138" i="10" s="1"/>
  <c r="X56" i="13" s="1"/>
  <c r="AA107" i="10"/>
  <c r="W100" i="10"/>
  <c r="W134" i="10" s="1"/>
  <c r="AD112" i="10"/>
  <c r="AD146" i="10" s="1"/>
  <c r="AC112" i="10"/>
  <c r="AC146" i="10" s="1"/>
  <c r="AD105" i="10"/>
  <c r="AD139" i="10" s="1"/>
  <c r="AD89" i="10"/>
  <c r="AD123" i="10" s="1"/>
  <c r="AD41" i="13" s="1"/>
  <c r="AD100" i="10"/>
  <c r="AD134" i="10" s="1"/>
  <c r="AG89" i="10"/>
  <c r="AG123" i="10" s="1"/>
  <c r="AG41" i="13" s="1"/>
  <c r="AG94" i="10"/>
  <c r="AG128" i="10" s="1"/>
  <c r="Y107" i="10"/>
  <c r="Y141" i="10" s="1"/>
  <c r="Y100" i="10"/>
  <c r="Y134" i="10" s="1"/>
  <c r="W107" i="10"/>
  <c r="W141" i="10" s="1"/>
  <c r="Z109" i="10"/>
  <c r="Z143" i="10" s="1"/>
  <c r="X94" i="10"/>
  <c r="X128" i="10" s="1"/>
  <c r="Z97" i="10"/>
  <c r="Z131" i="10" s="1"/>
  <c r="X100" i="10"/>
  <c r="X134" i="10" s="1"/>
  <c r="AG111" i="10"/>
  <c r="AG145" i="10" s="1"/>
  <c r="AC99" i="10"/>
  <c r="AC133" i="10" s="1"/>
  <c r="AD107" i="10"/>
  <c r="AD141" i="10" s="1"/>
  <c r="AD102" i="10"/>
  <c r="AD136" i="10" s="1"/>
  <c r="AD88" i="10"/>
  <c r="AD122" i="10" s="1"/>
  <c r="AG96" i="10"/>
  <c r="AG130" i="10" s="1"/>
  <c r="AG112" i="10"/>
  <c r="AG146" i="10" s="1"/>
  <c r="Y89" i="10"/>
  <c r="AS3" i="11"/>
  <c r="AM3" i="11"/>
  <c r="AO3" i="11"/>
  <c r="AN3" i="11"/>
  <c r="AQ3" i="11"/>
  <c r="AK4" i="11"/>
  <c r="BJ60" i="11"/>
  <c r="AE111" i="10"/>
  <c r="AE145" i="10" s="1"/>
  <c r="AE101" i="10"/>
  <c r="AE135" i="10" s="1"/>
  <c r="AE108" i="10"/>
  <c r="AE102" i="10"/>
  <c r="AE136" i="10" s="1"/>
  <c r="AE107" i="10"/>
  <c r="AE95" i="10"/>
  <c r="AE88" i="10"/>
  <c r="AE122" i="10" s="1"/>
  <c r="AE104" i="10"/>
  <c r="AE99" i="10"/>
  <c r="AE133" i="10" s="1"/>
  <c r="AE112" i="10"/>
  <c r="AE146" i="10" s="1"/>
  <c r="AE100" i="10"/>
  <c r="AE134" i="10" s="1"/>
  <c r="AE89" i="10"/>
  <c r="AE94" i="10"/>
  <c r="AE96" i="10"/>
  <c r="AE130" i="10" s="1"/>
  <c r="AE105" i="10"/>
  <c r="AE87" i="10"/>
  <c r="AE106" i="10"/>
  <c r="AE140" i="10" s="1"/>
  <c r="AE97" i="10"/>
  <c r="AE131" i="10" s="1"/>
  <c r="AE110" i="10"/>
  <c r="AE144" i="10" s="1"/>
  <c r="AE109" i="10"/>
  <c r="AE143" i="10" s="1"/>
  <c r="AE98" i="10"/>
  <c r="AE132" i="10" s="1"/>
  <c r="AE103" i="10"/>
  <c r="AE137" i="10" s="1"/>
  <c r="AB94" i="10"/>
  <c r="AB128" i="10" s="1"/>
  <c r="AB104" i="10"/>
  <c r="AB105" i="10"/>
  <c r="AA94" i="10"/>
  <c r="AA128" i="10" s="1"/>
  <c r="AA97" i="10"/>
  <c r="AA131" i="10" s="1"/>
  <c r="AB108" i="10"/>
  <c r="W111" i="10"/>
  <c r="W145" i="10" s="1"/>
  <c r="Z104" i="10"/>
  <c r="Z138" i="10" s="1"/>
  <c r="Z56" i="13" s="1"/>
  <c r="Z99" i="10"/>
  <c r="Z133" i="10" s="1"/>
  <c r="Z112" i="10"/>
  <c r="Z146" i="10" s="1"/>
  <c r="Z87" i="10"/>
  <c r="Z121" i="10" s="1"/>
  <c r="Z105" i="10"/>
  <c r="Z139" i="10" s="1"/>
  <c r="Z102" i="10"/>
  <c r="AC95" i="10"/>
  <c r="AC129" i="10" s="1"/>
  <c r="AA110" i="10"/>
  <c r="AA144" i="10" s="1"/>
  <c r="Z98" i="10"/>
  <c r="Z132" i="10" s="1"/>
  <c r="AA106" i="10"/>
  <c r="AA140" i="10" s="1"/>
  <c r="Z96" i="10"/>
  <c r="Z130" i="10" s="1"/>
  <c r="AA101" i="10"/>
  <c r="AA135" i="10" s="1"/>
  <c r="AC101" i="10"/>
  <c r="AC135" i="10" s="1"/>
  <c r="AC94" i="10"/>
  <c r="AC102" i="10"/>
  <c r="AC136" i="10" s="1"/>
  <c r="AC107" i="10"/>
  <c r="AC98" i="10"/>
  <c r="AC132" i="10" s="1"/>
  <c r="Y87" i="10"/>
  <c r="Y121" i="10" s="1"/>
  <c r="Y104" i="10"/>
  <c r="Y138" i="10" s="1"/>
  <c r="Y56" i="13" s="1"/>
  <c r="Y105" i="10"/>
  <c r="Y139" i="10" s="1"/>
  <c r="Y99" i="10"/>
  <c r="Y133" i="10" s="1"/>
  <c r="Y88" i="10"/>
  <c r="BG45" i="11"/>
  <c r="AB101" i="10"/>
  <c r="AB135" i="10" s="1"/>
  <c r="AB97" i="10"/>
  <c r="AB131" i="10" s="1"/>
  <c r="AB89" i="10"/>
  <c r="AB110" i="10"/>
  <c r="AB144" i="10" s="1"/>
  <c r="AB102" i="10"/>
  <c r="AB136" i="10" s="1"/>
  <c r="AB112" i="10"/>
  <c r="AB146" i="10" s="1"/>
  <c r="AB111" i="10"/>
  <c r="AB145" i="10" s="1"/>
  <c r="AB100" i="10"/>
  <c r="AB134" i="10" s="1"/>
  <c r="AB96" i="10"/>
  <c r="AB130" i="10" s="1"/>
  <c r="AD15" i="10"/>
  <c r="BB44" i="11"/>
  <c r="W101" i="10"/>
  <c r="W135" i="10" s="1"/>
  <c r="W53" i="13" s="1"/>
  <c r="W99" i="10"/>
  <c r="W133" i="10" s="1"/>
  <c r="W97" i="10"/>
  <c r="W131" i="10" s="1"/>
  <c r="W105" i="10"/>
  <c r="W139" i="10" s="1"/>
  <c r="BD56" i="11"/>
  <c r="AA109" i="10"/>
  <c r="AA143" i="10" s="1"/>
  <c r="W112" i="10"/>
  <c r="W146" i="10" s="1"/>
  <c r="X97" i="10"/>
  <c r="X131" i="10" s="1"/>
  <c r="X49" i="13" s="1"/>
  <c r="W87" i="10"/>
  <c r="W121" i="10" s="1"/>
  <c r="AB99" i="10"/>
  <c r="AB133" i="10" s="1"/>
  <c r="W109" i="10"/>
  <c r="W143" i="10" s="1"/>
  <c r="X95" i="10"/>
  <c r="X129" i="10" s="1"/>
  <c r="AA100" i="10"/>
  <c r="AA134" i="10" s="1"/>
  <c r="AF106" i="10"/>
  <c r="AF140" i="10" s="1"/>
  <c r="AF112" i="10"/>
  <c r="AF146" i="10" s="1"/>
  <c r="AF110" i="10"/>
  <c r="AF144" i="10" s="1"/>
  <c r="AF97" i="10"/>
  <c r="AF131" i="10" s="1"/>
  <c r="AF105" i="10"/>
  <c r="AF139" i="10" s="1"/>
  <c r="AF101" i="10"/>
  <c r="AF135" i="10" s="1"/>
  <c r="AF89" i="10"/>
  <c r="X111" i="10"/>
  <c r="X145" i="10" s="1"/>
  <c r="X109" i="10"/>
  <c r="X143" i="10" s="1"/>
  <c r="X87" i="10"/>
  <c r="X121" i="10" s="1"/>
  <c r="X99" i="10"/>
  <c r="X133" i="10" s="1"/>
  <c r="AB107" i="10"/>
  <c r="W89" i="10"/>
  <c r="W123" i="10" s="1"/>
  <c r="Z100" i="10"/>
  <c r="Z134" i="10" s="1"/>
  <c r="AB88" i="10"/>
  <c r="AB122" i="10" s="1"/>
  <c r="X105" i="10"/>
  <c r="X139" i="10" s="1"/>
  <c r="AF111" i="10"/>
  <c r="AF145" i="10" s="1"/>
  <c r="AB103" i="10"/>
  <c r="AB137" i="10" s="1"/>
  <c r="Z94" i="10"/>
  <c r="Z128" i="10" s="1"/>
  <c r="W102" i="10"/>
  <c r="W136" i="10" s="1"/>
  <c r="W54" i="13" s="1"/>
  <c r="W88" i="10"/>
  <c r="AF100" i="10"/>
  <c r="AF134" i="10" s="1"/>
  <c r="AC89" i="10"/>
  <c r="AC123" i="10" s="1"/>
  <c r="AC41" i="13" s="1"/>
  <c r="Z107" i="10"/>
  <c r="Z141" i="10" s="1"/>
  <c r="AC105" i="10"/>
  <c r="AC109" i="10"/>
  <c r="AC143" i="10" s="1"/>
  <c r="AC108" i="10"/>
  <c r="AC106" i="10"/>
  <c r="AC140" i="10" s="1"/>
  <c r="AC88" i="10"/>
  <c r="AC122" i="10" s="1"/>
  <c r="AD97" i="10"/>
  <c r="AD131" i="10" s="1"/>
  <c r="AD106" i="10"/>
  <c r="AD140" i="10" s="1"/>
  <c r="AD96" i="10"/>
  <c r="AD130" i="10" s="1"/>
  <c r="AD94" i="10"/>
  <c r="AD128" i="10" s="1"/>
  <c r="AD98" i="10"/>
  <c r="AD132" i="10" s="1"/>
  <c r="AG99" i="10"/>
  <c r="AG133" i="10" s="1"/>
  <c r="AG87" i="10"/>
  <c r="AG121" i="10" s="1"/>
  <c r="AG97" i="10"/>
  <c r="AG131" i="10" s="1"/>
  <c r="AG104" i="10"/>
  <c r="AG138" i="10" s="1"/>
  <c r="AG56" i="13" s="1"/>
  <c r="AG98" i="10"/>
  <c r="AG132" i="10" s="1"/>
  <c r="Y101" i="10"/>
  <c r="Y135" i="10" s="1"/>
  <c r="Y103" i="10"/>
  <c r="Y137" i="10" s="1"/>
  <c r="Y102" i="10"/>
  <c r="Y136" i="10" s="1"/>
  <c r="Y111" i="10"/>
  <c r="Y145" i="10" s="1"/>
  <c r="Y108" i="10"/>
  <c r="Y142" i="10" s="1"/>
  <c r="Y60" i="13" s="1"/>
  <c r="AG105" i="10"/>
  <c r="AG139" i="10" s="1"/>
  <c r="AG57" i="13" s="1"/>
  <c r="AB87" i="10"/>
  <c r="AB121" i="10" s="1"/>
  <c r="AB95" i="10"/>
  <c r="AB129" i="10" s="1"/>
  <c r="Y15" i="10"/>
  <c r="BF44" i="11"/>
  <c r="AA105" i="10"/>
  <c r="AA87" i="10"/>
  <c r="AA121" i="10" s="1"/>
  <c r="AA89" i="10"/>
  <c r="AA123" i="10" s="1"/>
  <c r="AA41" i="13" s="1"/>
  <c r="AA111" i="10"/>
  <c r="AA145" i="10" s="1"/>
  <c r="AA103" i="10"/>
  <c r="AA137" i="10" s="1"/>
  <c r="BD48" i="11"/>
  <c r="X89" i="10"/>
  <c r="X123" i="10" s="1"/>
  <c r="X41" i="13" s="1"/>
  <c r="X110" i="10"/>
  <c r="X144" i="10" s="1"/>
  <c r="Z106" i="10"/>
  <c r="Z140" i="10" s="1"/>
  <c r="W110" i="10"/>
  <c r="W144" i="10" s="1"/>
  <c r="Z101" i="10"/>
  <c r="Z135" i="10" s="1"/>
  <c r="AA104" i="10"/>
  <c r="X106" i="10"/>
  <c r="X140" i="10" s="1"/>
  <c r="AA108" i="10"/>
  <c r="AA102" i="10"/>
  <c r="AA136" i="10" s="1"/>
  <c r="AA98" i="10"/>
  <c r="AA132" i="10" s="1"/>
  <c r="Z108" i="10"/>
  <c r="Z142" i="10" s="1"/>
  <c r="Z60" i="13" s="1"/>
  <c r="X102" i="10"/>
  <c r="X136" i="10" s="1"/>
  <c r="AB106" i="10"/>
  <c r="AB140" i="10" s="1"/>
  <c r="Z103" i="10"/>
  <c r="Z137" i="10" s="1"/>
  <c r="X96" i="10"/>
  <c r="X130" i="10" s="1"/>
  <c r="W106" i="10"/>
  <c r="W140" i="10" s="1"/>
  <c r="W94" i="10"/>
  <c r="W128" i="10" s="1"/>
  <c r="W46" i="13" s="1"/>
  <c r="Z88" i="10"/>
  <c r="X108" i="10"/>
  <c r="X142" i="10" s="1"/>
  <c r="X60" i="13" s="1"/>
  <c r="AA96" i="10"/>
  <c r="AA130" i="10" s="1"/>
  <c r="X103" i="10"/>
  <c r="X137" i="10" s="1"/>
  <c r="AA112" i="10"/>
  <c r="AA146" i="10" s="1"/>
  <c r="AA64" i="13" s="1"/>
  <c r="AF96" i="10"/>
  <c r="AF102" i="10"/>
  <c r="AF136" i="10" s="1"/>
  <c r="W98" i="10"/>
  <c r="W132" i="10" s="1"/>
  <c r="X88" i="10"/>
  <c r="Y110" i="10"/>
  <c r="Y144" i="10" s="1"/>
  <c r="W96" i="10"/>
  <c r="W130" i="10" s="1"/>
  <c r="AB109" i="10"/>
  <c r="AB143" i="10" s="1"/>
  <c r="AC110" i="10"/>
  <c r="AC144" i="10" s="1"/>
  <c r="AC111" i="10"/>
  <c r="AC145" i="10" s="1"/>
  <c r="AC103" i="10"/>
  <c r="AC137" i="10" s="1"/>
  <c r="AC104" i="10"/>
  <c r="AD109" i="10"/>
  <c r="AD143" i="10" s="1"/>
  <c r="AD87" i="10"/>
  <c r="AD121" i="10" s="1"/>
  <c r="AD39" i="13" s="1"/>
  <c r="AD103" i="10"/>
  <c r="AD137" i="10" s="1"/>
  <c r="AD104" i="10"/>
  <c r="AD138" i="10" s="1"/>
  <c r="AD56" i="13" s="1"/>
  <c r="AG109" i="10"/>
  <c r="AG143" i="10" s="1"/>
  <c r="AG108" i="10"/>
  <c r="AG142" i="10" s="1"/>
  <c r="AG60" i="13" s="1"/>
  <c r="AG110" i="10"/>
  <c r="AG144" i="10" s="1"/>
  <c r="AG107" i="10"/>
  <c r="AG141" i="10" s="1"/>
  <c r="AG59" i="13" s="1"/>
  <c r="AG102" i="10"/>
  <c r="AG136" i="10" s="1"/>
  <c r="Y97" i="10"/>
  <c r="Y131" i="10" s="1"/>
  <c r="Y94" i="10"/>
  <c r="Y128" i="10" s="1"/>
  <c r="Y112" i="10"/>
  <c r="Y146" i="10" s="1"/>
  <c r="Y106" i="10"/>
  <c r="Y140" i="10" s="1"/>
  <c r="AC87" i="10"/>
  <c r="AC121" i="10" s="1"/>
  <c r="AB15" i="10"/>
  <c r="H144" i="1"/>
  <c r="Z15" i="10"/>
  <c r="L142" i="11"/>
  <c r="H144" i="11"/>
  <c r="AL7" i="11" s="1"/>
  <c r="H142" i="11"/>
  <c r="AM67" i="11"/>
  <c r="AM70" i="11" s="1"/>
  <c r="P142" i="11"/>
  <c r="P144" i="11"/>
  <c r="AT7" i="11" s="1"/>
  <c r="AU67" i="11"/>
  <c r="AU70" i="11" s="1"/>
  <c r="O142" i="11"/>
  <c r="O144" i="11"/>
  <c r="AS7" i="11" s="1"/>
  <c r="AT67" i="11"/>
  <c r="AT70" i="11" s="1"/>
  <c r="AB6" i="9"/>
  <c r="AD6" i="9"/>
  <c r="Y6" i="9"/>
  <c r="AA6" i="9"/>
  <c r="Z6" i="9"/>
  <c r="Z9" i="9" s="1"/>
  <c r="Z18" i="9" s="1"/>
  <c r="AE6" i="9"/>
  <c r="AC6" i="9"/>
  <c r="AF6" i="9"/>
  <c r="L144" i="11"/>
  <c r="AP7" i="11" s="1"/>
  <c r="M142" i="11"/>
  <c r="AQ67" i="11"/>
  <c r="AQ70" i="11" s="1"/>
  <c r="N144" i="11"/>
  <c r="AR7" i="11" s="1"/>
  <c r="N142" i="11"/>
  <c r="AS67" i="11"/>
  <c r="AS70" i="11" s="1"/>
  <c r="BC62" i="11"/>
  <c r="I142" i="11"/>
  <c r="AN67" i="11"/>
  <c r="AN70" i="11" s="1"/>
  <c r="I144" i="11"/>
  <c r="AM7" i="11" s="1"/>
  <c r="AO67" i="11"/>
  <c r="AO70" i="11" s="1"/>
  <c r="J142" i="11"/>
  <c r="J144" i="11"/>
  <c r="AN7" i="11" s="1"/>
  <c r="AP67" i="11"/>
  <c r="AP70" i="11" s="1"/>
  <c r="K144" i="11"/>
  <c r="AO7" i="11" s="1"/>
  <c r="K142" i="11"/>
  <c r="M144" i="11"/>
  <c r="AQ7" i="11" s="1"/>
  <c r="AR67" i="11"/>
  <c r="AR70" i="11" s="1"/>
  <c r="Q94" i="21"/>
  <c r="Q95" i="21"/>
  <c r="M35" i="11"/>
  <c r="AN58" i="10"/>
  <c r="AR28" i="11"/>
  <c r="AR30" i="11" s="1"/>
  <c r="AO58" i="10"/>
  <c r="AP58" i="10"/>
  <c r="AM58" i="10"/>
  <c r="AU58" i="10"/>
  <c r="AT58" i="10"/>
  <c r="AN52" i="10"/>
  <c r="AV58" i="10"/>
  <c r="AR58" i="10"/>
  <c r="X132" i="10"/>
  <c r="AS58" i="10"/>
  <c r="AQ58" i="10"/>
  <c r="AW58" i="10"/>
  <c r="BC60" i="11"/>
  <c r="AT52" i="10"/>
  <c r="AW52" i="10"/>
  <c r="AR52" i="10"/>
  <c r="AQ52" i="10"/>
  <c r="AS52" i="10"/>
  <c r="AV52" i="10"/>
  <c r="AU52" i="10"/>
  <c r="AP52" i="10"/>
  <c r="AO52" i="10"/>
  <c r="AN30" i="10"/>
  <c r="BC57" i="11"/>
  <c r="BC50" i="11"/>
  <c r="BC64" i="11"/>
  <c r="BC58" i="11"/>
  <c r="BC52" i="11"/>
  <c r="BC61" i="11"/>
  <c r="BC55" i="11"/>
  <c r="BC53" i="11"/>
  <c r="BC49" i="11"/>
  <c r="BC54" i="11"/>
  <c r="BC44" i="11"/>
  <c r="BC59" i="11"/>
  <c r="BC45" i="11"/>
  <c r="BC63" i="11"/>
  <c r="BC56" i="11"/>
  <c r="BC48" i="11"/>
  <c r="BC51" i="11"/>
  <c r="BC46" i="11"/>
  <c r="F95" i="1"/>
  <c r="V6" i="9"/>
  <c r="U6" i="9"/>
  <c r="W3" i="1"/>
  <c r="W3" i="11" s="1"/>
  <c r="AA3" i="1"/>
  <c r="W6" i="11"/>
  <c r="M37" i="1"/>
  <c r="AD32" i="1" s="1"/>
  <c r="BE13" i="11"/>
  <c r="BE47" i="11" s="1"/>
  <c r="AF3" i="9"/>
  <c r="P152" i="9"/>
  <c r="AE3" i="9"/>
  <c r="O152" i="9"/>
  <c r="AD3" i="9"/>
  <c r="N152" i="9"/>
  <c r="K152" i="9"/>
  <c r="AB3" i="9"/>
  <c r="L152" i="9"/>
  <c r="F152" i="9"/>
  <c r="F155" i="9" s="1"/>
  <c r="M152" i="9"/>
  <c r="I152" i="9"/>
  <c r="X3" i="9"/>
  <c r="H152" i="9"/>
  <c r="U8" i="9"/>
  <c r="E152" i="9"/>
  <c r="AN65" i="13"/>
  <c r="O35" i="1"/>
  <c r="G153" i="10"/>
  <c r="G154" i="10"/>
  <c r="N153" i="10"/>
  <c r="I154" i="10"/>
  <c r="I153" i="10"/>
  <c r="J154" i="10"/>
  <c r="J153" i="10"/>
  <c r="M154" i="10"/>
  <c r="M153" i="10"/>
  <c r="P153" i="10"/>
  <c r="F154" i="10"/>
  <c r="O153" i="10"/>
  <c r="H154" i="10"/>
  <c r="H153" i="10"/>
  <c r="L154" i="10"/>
  <c r="L153" i="10"/>
  <c r="K153" i="10"/>
  <c r="AT30" i="10"/>
  <c r="AK44" i="11"/>
  <c r="F95" i="11"/>
  <c r="AJ6" i="11" s="1"/>
  <c r="AF142" i="10"/>
  <c r="AF60" i="13" s="1"/>
  <c r="AD60" i="13"/>
  <c r="X64" i="13"/>
  <c r="Y64" i="13"/>
  <c r="Z64" i="13"/>
  <c r="X59" i="13"/>
  <c r="K95" i="1"/>
  <c r="N95" i="1"/>
  <c r="P95" i="1"/>
  <c r="O95" i="1"/>
  <c r="Z59" i="13"/>
  <c r="AD59" i="13"/>
  <c r="Z57" i="13"/>
  <c r="AF57" i="13"/>
  <c r="AF59" i="13"/>
  <c r="Y59" i="13"/>
  <c r="M95" i="1"/>
  <c r="X57" i="13"/>
  <c r="J95" i="1"/>
  <c r="I95" i="1"/>
  <c r="G23" i="32" s="1"/>
  <c r="Y57" i="13"/>
  <c r="L95" i="1"/>
  <c r="Z37" i="1"/>
  <c r="AT28" i="11"/>
  <c r="AT30" i="11" s="1"/>
  <c r="O35" i="11"/>
  <c r="X37" i="1"/>
  <c r="AN5" i="13"/>
  <c r="AA37" i="1"/>
  <c r="AV30" i="10"/>
  <c r="N35" i="1"/>
  <c r="Y9" i="1"/>
  <c r="G7" i="33" s="1"/>
  <c r="G16" i="33" s="1"/>
  <c r="Z72" i="1"/>
  <c r="J35" i="1"/>
  <c r="AS30" i="10"/>
  <c r="Z9" i="1"/>
  <c r="H7" i="33" s="1"/>
  <c r="H16" i="33" s="1"/>
  <c r="AA72" i="1"/>
  <c r="P35" i="1"/>
  <c r="P37" i="1"/>
  <c r="AQ5" i="13"/>
  <c r="AP5" i="13"/>
  <c r="H35" i="1"/>
  <c r="H37" i="1"/>
  <c r="AF9" i="1"/>
  <c r="N7" i="33" s="1"/>
  <c r="N16" i="33" s="1"/>
  <c r="AG72" i="1"/>
  <c r="W9" i="1"/>
  <c r="X72" i="1"/>
  <c r="AA9" i="1"/>
  <c r="I7" i="33" s="1"/>
  <c r="I16" i="33" s="1"/>
  <c r="AB72" i="1"/>
  <c r="L35" i="1"/>
  <c r="L37" i="1"/>
  <c r="W72" i="1"/>
  <c r="V9" i="1"/>
  <c r="V19" i="1" s="1"/>
  <c r="U7" i="9"/>
  <c r="Y3" i="9"/>
  <c r="W8" i="9"/>
  <c r="V44" i="1"/>
  <c r="U7" i="1"/>
  <c r="U17" i="1" s="1"/>
  <c r="V70" i="1"/>
  <c r="I35" i="11"/>
  <c r="AQ30" i="10"/>
  <c r="AN28" i="11"/>
  <c r="AN30" i="11" s="1"/>
  <c r="Q144" i="9"/>
  <c r="AO28" i="11"/>
  <c r="AO30" i="11" s="1"/>
  <c r="V70" i="9"/>
  <c r="J35" i="11"/>
  <c r="AQ28" i="11"/>
  <c r="AQ30" i="11" s="1"/>
  <c r="L37" i="11"/>
  <c r="AH28" i="9"/>
  <c r="P35" i="11"/>
  <c r="AT72" i="11"/>
  <c r="P37" i="11"/>
  <c r="W30" i="9"/>
  <c r="AH30" i="9" s="1"/>
  <c r="AU47" i="11"/>
  <c r="AU65" i="11" s="1"/>
  <c r="J148" i="11"/>
  <c r="AN8" i="11" s="1"/>
  <c r="AN47" i="11"/>
  <c r="AN65" i="11" s="1"/>
  <c r="AM30" i="10"/>
  <c r="F35" i="11"/>
  <c r="F37" i="11"/>
  <c r="AP30" i="10"/>
  <c r="BF60" i="11"/>
  <c r="BF64" i="11"/>
  <c r="AA133" i="10"/>
  <c r="BF54" i="11"/>
  <c r="BF63" i="11"/>
  <c r="BF55" i="11"/>
  <c r="BF53" i="11"/>
  <c r="BF57" i="11"/>
  <c r="BF50" i="11"/>
  <c r="BF52" i="11"/>
  <c r="BF49" i="11"/>
  <c r="BF61" i="11"/>
  <c r="BF58" i="11"/>
  <c r="BF56" i="11"/>
  <c r="BF47" i="11"/>
  <c r="BF62" i="11"/>
  <c r="BB52" i="11"/>
  <c r="BF59" i="11"/>
  <c r="BF48" i="11"/>
  <c r="BB54" i="11"/>
  <c r="BB49" i="11"/>
  <c r="BB53" i="11"/>
  <c r="BB60" i="11"/>
  <c r="BB55" i="11"/>
  <c r="BB63" i="11"/>
  <c r="BB57" i="11"/>
  <c r="BB62" i="11"/>
  <c r="BB59" i="11"/>
  <c r="BB64" i="11"/>
  <c r="W129" i="10"/>
  <c r="BB48" i="11"/>
  <c r="BB56" i="11"/>
  <c r="BB47" i="11"/>
  <c r="BB61" i="11"/>
  <c r="BB58" i="11"/>
  <c r="BB46" i="11"/>
  <c r="BB51" i="11"/>
  <c r="BB50" i="11"/>
  <c r="AS47" i="11"/>
  <c r="X67" i="1"/>
  <c r="BF46" i="11"/>
  <c r="BF45" i="11"/>
  <c r="BB45" i="11"/>
  <c r="BF51" i="11"/>
  <c r="W52" i="13"/>
  <c r="P148" i="11"/>
  <c r="AT8" i="11" s="1"/>
  <c r="AL72" i="11"/>
  <c r="AM47" i="11"/>
  <c r="AM65" i="11" s="1"/>
  <c r="BG62" i="11"/>
  <c r="BG64" i="11"/>
  <c r="BD13" i="11"/>
  <c r="BD47" i="11" s="1"/>
  <c r="BG57" i="11"/>
  <c r="BG49" i="11"/>
  <c r="BG63" i="11"/>
  <c r="BG53" i="11"/>
  <c r="BG60" i="11"/>
  <c r="BG55" i="11"/>
  <c r="BG44" i="11"/>
  <c r="H37" i="11"/>
  <c r="V32" i="1"/>
  <c r="AM28" i="11"/>
  <c r="AM30" i="11" s="1"/>
  <c r="AS72" i="11"/>
  <c r="AB132" i="10"/>
  <c r="BG46" i="11"/>
  <c r="BG61" i="11"/>
  <c r="BG52" i="11"/>
  <c r="BG50" i="11"/>
  <c r="BG48" i="11"/>
  <c r="BG56" i="11"/>
  <c r="BG54" i="11"/>
  <c r="BG59" i="11"/>
  <c r="BL13" i="11"/>
  <c r="BL47" i="11" s="1"/>
  <c r="AU65" i="13"/>
  <c r="K148" i="11"/>
  <c r="AO8" i="11" s="1"/>
  <c r="BG51" i="11"/>
  <c r="AO30" i="10"/>
  <c r="AQ47" i="11"/>
  <c r="F148" i="11"/>
  <c r="AJ8" i="11" s="1"/>
  <c r="BM14" i="11"/>
  <c r="AT47" i="11"/>
  <c r="AT65" i="11" s="1"/>
  <c r="BG58" i="11"/>
  <c r="X53" i="13"/>
  <c r="AR72" i="11"/>
  <c r="AL47" i="11"/>
  <c r="AL65" i="11" s="1"/>
  <c r="Q35" i="9"/>
  <c r="AK47" i="11"/>
  <c r="H148" i="11"/>
  <c r="AL8" i="11" s="1"/>
  <c r="L148" i="11"/>
  <c r="AP8" i="11" s="1"/>
  <c r="P69" i="11"/>
  <c r="AT5" i="11" s="1"/>
  <c r="X65" i="9"/>
  <c r="AH65" i="9" s="1"/>
  <c r="AP47" i="11"/>
  <c r="AP65" i="11" s="1"/>
  <c r="V58" i="13"/>
  <c r="AT65" i="13"/>
  <c r="Y67" i="1"/>
  <c r="AO47" i="11"/>
  <c r="AO65" i="11" s="1"/>
  <c r="F68" i="11"/>
  <c r="AN72" i="11"/>
  <c r="BH47" i="11"/>
  <c r="J69" i="11"/>
  <c r="AN5" i="11" s="1"/>
  <c r="BH46" i="11"/>
  <c r="AW65" i="13"/>
  <c r="BH63" i="11"/>
  <c r="BH55" i="11"/>
  <c r="BH54" i="11"/>
  <c r="BH49" i="11"/>
  <c r="AE10" i="1"/>
  <c r="AD10" i="1"/>
  <c r="V10" i="1"/>
  <c r="V20" i="1" s="1"/>
  <c r="AB10" i="1"/>
  <c r="AF10" i="1"/>
  <c r="BH57" i="11"/>
  <c r="BH61" i="11"/>
  <c r="AC10" i="1"/>
  <c r="BH58" i="11"/>
  <c r="W10" i="1"/>
  <c r="W20" i="1" s="1"/>
  <c r="Z10" i="1"/>
  <c r="Q148" i="9"/>
  <c r="AA10" i="1"/>
  <c r="X10" i="1"/>
  <c r="AT41" i="11"/>
  <c r="AT42" i="11" s="1"/>
  <c r="Y10" i="1"/>
  <c r="BJ47" i="11"/>
  <c r="BJ45" i="11"/>
  <c r="BJ53" i="11"/>
  <c r="BJ61" i="11"/>
  <c r="AW5" i="13"/>
  <c r="AT5" i="13"/>
  <c r="BJ59" i="11"/>
  <c r="BJ56" i="11"/>
  <c r="BJ50" i="11"/>
  <c r="BJ52" i="11"/>
  <c r="BJ62" i="11"/>
  <c r="BJ49" i="11"/>
  <c r="AQ41" i="11"/>
  <c r="AR47" i="11"/>
  <c r="AR65" i="11" s="1"/>
  <c r="BF33" i="11"/>
  <c r="BF65" i="11" s="1"/>
  <c r="BH50" i="11"/>
  <c r="BH52" i="11"/>
  <c r="BH53" i="11"/>
  <c r="BJ63" i="11"/>
  <c r="BJ44" i="11"/>
  <c r="BH59" i="11"/>
  <c r="BJ58" i="11"/>
  <c r="BJ57" i="11"/>
  <c r="BJ51" i="11"/>
  <c r="BH51" i="11"/>
  <c r="BH48" i="11"/>
  <c r="AN6" i="13"/>
  <c r="BJ48" i="11"/>
  <c r="BH56" i="11"/>
  <c r="BH45" i="11"/>
  <c r="BJ54" i="11"/>
  <c r="AS5" i="13"/>
  <c r="AV5" i="13"/>
  <c r="AO5" i="13"/>
  <c r="BH44" i="11"/>
  <c r="BJ64" i="11"/>
  <c r="BH60" i="11"/>
  <c r="BH62" i="11"/>
  <c r="BJ55" i="11"/>
  <c r="BJ46" i="11"/>
  <c r="BM21" i="11"/>
  <c r="BE42" i="11"/>
  <c r="BE8" i="11"/>
  <c r="BK42" i="11"/>
  <c r="BK8" i="11"/>
  <c r="BM12" i="11"/>
  <c r="BH33" i="11"/>
  <c r="BH65" i="11" s="1"/>
  <c r="AB32" i="1"/>
  <c r="AA39" i="1"/>
  <c r="AE39" i="1"/>
  <c r="BM15" i="11"/>
  <c r="BM32" i="11"/>
  <c r="BK33" i="11"/>
  <c r="BK65" i="11" s="1"/>
  <c r="BM26" i="11"/>
  <c r="BD8" i="11"/>
  <c r="BD42" i="11"/>
  <c r="BJ42" i="11"/>
  <c r="BJ8" i="11"/>
  <c r="BM5" i="11"/>
  <c r="BM39" i="11" s="1"/>
  <c r="BA8" i="11"/>
  <c r="AC39" i="1"/>
  <c r="BH42" i="11"/>
  <c r="BH8" i="11"/>
  <c r="AS41" i="11"/>
  <c r="AH37" i="9"/>
  <c r="BG8" i="11"/>
  <c r="W39" i="1"/>
  <c r="BM24" i="11"/>
  <c r="BJ33" i="11"/>
  <c r="BJ65" i="11" s="1"/>
  <c r="AF39" i="1"/>
  <c r="Q124" i="9"/>
  <c r="AW30" i="10"/>
  <c r="BI42" i="11"/>
  <c r="BI8" i="11"/>
  <c r="V37" i="1"/>
  <c r="BF8" i="11"/>
  <c r="BM29" i="11"/>
  <c r="AG39" i="1"/>
  <c r="BI33" i="11"/>
  <c r="BI65" i="11" s="1"/>
  <c r="Y39" i="1"/>
  <c r="BM22" i="11"/>
  <c r="AH42" i="9"/>
  <c r="AO39" i="11"/>
  <c r="AO42" i="11" s="1"/>
  <c r="BB33" i="11"/>
  <c r="BB65" i="11" s="1"/>
  <c r="BG42" i="11"/>
  <c r="AU30" i="10"/>
  <c r="X39" i="1"/>
  <c r="BL8" i="11"/>
  <c r="BL42" i="11"/>
  <c r="BM25" i="11"/>
  <c r="BM23" i="11"/>
  <c r="Z39" i="1"/>
  <c r="BA13" i="11"/>
  <c r="AH47" i="9"/>
  <c r="AV65" i="13"/>
  <c r="Q95" i="9"/>
  <c r="AD39" i="1"/>
  <c r="BF42" i="11"/>
  <c r="BB42" i="11"/>
  <c r="BB8" i="11"/>
  <c r="BM30" i="11"/>
  <c r="X32" i="1"/>
  <c r="BM27" i="11"/>
  <c r="Q37" i="9"/>
  <c r="BC42" i="11"/>
  <c r="BC8" i="11"/>
  <c r="BM17" i="11"/>
  <c r="V39" i="1"/>
  <c r="AB39" i="1"/>
  <c r="BM7" i="11"/>
  <c r="BM41" i="11" s="1"/>
  <c r="AN41" i="11"/>
  <c r="AN42" i="11" s="1"/>
  <c r="N69" i="11"/>
  <c r="AR5" i="11" s="1"/>
  <c r="M67" i="11"/>
  <c r="AS39" i="11"/>
  <c r="N67" i="11"/>
  <c r="M68" i="11"/>
  <c r="P68" i="11"/>
  <c r="M69" i="11"/>
  <c r="AQ5" i="11" s="1"/>
  <c r="H67" i="11"/>
  <c r="Y131" i="13"/>
  <c r="Y129" i="13"/>
  <c r="X128" i="13"/>
  <c r="G67" i="11"/>
  <c r="AD146" i="13"/>
  <c r="Y133" i="13"/>
  <c r="Y144" i="13"/>
  <c r="X62" i="13"/>
  <c r="Z135" i="13"/>
  <c r="Y53" i="13"/>
  <c r="N95" i="11"/>
  <c r="AR6" i="11" s="1"/>
  <c r="K67" i="11"/>
  <c r="I69" i="11"/>
  <c r="AM5" i="11" s="1"/>
  <c r="L69" i="11"/>
  <c r="AP5" i="11" s="1"/>
  <c r="Z136" i="13"/>
  <c r="Y130" i="13"/>
  <c r="Y143" i="13"/>
  <c r="X61" i="13"/>
  <c r="Y140" i="13"/>
  <c r="X58" i="13"/>
  <c r="L95" i="11"/>
  <c r="AP6" i="11" s="1"/>
  <c r="K95" i="11"/>
  <c r="AO6" i="11" s="1"/>
  <c r="L67" i="11"/>
  <c r="AQ44" i="11"/>
  <c r="H69" i="11"/>
  <c r="AL5" i="11" s="1"/>
  <c r="M95" i="11"/>
  <c r="AQ6" i="11" s="1"/>
  <c r="AP40" i="11"/>
  <c r="AP42" i="11" s="1"/>
  <c r="G68" i="11"/>
  <c r="H68" i="11"/>
  <c r="AQ39" i="11"/>
  <c r="I67" i="11"/>
  <c r="O67" i="11"/>
  <c r="J95" i="11"/>
  <c r="AN6" i="11" s="1"/>
  <c r="J68" i="11"/>
  <c r="F67" i="11"/>
  <c r="J67" i="11"/>
  <c r="H95" i="11"/>
  <c r="AL6" i="11" s="1"/>
  <c r="G69" i="11"/>
  <c r="AK5" i="11" s="1"/>
  <c r="O69" i="11"/>
  <c r="AS5" i="11" s="1"/>
  <c r="AS48" i="11"/>
  <c r="P95" i="11"/>
  <c r="AT6" i="11" s="1"/>
  <c r="G95" i="11"/>
  <c r="AK6" i="11" s="1"/>
  <c r="P67" i="11"/>
  <c r="AU39" i="11"/>
  <c r="AU42" i="11" s="1"/>
  <c r="O95" i="11"/>
  <c r="AS6" i="11" s="1"/>
  <c r="K69" i="11"/>
  <c r="AO5" i="11" s="1"/>
  <c r="F69" i="11"/>
  <c r="AJ5" i="11" s="1"/>
  <c r="K68" i="11"/>
  <c r="I95" i="11"/>
  <c r="AM6" i="11" s="1"/>
  <c r="N37" i="13"/>
  <c r="N152" i="13" s="1"/>
  <c r="N153" i="13" s="1"/>
  <c r="AN37" i="11"/>
  <c r="AT37" i="11"/>
  <c r="AL70" i="11"/>
  <c r="AL37" i="11"/>
  <c r="AK37" i="11"/>
  <c r="AL42" i="11"/>
  <c r="AO37" i="11"/>
  <c r="AM42" i="11"/>
  <c r="AR42" i="11"/>
  <c r="N37" i="11"/>
  <c r="AR37" i="11"/>
  <c r="AU37" i="11"/>
  <c r="N35" i="13"/>
  <c r="AS37" i="11"/>
  <c r="AM37" i="11"/>
  <c r="AK42" i="11"/>
  <c r="N35" i="11"/>
  <c r="AK70" i="11"/>
  <c r="AL30" i="11"/>
  <c r="AP30" i="11"/>
  <c r="AS30" i="11"/>
  <c r="AU30" i="11"/>
  <c r="AQ37" i="11"/>
  <c r="AP37" i="11"/>
  <c r="AK30" i="11"/>
  <c r="M160" i="20"/>
  <c r="M136" i="20" s="1"/>
  <c r="N157" i="20"/>
  <c r="N160" i="20" s="1"/>
  <c r="N161" i="20" s="1"/>
  <c r="O157" i="20"/>
  <c r="P157" i="20" s="1"/>
  <c r="P160" i="20" s="1"/>
  <c r="P136" i="20" s="1"/>
  <c r="N127" i="20"/>
  <c r="AZ180" i="20"/>
  <c r="AY185" i="20"/>
  <c r="O183" i="20" s="1"/>
  <c r="N135" i="20"/>
  <c r="BJ10" i="20"/>
  <c r="BJ12" i="20"/>
  <c r="BJ13" i="20"/>
  <c r="BE115" i="20"/>
  <c r="BE114" i="20"/>
  <c r="M185" i="20"/>
  <c r="N183" i="20"/>
  <c r="E83" i="21" l="1"/>
  <c r="E3" i="11"/>
  <c r="AD42" i="13"/>
  <c r="AC17" i="13" s="1"/>
  <c r="AT17" i="13" s="1"/>
  <c r="AA122" i="10"/>
  <c r="AA40" i="13" s="1"/>
  <c r="G2" i="33"/>
  <c r="G12" i="33" s="1"/>
  <c r="Y3" i="11"/>
  <c r="K2" i="33"/>
  <c r="K12" i="33" s="1"/>
  <c r="AC3" i="11"/>
  <c r="I2" i="33"/>
  <c r="I12" i="33" s="1"/>
  <c r="AA3" i="11"/>
  <c r="P83" i="21"/>
  <c r="P3" i="11"/>
  <c r="AD72" i="1"/>
  <c r="AC9" i="1"/>
  <c r="K7" i="33" s="1"/>
  <c r="K16" i="33" s="1"/>
  <c r="Q23" i="9"/>
  <c r="AF19" i="10"/>
  <c r="AF20" i="10"/>
  <c r="W20" i="10"/>
  <c r="W19" i="10"/>
  <c r="AD19" i="10"/>
  <c r="AD20" i="10"/>
  <c r="AE20" i="10"/>
  <c r="AE19" i="10"/>
  <c r="V19" i="10"/>
  <c r="V20" i="10"/>
  <c r="X20" i="10"/>
  <c r="X19" i="10"/>
  <c r="AC19" i="10"/>
  <c r="AC20" i="10"/>
  <c r="AB19" i="10"/>
  <c r="AB20" i="10"/>
  <c r="AA20" i="10"/>
  <c r="AA19" i="10"/>
  <c r="Z19" i="10"/>
  <c r="Z20" i="10"/>
  <c r="Y19" i="10"/>
  <c r="Y20" i="10"/>
  <c r="R174" i="20"/>
  <c r="S174" i="20" s="1"/>
  <c r="R173" i="20"/>
  <c r="S173" i="20" s="1"/>
  <c r="U173" i="20" s="1"/>
  <c r="H156" i="13"/>
  <c r="H155" i="13"/>
  <c r="G156" i="13"/>
  <c r="G155" i="13"/>
  <c r="Z122" i="10"/>
  <c r="Z124" i="10" s="1"/>
  <c r="AB9" i="1"/>
  <c r="J7" i="33" s="1"/>
  <c r="J16" i="33" s="1"/>
  <c r="Y20" i="1"/>
  <c r="G8" i="33"/>
  <c r="G17" i="33" s="1"/>
  <c r="AB20" i="1"/>
  <c r="J8" i="33"/>
  <c r="J17" i="33" s="1"/>
  <c r="AC4" i="11"/>
  <c r="K3" i="33"/>
  <c r="K13" i="33" s="1"/>
  <c r="X20" i="1"/>
  <c r="F8" i="33"/>
  <c r="F17" i="33" s="1"/>
  <c r="AD20" i="1"/>
  <c r="L8" i="33"/>
  <c r="L17" i="33" s="1"/>
  <c r="X18" i="1"/>
  <c r="F5" i="33"/>
  <c r="F15" i="33" s="1"/>
  <c r="Z4" i="11"/>
  <c r="H3" i="33"/>
  <c r="H13" i="33" s="1"/>
  <c r="AF4" i="11"/>
  <c r="N3" i="33"/>
  <c r="N13" i="33" s="1"/>
  <c r="AA20" i="1"/>
  <c r="I8" i="33"/>
  <c r="I17" i="33" s="1"/>
  <c r="AE20" i="1"/>
  <c r="M8" i="33"/>
  <c r="M17" i="33" s="1"/>
  <c r="X4" i="11"/>
  <c r="F3" i="33"/>
  <c r="F13" i="33" s="1"/>
  <c r="Y4" i="11"/>
  <c r="G3" i="33"/>
  <c r="G13" i="33" s="1"/>
  <c r="Z20" i="1"/>
  <c r="H8" i="33"/>
  <c r="H17" i="33" s="1"/>
  <c r="AA4" i="11"/>
  <c r="I3" i="33"/>
  <c r="I13" i="33" s="1"/>
  <c r="AA5" i="11"/>
  <c r="I4" i="33"/>
  <c r="I14" i="33" s="1"/>
  <c r="AC20" i="1"/>
  <c r="K8" i="33"/>
  <c r="K17" i="33" s="1"/>
  <c r="AD4" i="11"/>
  <c r="L3" i="33"/>
  <c r="L13" i="33" s="1"/>
  <c r="AF20" i="1"/>
  <c r="N8" i="33"/>
  <c r="N17" i="33" s="1"/>
  <c r="AE4" i="11"/>
  <c r="M3" i="33"/>
  <c r="M13" i="33" s="1"/>
  <c r="AB4" i="11"/>
  <c r="J3" i="33"/>
  <c r="J13" i="33" s="1"/>
  <c r="AC72" i="1"/>
  <c r="G154" i="9"/>
  <c r="AL15" i="13"/>
  <c r="Y54" i="13"/>
  <c r="BC33" i="11"/>
  <c r="BC65" i="11" s="1"/>
  <c r="AA9" i="9"/>
  <c r="AA13" i="9" s="1"/>
  <c r="AE9" i="1"/>
  <c r="AD9" i="1"/>
  <c r="U14" i="1"/>
  <c r="AL3" i="13"/>
  <c r="AE72" i="1"/>
  <c r="AF72" i="1"/>
  <c r="E3" i="21"/>
  <c r="F15" i="32"/>
  <c r="H167" i="1"/>
  <c r="H192" i="1" s="1"/>
  <c r="N15" i="32"/>
  <c r="P167" i="1"/>
  <c r="P192" i="1" s="1"/>
  <c r="J15" i="32"/>
  <c r="L167" i="1"/>
  <c r="L192" i="1" s="1"/>
  <c r="M15" i="32"/>
  <c r="O167" i="1"/>
  <c r="O192" i="1" s="1"/>
  <c r="G15" i="32"/>
  <c r="I167" i="1"/>
  <c r="I192" i="1" s="1"/>
  <c r="H15" i="32"/>
  <c r="J167" i="1"/>
  <c r="J192" i="1" s="1"/>
  <c r="L15" i="32"/>
  <c r="N167" i="1"/>
  <c r="N192" i="1" s="1"/>
  <c r="K15" i="32"/>
  <c r="M167" i="1"/>
  <c r="M192" i="1" s="1"/>
  <c r="AC9" i="9"/>
  <c r="AC14" i="9" s="1"/>
  <c r="N7" i="31"/>
  <c r="N5" i="31" s="1"/>
  <c r="N23" i="32"/>
  <c r="BG33" i="11"/>
  <c r="BG65" i="11" s="1"/>
  <c r="H7" i="31"/>
  <c r="H5" i="31" s="1"/>
  <c r="H23" i="32"/>
  <c r="J7" i="31"/>
  <c r="J5" i="31" s="1"/>
  <c r="J23" i="32"/>
  <c r="L7" i="31"/>
  <c r="L5" i="31" s="1"/>
  <c r="L23" i="32"/>
  <c r="I7" i="31"/>
  <c r="I5" i="31" s="1"/>
  <c r="I23" i="32"/>
  <c r="K7" i="31"/>
  <c r="K5" i="31" s="1"/>
  <c r="K23" i="32"/>
  <c r="M7" i="31"/>
  <c r="M5" i="31" s="1"/>
  <c r="M23" i="32"/>
  <c r="D7" i="31"/>
  <c r="D5" i="31" s="1"/>
  <c r="D23" i="32"/>
  <c r="V14" i="1"/>
  <c r="K168" i="13"/>
  <c r="AA17" i="1"/>
  <c r="V9" i="9"/>
  <c r="V11" i="9" s="1"/>
  <c r="J3" i="21"/>
  <c r="N3" i="21"/>
  <c r="N168" i="13"/>
  <c r="Z41" i="13"/>
  <c r="X6" i="11"/>
  <c r="P3" i="21"/>
  <c r="Y122" i="10"/>
  <c r="Y40" i="13" s="1"/>
  <c r="X9" i="1"/>
  <c r="F17" i="31"/>
  <c r="V17" i="1"/>
  <c r="V5" i="11"/>
  <c r="Y8" i="1"/>
  <c r="G7" i="31"/>
  <c r="G5" i="31" s="1"/>
  <c r="Y72" i="1"/>
  <c r="G3" i="21"/>
  <c r="G5" i="21" s="1"/>
  <c r="Y90" i="10"/>
  <c r="Y123" i="10"/>
  <c r="Y41" i="13" s="1"/>
  <c r="M168" i="13"/>
  <c r="I168" i="13"/>
  <c r="G168" i="13"/>
  <c r="F168" i="13"/>
  <c r="L168" i="13"/>
  <c r="O168" i="13"/>
  <c r="Z90" i="10"/>
  <c r="AF90" i="10"/>
  <c r="AG90" i="10"/>
  <c r="AF123" i="10"/>
  <c r="AF41" i="13" s="1"/>
  <c r="Q124" i="11"/>
  <c r="W113" i="10"/>
  <c r="AJ3" i="11"/>
  <c r="AJ9" i="11" s="1"/>
  <c r="AJ13" i="11" s="1"/>
  <c r="AR3" i="11"/>
  <c r="AR9" i="11" s="1"/>
  <c r="AR11" i="11" s="1"/>
  <c r="AL3" i="11"/>
  <c r="AL9" i="11" s="1"/>
  <c r="AT3" i="11"/>
  <c r="AT9" i="11" s="1"/>
  <c r="AT13" i="11" s="1"/>
  <c r="AP3" i="11"/>
  <c r="AP9" i="11" s="1"/>
  <c r="X113" i="10"/>
  <c r="AB113" i="10"/>
  <c r="AD113" i="10"/>
  <c r="AC113" i="10"/>
  <c r="AE113" i="10"/>
  <c r="AG113" i="10"/>
  <c r="AF113" i="10"/>
  <c r="AF130" i="10"/>
  <c r="AA113" i="10"/>
  <c r="Z113" i="10"/>
  <c r="Z136" i="10"/>
  <c r="Z54" i="13" s="1"/>
  <c r="AD90" i="10"/>
  <c r="AD124" i="10"/>
  <c r="Y113" i="10"/>
  <c r="X51" i="13"/>
  <c r="X47" i="13"/>
  <c r="X122" i="10"/>
  <c r="X40" i="13" s="1"/>
  <c r="X54" i="13"/>
  <c r="Y7" i="11"/>
  <c r="Y19" i="1"/>
  <c r="W7" i="11"/>
  <c r="W19" i="1"/>
  <c r="AF7" i="11"/>
  <c r="AF19" i="1"/>
  <c r="Z7" i="11"/>
  <c r="Z19" i="1"/>
  <c r="AC14" i="1"/>
  <c r="AA14" i="1"/>
  <c r="F156" i="13"/>
  <c r="W14" i="1"/>
  <c r="Y14" i="1"/>
  <c r="AA7" i="11"/>
  <c r="AA19" i="1"/>
  <c r="X48" i="13"/>
  <c r="X90" i="10"/>
  <c r="AB123" i="10"/>
  <c r="AB41" i="13" s="1"/>
  <c r="J152" i="1"/>
  <c r="J154" i="1" s="1"/>
  <c r="BE33" i="11"/>
  <c r="BE65" i="11" s="1"/>
  <c r="Z13" i="9"/>
  <c r="AB9" i="9"/>
  <c r="AB11" i="9" s="1"/>
  <c r="Z11" i="9"/>
  <c r="W9" i="9"/>
  <c r="W18" i="9" s="1"/>
  <c r="Z15" i="9"/>
  <c r="Z12" i="9"/>
  <c r="X9" i="9"/>
  <c r="X11" i="9" s="1"/>
  <c r="AF9" i="9"/>
  <c r="AF11" i="9" s="1"/>
  <c r="Z14" i="9"/>
  <c r="F3" i="21"/>
  <c r="F7" i="9"/>
  <c r="V8" i="1"/>
  <c r="V18" i="1" s="1"/>
  <c r="AB3" i="1"/>
  <c r="Z8" i="11"/>
  <c r="AC8" i="11"/>
  <c r="AB8" i="11"/>
  <c r="AE8" i="11"/>
  <c r="V7" i="11"/>
  <c r="Y8" i="11"/>
  <c r="AF8" i="11"/>
  <c r="X8" i="11"/>
  <c r="W8" i="11"/>
  <c r="V8" i="11"/>
  <c r="AD3" i="1"/>
  <c r="AE3" i="1"/>
  <c r="AE3" i="11" s="1"/>
  <c r="AA8" i="11"/>
  <c r="AD8" i="11"/>
  <c r="U5" i="11"/>
  <c r="X3" i="1"/>
  <c r="AF3" i="1"/>
  <c r="Z3" i="1"/>
  <c r="AF8" i="1"/>
  <c r="N5" i="33" s="1"/>
  <c r="N15" i="33" s="1"/>
  <c r="AD8" i="1"/>
  <c r="L5" i="33" s="1"/>
  <c r="L15" i="33" s="1"/>
  <c r="AA8" i="1"/>
  <c r="I5" i="33" s="1"/>
  <c r="I15" i="33" s="1"/>
  <c r="AB8" i="1"/>
  <c r="J5" i="33" s="1"/>
  <c r="J15" i="33" s="1"/>
  <c r="Z8" i="1"/>
  <c r="AC8" i="1"/>
  <c r="K5" i="33" s="1"/>
  <c r="K15" i="33" s="1"/>
  <c r="AE8" i="1"/>
  <c r="M5" i="33" s="1"/>
  <c r="M15" i="33" s="1"/>
  <c r="AE9" i="9"/>
  <c r="M152" i="1"/>
  <c r="M154" i="1" s="1"/>
  <c r="H152" i="1"/>
  <c r="H154" i="1" s="1"/>
  <c r="F152" i="1"/>
  <c r="F154" i="1" s="1"/>
  <c r="L152" i="1"/>
  <c r="L154" i="1" s="1"/>
  <c r="Z67" i="1"/>
  <c r="I152" i="1"/>
  <c r="I154" i="1" s="1"/>
  <c r="G152" i="1"/>
  <c r="G154" i="1" s="1"/>
  <c r="E155" i="9"/>
  <c r="E154" i="9"/>
  <c r="K152" i="1"/>
  <c r="K154" i="1" s="1"/>
  <c r="K3" i="21"/>
  <c r="F154" i="9"/>
  <c r="I155" i="9"/>
  <c r="I154" i="9"/>
  <c r="L155" i="9"/>
  <c r="L154" i="9"/>
  <c r="N155" i="9"/>
  <c r="N154" i="9"/>
  <c r="O155" i="9"/>
  <c r="O154" i="9"/>
  <c r="H154" i="9"/>
  <c r="H155" i="9"/>
  <c r="M155" i="9"/>
  <c r="M154" i="9"/>
  <c r="K154" i="9"/>
  <c r="K155" i="9"/>
  <c r="P154" i="9"/>
  <c r="P155" i="9"/>
  <c r="J155" i="9"/>
  <c r="J154" i="9"/>
  <c r="Q3" i="9"/>
  <c r="AA32" i="1"/>
  <c r="AK65" i="11"/>
  <c r="M9" i="9"/>
  <c r="O9" i="9"/>
  <c r="H7" i="9"/>
  <c r="H5" i="21" s="1"/>
  <c r="K7" i="9"/>
  <c r="K10" i="9" s="1"/>
  <c r="I7" i="9"/>
  <c r="I10" i="9" s="1"/>
  <c r="J9" i="9"/>
  <c r="G7" i="9"/>
  <c r="G10" i="9" s="1"/>
  <c r="P7" i="9"/>
  <c r="P10" i="9" s="1"/>
  <c r="L7" i="9"/>
  <c r="L10" i="9" s="1"/>
  <c r="AE138" i="10"/>
  <c r="AE56" i="13" s="1"/>
  <c r="AC142" i="10"/>
  <c r="AC60" i="13" s="1"/>
  <c r="AC138" i="10"/>
  <c r="AC56" i="13" s="1"/>
  <c r="AB138" i="10"/>
  <c r="AB56" i="13" s="1"/>
  <c r="AB142" i="10"/>
  <c r="AB60" i="13" s="1"/>
  <c r="AA138" i="10"/>
  <c r="AA56" i="13" s="1"/>
  <c r="AE142" i="10"/>
  <c r="AE60" i="13" s="1"/>
  <c r="AA142" i="10"/>
  <c r="AA60" i="13" s="1"/>
  <c r="AD147" i="10"/>
  <c r="X147" i="10"/>
  <c r="Y147" i="10"/>
  <c r="AO6" i="13"/>
  <c r="AD57" i="13"/>
  <c r="AE67" i="1"/>
  <c r="AG147" i="10"/>
  <c r="AE141" i="10"/>
  <c r="AE59" i="13"/>
  <c r="AB141" i="10"/>
  <c r="AB59" i="13" s="1"/>
  <c r="AA139" i="10"/>
  <c r="AA57" i="13"/>
  <c r="AC141" i="10"/>
  <c r="AC59" i="13" s="1"/>
  <c r="AB139" i="10"/>
  <c r="AB57" i="13"/>
  <c r="AC139" i="10"/>
  <c r="AC57" i="13" s="1"/>
  <c r="AE139" i="10"/>
  <c r="AE57" i="13"/>
  <c r="AA141" i="10"/>
  <c r="AA59" i="13" s="1"/>
  <c r="G9" i="9"/>
  <c r="AW7" i="13"/>
  <c r="AW19" i="13"/>
  <c r="AR5" i="13"/>
  <c r="AM7" i="13"/>
  <c r="AM19" i="13"/>
  <c r="AU5" i="13"/>
  <c r="AP7" i="13"/>
  <c r="AP19" i="13"/>
  <c r="AR7" i="13"/>
  <c r="AR19" i="13"/>
  <c r="AN7" i="13"/>
  <c r="AN19" i="13"/>
  <c r="AQ7" i="13"/>
  <c r="AQ19" i="13"/>
  <c r="Z32" i="1"/>
  <c r="AC67" i="1"/>
  <c r="AG67" i="1"/>
  <c r="AD67" i="1"/>
  <c r="AB67" i="1"/>
  <c r="AA67" i="1"/>
  <c r="AF67" i="1"/>
  <c r="W67" i="1"/>
  <c r="V72" i="1"/>
  <c r="U9" i="1"/>
  <c r="U19" i="1" s="1"/>
  <c r="W56" i="13"/>
  <c r="AC32" i="1"/>
  <c r="Y9" i="9"/>
  <c r="W32" i="1"/>
  <c r="W62" i="13"/>
  <c r="AS65" i="11"/>
  <c r="W47" i="13"/>
  <c r="AA90" i="10"/>
  <c r="W58" i="13"/>
  <c r="W41" i="13"/>
  <c r="W48" i="13"/>
  <c r="W61" i="13"/>
  <c r="W51" i="13"/>
  <c r="W90" i="10"/>
  <c r="H9" i="9"/>
  <c r="W122" i="10"/>
  <c r="W49" i="13"/>
  <c r="AB90" i="10"/>
  <c r="Y32" i="1"/>
  <c r="BD33" i="11"/>
  <c r="BD65" i="11" s="1"/>
  <c r="O7" i="9"/>
  <c r="L9" i="9"/>
  <c r="U9" i="9"/>
  <c r="U15" i="9" s="1"/>
  <c r="AQ65" i="11"/>
  <c r="AB64" i="13"/>
  <c r="BL33" i="11"/>
  <c r="BL65" i="11" s="1"/>
  <c r="P9" i="9"/>
  <c r="AG32" i="1"/>
  <c r="J7" i="9"/>
  <c r="I9" i="9"/>
  <c r="AQ42" i="11"/>
  <c r="AE121" i="10"/>
  <c r="AE39" i="13" s="1"/>
  <c r="AC124" i="10"/>
  <c r="K9" i="9"/>
  <c r="M7" i="9"/>
  <c r="AC90" i="10"/>
  <c r="AT20" i="13"/>
  <c r="AT8" i="13"/>
  <c r="AR20" i="13"/>
  <c r="AR8" i="13"/>
  <c r="AM20" i="13"/>
  <c r="AM8" i="13"/>
  <c r="AG124" i="10"/>
  <c r="AU20" i="13"/>
  <c r="AU8" i="13"/>
  <c r="AQ8" i="13"/>
  <c r="AQ20" i="13"/>
  <c r="AV20" i="13"/>
  <c r="AV8" i="13"/>
  <c r="AP20" i="13"/>
  <c r="AP8" i="13"/>
  <c r="AN20" i="13"/>
  <c r="AN8" i="13"/>
  <c r="AB39" i="13"/>
  <c r="AA124" i="10"/>
  <c r="AW20" i="13"/>
  <c r="AW8" i="13"/>
  <c r="AO8" i="13"/>
  <c r="AO20" i="13"/>
  <c r="AS20" i="13"/>
  <c r="AS8" i="13"/>
  <c r="AP3" i="13"/>
  <c r="AP15" i="13"/>
  <c r="AT16" i="13"/>
  <c r="AT4" i="13"/>
  <c r="AL5" i="13"/>
  <c r="AT15" i="13"/>
  <c r="AT3" i="13"/>
  <c r="AU16" i="13"/>
  <c r="AU4" i="13"/>
  <c r="AP16" i="13"/>
  <c r="AP4" i="13"/>
  <c r="AM16" i="13"/>
  <c r="AM4" i="13"/>
  <c r="AN15" i="13"/>
  <c r="AN3" i="13"/>
  <c r="AN16" i="13"/>
  <c r="AN4" i="13"/>
  <c r="AM15" i="13"/>
  <c r="AM3" i="13"/>
  <c r="AQ4" i="13"/>
  <c r="AQ16" i="13"/>
  <c r="AR15" i="13"/>
  <c r="AR3" i="13"/>
  <c r="AL16" i="13"/>
  <c r="AL4" i="13"/>
  <c r="AO16" i="13"/>
  <c r="AO4" i="13"/>
  <c r="AW16" i="13"/>
  <c r="AW4" i="13"/>
  <c r="AR16" i="13"/>
  <c r="AR4" i="13"/>
  <c r="Z39" i="13"/>
  <c r="AV16" i="13"/>
  <c r="AV4" i="13"/>
  <c r="AS16" i="13"/>
  <c r="AS4" i="13"/>
  <c r="BM8" i="11"/>
  <c r="AC128" i="10"/>
  <c r="AC39" i="13"/>
  <c r="AC42" i="13" s="1"/>
  <c r="AB17" i="13" s="1"/>
  <c r="AS17" i="13" s="1"/>
  <c r="AA39" i="13"/>
  <c r="AC64" i="13"/>
  <c r="X46" i="13"/>
  <c r="W39" i="13"/>
  <c r="AF39" i="13"/>
  <c r="N9" i="9"/>
  <c r="N7" i="9"/>
  <c r="W147" i="10"/>
  <c r="X39" i="13"/>
  <c r="Y39" i="13"/>
  <c r="BM13" i="11"/>
  <c r="AE123" i="10"/>
  <c r="AG39" i="13"/>
  <c r="AG42" i="13" s="1"/>
  <c r="AF17" i="13" s="1"/>
  <c r="AW17" i="13" s="1"/>
  <c r="AD9" i="9"/>
  <c r="AD11" i="9" s="1"/>
  <c r="F9" i="9"/>
  <c r="BA42" i="11"/>
  <c r="BM42" i="11" s="1"/>
  <c r="AS42" i="11"/>
  <c r="AE90" i="10"/>
  <c r="AE128" i="10"/>
  <c r="AE32" i="1"/>
  <c r="AE129" i="10"/>
  <c r="Z143" i="13"/>
  <c r="Y61" i="13"/>
  <c r="AA136" i="13"/>
  <c r="Z144" i="13"/>
  <c r="Y62" i="13"/>
  <c r="AE146" i="13"/>
  <c r="AD64" i="13"/>
  <c r="Y128" i="13"/>
  <c r="Y46" i="13" s="1"/>
  <c r="Z129" i="13"/>
  <c r="Y47" i="13"/>
  <c r="Z140" i="13"/>
  <c r="Y58" i="13"/>
  <c r="Z130" i="13"/>
  <c r="Y48" i="13"/>
  <c r="AA135" i="13"/>
  <c r="Z53" i="13"/>
  <c r="Z133" i="13"/>
  <c r="Y51" i="13"/>
  <c r="Z131" i="13"/>
  <c r="Y49" i="13"/>
  <c r="AK9" i="11"/>
  <c r="AK13" i="11" s="1"/>
  <c r="AM9" i="11"/>
  <c r="AM13" i="11" s="1"/>
  <c r="AO9" i="11"/>
  <c r="AO14" i="11" s="1"/>
  <c r="AS9" i="11"/>
  <c r="AS14" i="11" s="1"/>
  <c r="AN9" i="11"/>
  <c r="AN16" i="11" s="1"/>
  <c r="AQ9" i="11"/>
  <c r="P161" i="20"/>
  <c r="P135" i="20"/>
  <c r="P134" i="20" s="1"/>
  <c r="O160" i="20"/>
  <c r="O136" i="20" s="1"/>
  <c r="Q157" i="20"/>
  <c r="BE116" i="20"/>
  <c r="M135" i="20"/>
  <c r="M134" i="20" s="1"/>
  <c r="M161" i="20"/>
  <c r="N134" i="20"/>
  <c r="O185" i="20"/>
  <c r="R129" i="20"/>
  <c r="O127" i="20"/>
  <c r="BA180" i="20"/>
  <c r="AZ185" i="20"/>
  <c r="P183" i="20" s="1"/>
  <c r="P185" i="20" s="1"/>
  <c r="M123" i="20"/>
  <c r="M186" i="20"/>
  <c r="N185" i="20"/>
  <c r="AA42" i="13" l="1"/>
  <c r="Z17" i="13" s="1"/>
  <c r="AQ17" i="13" s="1"/>
  <c r="AC7" i="11"/>
  <c r="L83" i="21"/>
  <c r="L3" i="11"/>
  <c r="L81" i="21" s="1"/>
  <c r="H2" i="33"/>
  <c r="H12" i="33" s="1"/>
  <c r="Z3" i="11"/>
  <c r="F83" i="21"/>
  <c r="F3" i="11"/>
  <c r="F7" i="11" s="1"/>
  <c r="F10" i="11" s="1"/>
  <c r="K83" i="21"/>
  <c r="K3" i="11"/>
  <c r="K9" i="11" s="1"/>
  <c r="N2" i="33"/>
  <c r="N12" i="33" s="1"/>
  <c r="AF3" i="11"/>
  <c r="G83" i="21"/>
  <c r="G3" i="11"/>
  <c r="G7" i="11" s="1"/>
  <c r="G10" i="11" s="1"/>
  <c r="F2" i="33"/>
  <c r="F12" i="33" s="1"/>
  <c r="X3" i="11"/>
  <c r="I83" i="21"/>
  <c r="I3" i="11"/>
  <c r="I9" i="11" s="1"/>
  <c r="M83" i="21"/>
  <c r="M3" i="11"/>
  <c r="M9" i="11" s="1"/>
  <c r="J2" i="33"/>
  <c r="J12" i="33" s="1"/>
  <c r="AB3" i="11"/>
  <c r="N83" i="21"/>
  <c r="N92" i="21" s="1"/>
  <c r="N3" i="11"/>
  <c r="N81" i="21" s="1"/>
  <c r="L2" i="33"/>
  <c r="L12" i="33" s="1"/>
  <c r="AD3" i="11"/>
  <c r="O83" i="21"/>
  <c r="O3" i="11"/>
  <c r="O9" i="11" s="1"/>
  <c r="J83" i="21"/>
  <c r="J3" i="11"/>
  <c r="J7" i="11" s="1"/>
  <c r="J10" i="11" s="1"/>
  <c r="AT19" i="13"/>
  <c r="AT7" i="13"/>
  <c r="AC19" i="1"/>
  <c r="AB19" i="1"/>
  <c r="AB7" i="11"/>
  <c r="AS19" i="13"/>
  <c r="AS7" i="13"/>
  <c r="Z40" i="13"/>
  <c r="Z42" i="13" s="1"/>
  <c r="Y17" i="13" s="1"/>
  <c r="AP17" i="13" s="1"/>
  <c r="AC15" i="9"/>
  <c r="AA11" i="9"/>
  <c r="AA12" i="9"/>
  <c r="H13" i="21"/>
  <c r="H12" i="21"/>
  <c r="AC18" i="9"/>
  <c r="AA15" i="9"/>
  <c r="AA14" i="9"/>
  <c r="AQ6" i="13"/>
  <c r="H5" i="33"/>
  <c r="H15" i="33" s="1"/>
  <c r="X7" i="11"/>
  <c r="F7" i="33"/>
  <c r="F16" i="33" s="1"/>
  <c r="AE14" i="1"/>
  <c r="M2" i="33"/>
  <c r="M12" i="33" s="1"/>
  <c r="AD7" i="11"/>
  <c r="L7" i="33"/>
  <c r="L16" i="33" s="1"/>
  <c r="AE7" i="11"/>
  <c r="M7" i="33"/>
  <c r="M16" i="33" s="1"/>
  <c r="Y6" i="11"/>
  <c r="G5" i="33"/>
  <c r="G15" i="33" s="1"/>
  <c r="AL16" i="11"/>
  <c r="AL14" i="11"/>
  <c r="H168" i="13"/>
  <c r="AU7" i="13"/>
  <c r="Q164" i="13"/>
  <c r="AV19" i="13"/>
  <c r="AE19" i="1"/>
  <c r="AC11" i="9"/>
  <c r="AC12" i="9"/>
  <c r="AC13" i="9"/>
  <c r="AA18" i="9"/>
  <c r="Y18" i="1"/>
  <c r="AV7" i="13"/>
  <c r="AP6" i="13"/>
  <c r="AD148" i="10"/>
  <c r="AD19" i="1"/>
  <c r="AU19" i="13"/>
  <c r="V18" i="9"/>
  <c r="V13" i="9"/>
  <c r="V15" i="9"/>
  <c r="Z147" i="10"/>
  <c r="Z148" i="10" s="1"/>
  <c r="V14" i="9"/>
  <c r="V12" i="9"/>
  <c r="AO19" i="13"/>
  <c r="AO7" i="13"/>
  <c r="AF147" i="10"/>
  <c r="Y42" i="13"/>
  <c r="X17" i="13" s="1"/>
  <c r="AO17" i="13" s="1"/>
  <c r="X19" i="1"/>
  <c r="Y124" i="10"/>
  <c r="Y148" i="10" s="1"/>
  <c r="Y114" i="10"/>
  <c r="Z114" i="10"/>
  <c r="AF124" i="10"/>
  <c r="AF42" i="13"/>
  <c r="AE17" i="13" s="1"/>
  <c r="AV17" i="13" s="1"/>
  <c r="AG114" i="10"/>
  <c r="AF114" i="10"/>
  <c r="AD114" i="10"/>
  <c r="X124" i="10"/>
  <c r="X148" i="10" s="1"/>
  <c r="X42" i="13"/>
  <c r="W17" i="13" s="1"/>
  <c r="AN17" i="13" s="1"/>
  <c r="X65" i="13"/>
  <c r="W18" i="13" s="1"/>
  <c r="AN18" i="13" s="1"/>
  <c r="AB124" i="10"/>
  <c r="AO15" i="13"/>
  <c r="X14" i="1"/>
  <c r="AE6" i="11"/>
  <c r="AE18" i="1"/>
  <c r="AC6" i="11"/>
  <c r="AC18" i="1"/>
  <c r="AB14" i="1"/>
  <c r="AB42" i="13"/>
  <c r="AA17" i="13" s="1"/>
  <c r="AR17" i="13" s="1"/>
  <c r="Z6" i="11"/>
  <c r="Z18" i="1"/>
  <c r="AD14" i="1"/>
  <c r="AB6" i="11"/>
  <c r="AB18" i="1"/>
  <c r="AA6" i="11"/>
  <c r="AA18" i="1"/>
  <c r="AD6" i="11"/>
  <c r="AD18" i="1"/>
  <c r="AF6" i="11"/>
  <c r="AF18" i="1"/>
  <c r="AQ15" i="13"/>
  <c r="Z14" i="1"/>
  <c r="AF14" i="1"/>
  <c r="X114" i="10"/>
  <c r="AS3" i="13"/>
  <c r="AS15" i="13"/>
  <c r="AT6" i="13"/>
  <c r="AV6" i="13"/>
  <c r="AW6" i="13"/>
  <c r="AV3" i="13"/>
  <c r="AP12" i="11"/>
  <c r="AP15" i="11"/>
  <c r="U11" i="9"/>
  <c r="U12" i="9"/>
  <c r="U13" i="9"/>
  <c r="AT16" i="11"/>
  <c r="X14" i="9"/>
  <c r="X13" i="9"/>
  <c r="X18" i="9"/>
  <c r="X12" i="9"/>
  <c r="X15" i="9"/>
  <c r="U18" i="9"/>
  <c r="AM14" i="11"/>
  <c r="AK12" i="11"/>
  <c r="AK15" i="11"/>
  <c r="AK16" i="11"/>
  <c r="AK11" i="11"/>
  <c r="AL11" i="11"/>
  <c r="AJ16" i="11"/>
  <c r="AJ14" i="11"/>
  <c r="AM11" i="11"/>
  <c r="AM16" i="11"/>
  <c r="AM15" i="11"/>
  <c r="AM12" i="11"/>
  <c r="AL12" i="11"/>
  <c r="AL15" i="11"/>
  <c r="AT15" i="11"/>
  <c r="AT12" i="11"/>
  <c r="Y15" i="9"/>
  <c r="Y13" i="9"/>
  <c r="Y18" i="9"/>
  <c r="Y12" i="9"/>
  <c r="Y14" i="9"/>
  <c r="AE15" i="9"/>
  <c r="AE18" i="9"/>
  <c r="AE14" i="9"/>
  <c r="AE12" i="9"/>
  <c r="AE13" i="9"/>
  <c r="AK14" i="11"/>
  <c r="AR14" i="11"/>
  <c r="AO16" i="11"/>
  <c r="AD14" i="9"/>
  <c r="AD12" i="9"/>
  <c r="AD15" i="9"/>
  <c r="AD18" i="9"/>
  <c r="AD13" i="9"/>
  <c r="U14" i="9"/>
  <c r="AN14" i="11"/>
  <c r="Y11" i="9"/>
  <c r="AL13" i="11"/>
  <c r="AB15" i="9"/>
  <c r="AB12" i="9"/>
  <c r="AB13" i="9"/>
  <c r="AB14" i="9"/>
  <c r="AB18" i="9"/>
  <c r="AP11" i="11"/>
  <c r="AP16" i="11"/>
  <c r="AO13" i="11"/>
  <c r="AN13" i="11"/>
  <c r="AT11" i="11"/>
  <c r="AQ11" i="11"/>
  <c r="AQ15" i="11"/>
  <c r="AQ16" i="11"/>
  <c r="AQ12" i="11"/>
  <c r="AP14" i="11"/>
  <c r="AR13" i="11"/>
  <c r="AS13" i="11"/>
  <c r="AN12" i="11"/>
  <c r="AN15" i="11"/>
  <c r="AN11" i="11"/>
  <c r="AQ13" i="11"/>
  <c r="AJ11" i="11"/>
  <c r="AP13" i="11"/>
  <c r="AR15" i="11"/>
  <c r="AR16" i="11"/>
  <c r="AR12" i="11"/>
  <c r="Z19" i="9"/>
  <c r="AS15" i="11"/>
  <c r="AS12" i="11"/>
  <c r="AS11" i="11"/>
  <c r="AS16" i="11"/>
  <c r="AO15" i="11"/>
  <c r="AO12" i="11"/>
  <c r="AO11" i="11"/>
  <c r="AT14" i="11"/>
  <c r="W14" i="9"/>
  <c r="W13" i="9"/>
  <c r="W15" i="9"/>
  <c r="W12" i="9"/>
  <c r="W11" i="9"/>
  <c r="AJ15" i="11"/>
  <c r="AJ12" i="11"/>
  <c r="AF15" i="9"/>
  <c r="AF14" i="9"/>
  <c r="AF13" i="9"/>
  <c r="AF18" i="9"/>
  <c r="AF12" i="9"/>
  <c r="AE11" i="9"/>
  <c r="AQ14" i="11"/>
  <c r="AM6" i="13"/>
  <c r="AU6" i="13"/>
  <c r="AS6" i="13"/>
  <c r="V6" i="11"/>
  <c r="AV15" i="13"/>
  <c r="AQ3" i="13"/>
  <c r="AO3" i="13"/>
  <c r="U7" i="11"/>
  <c r="AR6" i="13"/>
  <c r="W124" i="10"/>
  <c r="W148" i="10" s="1"/>
  <c r="W40" i="13"/>
  <c r="W42" i="13" s="1"/>
  <c r="V17" i="13" s="1"/>
  <c r="AM17" i="13" s="1"/>
  <c r="H10" i="9"/>
  <c r="P5" i="21"/>
  <c r="P14" i="21" s="1"/>
  <c r="AG148" i="10"/>
  <c r="I5" i="21"/>
  <c r="I14" i="21" s="1"/>
  <c r="L5" i="21"/>
  <c r="L14" i="21" s="1"/>
  <c r="K5" i="21"/>
  <c r="K13" i="21" s="1"/>
  <c r="L153" i="1"/>
  <c r="J153" i="1"/>
  <c r="K153" i="1"/>
  <c r="G153" i="1"/>
  <c r="I153" i="1"/>
  <c r="H153" i="1"/>
  <c r="M153" i="1"/>
  <c r="P7" i="11"/>
  <c r="P10" i="11" s="1"/>
  <c r="P81" i="21"/>
  <c r="J9" i="11"/>
  <c r="J81" i="21"/>
  <c r="H14" i="21"/>
  <c r="M10" i="9"/>
  <c r="M5" i="21"/>
  <c r="J10" i="9"/>
  <c r="J5" i="21"/>
  <c r="O10" i="9"/>
  <c r="O5" i="21"/>
  <c r="N10" i="9"/>
  <c r="N5" i="21"/>
  <c r="F10" i="9"/>
  <c r="F5" i="21"/>
  <c r="AA147" i="10"/>
  <c r="AA148" i="10" s="1"/>
  <c r="AB147" i="10"/>
  <c r="AB114" i="10"/>
  <c r="AL19" i="13"/>
  <c r="AL7" i="13"/>
  <c r="AA114" i="10"/>
  <c r="W65" i="13"/>
  <c r="V18" i="13" s="1"/>
  <c r="AM18" i="13" s="1"/>
  <c r="W114" i="10"/>
  <c r="P9" i="11"/>
  <c r="AW15" i="13"/>
  <c r="AW3" i="13"/>
  <c r="AE124" i="10"/>
  <c r="AU15" i="13"/>
  <c r="AU3" i="13"/>
  <c r="Y65" i="13"/>
  <c r="X18" i="13" s="1"/>
  <c r="AO18" i="13" s="1"/>
  <c r="AC147" i="10"/>
  <c r="AC148" i="10" s="1"/>
  <c r="AE41" i="13"/>
  <c r="AE42" i="13" s="1"/>
  <c r="AD17" i="13" s="1"/>
  <c r="AU17" i="13" s="1"/>
  <c r="AC114" i="10"/>
  <c r="AE147" i="10"/>
  <c r="AE114" i="10"/>
  <c r="AF146" i="13"/>
  <c r="AE64" i="13"/>
  <c r="AB136" i="13"/>
  <c r="AA54" i="13"/>
  <c r="AA131" i="13"/>
  <c r="Z49" i="13"/>
  <c r="AB135" i="13"/>
  <c r="AA53" i="13"/>
  <c r="AA140" i="13"/>
  <c r="Z58" i="13"/>
  <c r="AA133" i="13"/>
  <c r="Z51" i="13"/>
  <c r="AA130" i="13"/>
  <c r="Z48" i="13"/>
  <c r="AA129" i="13"/>
  <c r="Z128" i="13"/>
  <c r="Z46" i="13" s="1"/>
  <c r="Z47" i="13"/>
  <c r="AA144" i="13"/>
  <c r="Z62" i="13"/>
  <c r="AA143" i="13"/>
  <c r="Z61" i="13"/>
  <c r="O135" i="20"/>
  <c r="O134" i="20" s="1"/>
  <c r="R136" i="20"/>
  <c r="O161" i="20"/>
  <c r="Q160" i="20"/>
  <c r="Q136" i="20" s="1"/>
  <c r="R157" i="20"/>
  <c r="O123" i="20"/>
  <c r="R123" i="20" s="1"/>
  <c r="S123" i="20" s="1"/>
  <c r="O186" i="20"/>
  <c r="P123" i="20"/>
  <c r="P186" i="20"/>
  <c r="N186" i="20"/>
  <c r="BB180" i="20"/>
  <c r="BC180" i="20" s="1"/>
  <c r="BA185" i="20"/>
  <c r="Q183" i="20" s="1"/>
  <c r="R127" i="20"/>
  <c r="S127" i="20" s="1"/>
  <c r="S129" i="20"/>
  <c r="U129" i="20" s="1"/>
  <c r="M81" i="21" l="1"/>
  <c r="N89" i="21" s="1"/>
  <c r="L7" i="11"/>
  <c r="L10" i="11" s="1"/>
  <c r="O81" i="21"/>
  <c r="N91" i="21"/>
  <c r="F9" i="11"/>
  <c r="M7" i="11"/>
  <c r="M10" i="11" s="1"/>
  <c r="F81" i="21"/>
  <c r="K81" i="21"/>
  <c r="I81" i="21"/>
  <c r="K7" i="11"/>
  <c r="K10" i="11" s="1"/>
  <c r="I7" i="11"/>
  <c r="I10" i="11" s="1"/>
  <c r="L9" i="11"/>
  <c r="F92" i="21"/>
  <c r="N9" i="11"/>
  <c r="O7" i="11"/>
  <c r="O10" i="11" s="1"/>
  <c r="N7" i="11"/>
  <c r="N10" i="11" s="1"/>
  <c r="H83" i="21"/>
  <c r="I89" i="21" s="1"/>
  <c r="H3" i="11"/>
  <c r="G81" i="21"/>
  <c r="G9" i="11"/>
  <c r="AA19" i="9"/>
  <c r="Q168" i="13"/>
  <c r="AL17" i="11"/>
  <c r="AC19" i="9"/>
  <c r="AF148" i="10"/>
  <c r="V19" i="9"/>
  <c r="AB148" i="10"/>
  <c r="G11" i="21"/>
  <c r="AB19" i="9"/>
  <c r="AR17" i="11"/>
  <c r="AE19" i="9"/>
  <c r="AK17" i="11"/>
  <c r="AF19" i="9"/>
  <c r="AO17" i="11"/>
  <c r="AD19" i="9"/>
  <c r="AM17" i="11"/>
  <c r="Y19" i="9"/>
  <c r="AQ17" i="11"/>
  <c r="AT17" i="11"/>
  <c r="AP17" i="11"/>
  <c r="AJ17" i="11"/>
  <c r="AN17" i="11"/>
  <c r="AS17" i="11"/>
  <c r="W19" i="9"/>
  <c r="X19" i="9"/>
  <c r="P12" i="21"/>
  <c r="I11" i="21"/>
  <c r="I12" i="21"/>
  <c r="P13" i="21"/>
  <c r="I13" i="21"/>
  <c r="H11" i="21"/>
  <c r="G13" i="21"/>
  <c r="G14" i="21"/>
  <c r="K14" i="21"/>
  <c r="L12" i="21"/>
  <c r="L13" i="21"/>
  <c r="L11" i="21"/>
  <c r="N90" i="21"/>
  <c r="P11" i="21"/>
  <c r="I91" i="21"/>
  <c r="I92" i="21"/>
  <c r="K89" i="21"/>
  <c r="K90" i="21"/>
  <c r="K91" i="21"/>
  <c r="K92" i="21"/>
  <c r="G89" i="21"/>
  <c r="G91" i="21"/>
  <c r="G92" i="21"/>
  <c r="G90" i="21"/>
  <c r="J89" i="21"/>
  <c r="J90" i="21"/>
  <c r="J92" i="21"/>
  <c r="J91" i="21"/>
  <c r="F91" i="21"/>
  <c r="P92" i="21"/>
  <c r="P89" i="21"/>
  <c r="P91" i="21"/>
  <c r="P90" i="21"/>
  <c r="M90" i="21"/>
  <c r="M92" i="21"/>
  <c r="M91" i="21"/>
  <c r="M89" i="21"/>
  <c r="O89" i="21"/>
  <c r="O91" i="21"/>
  <c r="O92" i="21"/>
  <c r="O90" i="21"/>
  <c r="L92" i="21"/>
  <c r="L89" i="21"/>
  <c r="L90" i="21"/>
  <c r="L91" i="21"/>
  <c r="O13" i="21"/>
  <c r="O14" i="21"/>
  <c r="N14" i="21"/>
  <c r="O12" i="21"/>
  <c r="N13" i="21"/>
  <c r="O11" i="21"/>
  <c r="M13" i="21"/>
  <c r="M12" i="21"/>
  <c r="M11" i="21"/>
  <c r="M14" i="21"/>
  <c r="N12" i="21"/>
  <c r="N11" i="21"/>
  <c r="J13" i="21"/>
  <c r="K12" i="21"/>
  <c r="K11" i="21"/>
  <c r="J12" i="21"/>
  <c r="J14" i="21"/>
  <c r="J11" i="21"/>
  <c r="F14" i="21"/>
  <c r="F13" i="21"/>
  <c r="G12" i="21"/>
  <c r="U19" i="9"/>
  <c r="AE148" i="10"/>
  <c r="Z65" i="13"/>
  <c r="Y18" i="13" s="1"/>
  <c r="AP18" i="13" s="1"/>
  <c r="AB129" i="13"/>
  <c r="AA128" i="13"/>
  <c r="AA46" i="13" s="1"/>
  <c r="AA47" i="13"/>
  <c r="AB133" i="13"/>
  <c r="AA51" i="13"/>
  <c r="AC136" i="13"/>
  <c r="AB54" i="13"/>
  <c r="AC135" i="13"/>
  <c r="AB53" i="13"/>
  <c r="AB143" i="13"/>
  <c r="AA61" i="13"/>
  <c r="AB144" i="13"/>
  <c r="AA62" i="13"/>
  <c r="AB130" i="13"/>
  <c r="AA48" i="13"/>
  <c r="AB140" i="13"/>
  <c r="AA58" i="13"/>
  <c r="AB131" i="13"/>
  <c r="AA49" i="13"/>
  <c r="AG146" i="13"/>
  <c r="AG64" i="13" s="1"/>
  <c r="AF64" i="13"/>
  <c r="Q135" i="20"/>
  <c r="Q134" i="20" s="1"/>
  <c r="Q161" i="20"/>
  <c r="R135" i="20"/>
  <c r="S136" i="20"/>
  <c r="R160" i="20"/>
  <c r="R161" i="20" s="1"/>
  <c r="S157" i="20"/>
  <c r="Q185" i="20"/>
  <c r="R183" i="20"/>
  <c r="S183" i="20" s="1"/>
  <c r="H91" i="21" l="1"/>
  <c r="H89" i="21"/>
  <c r="H92" i="21"/>
  <c r="I90" i="21"/>
  <c r="H90" i="21"/>
  <c r="H9" i="11"/>
  <c r="H7" i="11"/>
  <c r="H10" i="11" s="1"/>
  <c r="H81" i="21"/>
  <c r="AA65" i="13"/>
  <c r="Z18" i="13" s="1"/>
  <c r="AQ18" i="13" s="1"/>
  <c r="AC144" i="13"/>
  <c r="AB62" i="13"/>
  <c r="AC133" i="13"/>
  <c r="AB51" i="13"/>
  <c r="AC131" i="13"/>
  <c r="AB49" i="13"/>
  <c r="AC130" i="13"/>
  <c r="AB48" i="13"/>
  <c r="AC143" i="13"/>
  <c r="AB61" i="13"/>
  <c r="AD136" i="13"/>
  <c r="AC54" i="13"/>
  <c r="AC140" i="13"/>
  <c r="AB58" i="13"/>
  <c r="AD135" i="13"/>
  <c r="AC53" i="13"/>
  <c r="AC129" i="13"/>
  <c r="AB128" i="13"/>
  <c r="AB46" i="13" s="1"/>
  <c r="AB47" i="13"/>
  <c r="R134" i="20"/>
  <c r="S135" i="20"/>
  <c r="S134" i="20" s="1"/>
  <c r="S160" i="20"/>
  <c r="S161" i="20" s="1"/>
  <c r="U159" i="20"/>
  <c r="Q123" i="20"/>
  <c r="Q186" i="20"/>
  <c r="R185" i="20"/>
  <c r="AB65" i="13" l="1"/>
  <c r="AA18" i="13" s="1"/>
  <c r="AR18" i="13" s="1"/>
  <c r="AD130" i="13"/>
  <c r="AC48" i="13"/>
  <c r="AD133" i="13"/>
  <c r="AC51" i="13"/>
  <c r="AE135" i="13"/>
  <c r="AD53" i="13"/>
  <c r="AE136" i="13"/>
  <c r="AD54" i="13"/>
  <c r="AD129" i="13"/>
  <c r="AC128" i="13"/>
  <c r="AC46" i="13" s="1"/>
  <c r="AC47" i="13"/>
  <c r="AD140" i="13"/>
  <c r="AC58" i="13"/>
  <c r="AD143" i="13"/>
  <c r="AC61" i="13"/>
  <c r="AD131" i="13"/>
  <c r="AC49" i="13"/>
  <c r="AD144" i="13"/>
  <c r="AC62" i="13"/>
  <c r="R186" i="20"/>
  <c r="S185" i="20"/>
  <c r="S186" i="20" s="1"/>
  <c r="AC65" i="13" l="1"/>
  <c r="AB18" i="13" s="1"/>
  <c r="AS18" i="13" s="1"/>
  <c r="AE140" i="13"/>
  <c r="AD58" i="13"/>
  <c r="AE133" i="13"/>
  <c r="AD51" i="13"/>
  <c r="AE131" i="13"/>
  <c r="AD49" i="13"/>
  <c r="AF136" i="13"/>
  <c r="AE54" i="13"/>
  <c r="AE144" i="13"/>
  <c r="AD62" i="13"/>
  <c r="AE143" i="13"/>
  <c r="AD61" i="13"/>
  <c r="AE129" i="13"/>
  <c r="AD128" i="13"/>
  <c r="AD46" i="13" s="1"/>
  <c r="AD47" i="13"/>
  <c r="AF135" i="13"/>
  <c r="AE53" i="13"/>
  <c r="AE130" i="13"/>
  <c r="AD48" i="13"/>
  <c r="E6" i="8"/>
  <c r="E4" i="8"/>
  <c r="E8" i="8" s="1"/>
  <c r="AD65" i="13" l="1"/>
  <c r="AC18" i="13" s="1"/>
  <c r="AT18" i="13" s="1"/>
  <c r="AG136" i="13"/>
  <c r="AG54" i="13" s="1"/>
  <c r="AF54" i="13"/>
  <c r="AF133" i="13"/>
  <c r="AE51" i="13"/>
  <c r="AF143" i="13"/>
  <c r="AE61" i="13"/>
  <c r="AG135" i="13"/>
  <c r="AG53" i="13" s="1"/>
  <c r="AF53" i="13"/>
  <c r="AF130" i="13"/>
  <c r="AE48" i="13"/>
  <c r="AF129" i="13"/>
  <c r="AE128" i="13"/>
  <c r="AE46" i="13" s="1"/>
  <c r="AE47" i="13"/>
  <c r="AF144" i="13"/>
  <c r="AE62" i="13"/>
  <c r="AF131" i="13"/>
  <c r="AE49" i="13"/>
  <c r="AF140" i="13"/>
  <c r="AE58" i="13"/>
  <c r="E26" i="13"/>
  <c r="E26" i="11" l="1"/>
  <c r="AJ26" i="11" s="1"/>
  <c r="AE65" i="13"/>
  <c r="AD18" i="13" s="1"/>
  <c r="AU18" i="13" s="1"/>
  <c r="AG133" i="13"/>
  <c r="AG51" i="13" s="1"/>
  <c r="AF51" i="13"/>
  <c r="AG131" i="13"/>
  <c r="AG49" i="13" s="1"/>
  <c r="AF49" i="13"/>
  <c r="AG140" i="13"/>
  <c r="AG58" i="13" s="1"/>
  <c r="AF58" i="13"/>
  <c r="AG144" i="13"/>
  <c r="AG62" i="13" s="1"/>
  <c r="AF62" i="13"/>
  <c r="AG129" i="13"/>
  <c r="AF128" i="13"/>
  <c r="AF46" i="13" s="1"/>
  <c r="AF47" i="13"/>
  <c r="AG130" i="13"/>
  <c r="AG48" i="13" s="1"/>
  <c r="AF48" i="13"/>
  <c r="AG143" i="13"/>
  <c r="AG61" i="13" s="1"/>
  <c r="AF61" i="13"/>
  <c r="E139" i="13"/>
  <c r="E138" i="13"/>
  <c r="E138" i="11" s="1"/>
  <c r="E86" i="11"/>
  <c r="E80" i="11"/>
  <c r="E79" i="11"/>
  <c r="E28" i="13"/>
  <c r="Q84" i="11"/>
  <c r="E66" i="13"/>
  <c r="E91" i="11"/>
  <c r="E27" i="13"/>
  <c r="E27" i="11" s="1"/>
  <c r="E77" i="11"/>
  <c r="E89" i="11"/>
  <c r="E73" i="11"/>
  <c r="E78" i="11"/>
  <c r="E45" i="13"/>
  <c r="E136" i="13"/>
  <c r="E34" i="13"/>
  <c r="E48" i="13"/>
  <c r="E39" i="13"/>
  <c r="E30" i="13"/>
  <c r="E92" i="11"/>
  <c r="E59" i="13"/>
  <c r="E38" i="13"/>
  <c r="E53" i="13"/>
  <c r="E85" i="11"/>
  <c r="E82" i="11"/>
  <c r="E83" i="11"/>
  <c r="E41" i="13"/>
  <c r="E93" i="11"/>
  <c r="E43" i="13"/>
  <c r="E75" i="11"/>
  <c r="E88" i="11"/>
  <c r="E90" i="11"/>
  <c r="E56" i="13"/>
  <c r="E47" i="13"/>
  <c r="E64" i="13"/>
  <c r="E44" i="13"/>
  <c r="E54" i="13"/>
  <c r="E55" i="13"/>
  <c r="E57" i="13"/>
  <c r="E42" i="13"/>
  <c r="E40" i="13"/>
  <c r="E65" i="13"/>
  <c r="E33" i="13"/>
  <c r="E32" i="13"/>
  <c r="E145" i="13"/>
  <c r="E135" i="13"/>
  <c r="D133" i="11" s="1"/>
  <c r="E147" i="13"/>
  <c r="E58" i="13"/>
  <c r="E137" i="13"/>
  <c r="E29" i="13"/>
  <c r="E63" i="13"/>
  <c r="E87" i="11"/>
  <c r="E31" i="13"/>
  <c r="E46" i="13"/>
  <c r="E49" i="11" l="1"/>
  <c r="AJ36" i="11" s="1"/>
  <c r="AV36" i="11" s="1"/>
  <c r="E41" i="11"/>
  <c r="Q41" i="11" s="1"/>
  <c r="E28" i="11"/>
  <c r="Q28" i="11" s="1"/>
  <c r="E56" i="11"/>
  <c r="Q56" i="11" s="1"/>
  <c r="E43" i="11"/>
  <c r="Q43" i="11" s="1"/>
  <c r="E32" i="11"/>
  <c r="Q32" i="11" s="1"/>
  <c r="E59" i="11"/>
  <c r="E45" i="11"/>
  <c r="Q45" i="11" s="1"/>
  <c r="E136" i="11"/>
  <c r="Q136" i="11" s="1"/>
  <c r="D134" i="11"/>
  <c r="Q26" i="11"/>
  <c r="E135" i="11"/>
  <c r="E142" i="11" s="1"/>
  <c r="Q142" i="11" s="1"/>
  <c r="E144" i="13"/>
  <c r="E69" i="13"/>
  <c r="E71" i="11" s="1"/>
  <c r="E52" i="13"/>
  <c r="E145" i="11"/>
  <c r="E148" i="13"/>
  <c r="D148" i="11" s="1"/>
  <c r="E37" i="13"/>
  <c r="E30" i="11"/>
  <c r="E46" i="11"/>
  <c r="Q46" i="11" s="1"/>
  <c r="E29" i="11"/>
  <c r="E147" i="11"/>
  <c r="Q147" i="11" s="1"/>
  <c r="E33" i="11"/>
  <c r="Q33" i="11" s="1"/>
  <c r="E57" i="11"/>
  <c r="Q57" i="11" s="1"/>
  <c r="E44" i="11"/>
  <c r="Q44" i="11" s="1"/>
  <c r="E39" i="11"/>
  <c r="E63" i="11"/>
  <c r="Q63" i="11" s="1"/>
  <c r="E65" i="11"/>
  <c r="Q65" i="11" s="1"/>
  <c r="E48" i="11"/>
  <c r="Q48" i="11" s="1"/>
  <c r="E66" i="11"/>
  <c r="Q66" i="11" s="1"/>
  <c r="E42" i="11"/>
  <c r="Q42" i="11" s="1"/>
  <c r="E54" i="11"/>
  <c r="Q54" i="11" s="1"/>
  <c r="E60" i="11"/>
  <c r="E31" i="11"/>
  <c r="Q31" i="11" s="1"/>
  <c r="E61" i="11"/>
  <c r="Q61" i="11" s="1"/>
  <c r="E64" i="11"/>
  <c r="Q64" i="11" s="1"/>
  <c r="E58" i="11"/>
  <c r="Q58" i="11" s="1"/>
  <c r="E40" i="11"/>
  <c r="Q40" i="11" s="1"/>
  <c r="E55" i="11"/>
  <c r="E47" i="11"/>
  <c r="E34" i="11"/>
  <c r="E62" i="11"/>
  <c r="Q62" i="11" s="1"/>
  <c r="E137" i="11"/>
  <c r="E139" i="11"/>
  <c r="Q139" i="11" s="1"/>
  <c r="E140" i="11"/>
  <c r="Q140" i="11" s="1"/>
  <c r="E72" i="11"/>
  <c r="Q72" i="11" s="1"/>
  <c r="AM44" i="13"/>
  <c r="BA10" i="11" s="1"/>
  <c r="E76" i="11"/>
  <c r="Q76" i="11" s="1"/>
  <c r="AM45" i="13"/>
  <c r="BA11" i="11" s="1"/>
  <c r="E74" i="11"/>
  <c r="AJ45" i="11" s="1"/>
  <c r="AV45" i="11" s="1"/>
  <c r="AF65" i="13"/>
  <c r="AE18" i="13" s="1"/>
  <c r="AV18" i="13" s="1"/>
  <c r="AG128" i="13"/>
  <c r="AG46" i="13" s="1"/>
  <c r="AG47" i="13"/>
  <c r="AJ58" i="11"/>
  <c r="AV58" i="11" s="1"/>
  <c r="AJ56" i="11"/>
  <c r="AV56" i="11" s="1"/>
  <c r="AJ50" i="11"/>
  <c r="AV50" i="11" s="1"/>
  <c r="AJ54" i="11"/>
  <c r="AV54" i="11" s="1"/>
  <c r="AJ61" i="11"/>
  <c r="AV61" i="11" s="1"/>
  <c r="AJ63" i="11"/>
  <c r="AV63" i="11" s="1"/>
  <c r="Q88" i="11"/>
  <c r="AJ55" i="11"/>
  <c r="AV55" i="11" s="1"/>
  <c r="AJ46" i="11"/>
  <c r="AV46" i="11" s="1"/>
  <c r="AJ51" i="11"/>
  <c r="AV51" i="11" s="1"/>
  <c r="AJ62" i="11"/>
  <c r="AV62" i="11" s="1"/>
  <c r="Q75" i="11"/>
  <c r="AJ59" i="11"/>
  <c r="AV59" i="11" s="1"/>
  <c r="Q89" i="11"/>
  <c r="AJ52" i="11"/>
  <c r="AV52" i="11" s="1"/>
  <c r="AJ49" i="11"/>
  <c r="AV49" i="11" s="1"/>
  <c r="AJ53" i="11"/>
  <c r="AV53" i="11" s="1"/>
  <c r="Q138" i="11"/>
  <c r="Q27" i="11"/>
  <c r="AJ27" i="11"/>
  <c r="AV27" i="11" s="1"/>
  <c r="AV26" i="11"/>
  <c r="E51" i="13"/>
  <c r="E51" i="11" s="1"/>
  <c r="Q51" i="11" s="1"/>
  <c r="E67" i="13"/>
  <c r="E50" i="13"/>
  <c r="E50" i="11" s="1"/>
  <c r="Q50" i="11" s="1"/>
  <c r="E36" i="13"/>
  <c r="E142" i="13"/>
  <c r="E35" i="13"/>
  <c r="E68" i="13"/>
  <c r="E143" i="13"/>
  <c r="E141" i="11" s="1"/>
  <c r="Q49" i="11" l="1"/>
  <c r="E38" i="11"/>
  <c r="Q38" i="11" s="1"/>
  <c r="D145" i="11"/>
  <c r="D52" i="11"/>
  <c r="D69" i="11"/>
  <c r="E70" i="11"/>
  <c r="E53" i="11"/>
  <c r="E67" i="11" s="1"/>
  <c r="Q67" i="11" s="1"/>
  <c r="E143" i="11"/>
  <c r="Q143" i="11" s="1"/>
  <c r="Q135" i="11"/>
  <c r="D147" i="11"/>
  <c r="D146" i="11"/>
  <c r="E146" i="11"/>
  <c r="Q146" i="11" s="1"/>
  <c r="AJ67" i="11"/>
  <c r="AV67" i="11" s="1"/>
  <c r="D144" i="11"/>
  <c r="Q145" i="11"/>
  <c r="E52" i="11"/>
  <c r="AI4" i="11" s="1"/>
  <c r="E36" i="11"/>
  <c r="Q36" i="11" s="1"/>
  <c r="E35" i="11"/>
  <c r="Q35" i="11" s="1"/>
  <c r="D37" i="11"/>
  <c r="AJ68" i="11"/>
  <c r="AV68" i="11" s="1"/>
  <c r="AJ34" i="11"/>
  <c r="AV34" i="11" s="1"/>
  <c r="AJ28" i="11"/>
  <c r="AV28" i="11" s="1"/>
  <c r="AJ35" i="11"/>
  <c r="AV35" i="11" s="1"/>
  <c r="E68" i="11"/>
  <c r="Q68" i="11" s="1"/>
  <c r="Q39" i="11"/>
  <c r="Q60" i="11"/>
  <c r="Q47" i="11"/>
  <c r="AJ47" i="11"/>
  <c r="AV47" i="11" s="1"/>
  <c r="E37" i="11"/>
  <c r="AJ33" i="11"/>
  <c r="AV33" i="11" s="1"/>
  <c r="AJ29" i="11"/>
  <c r="AV29" i="11" s="1"/>
  <c r="Q34" i="11"/>
  <c r="Q55" i="11"/>
  <c r="Q29" i="11"/>
  <c r="Q30" i="11"/>
  <c r="AJ69" i="11"/>
  <c r="AV69" i="11" s="1"/>
  <c r="E144" i="11"/>
  <c r="AI7" i="11" s="1"/>
  <c r="Q137" i="11"/>
  <c r="BM11" i="11"/>
  <c r="BM10" i="11"/>
  <c r="AJ40" i="11"/>
  <c r="AV40" i="11" s="1"/>
  <c r="Q80" i="11"/>
  <c r="Q71" i="11"/>
  <c r="Q77" i="11"/>
  <c r="Q90" i="11"/>
  <c r="Q91" i="11"/>
  <c r="Q87" i="11"/>
  <c r="AG65" i="13"/>
  <c r="AF18" i="13" s="1"/>
  <c r="AW18" i="13" s="1"/>
  <c r="AJ48" i="11"/>
  <c r="AV48" i="11" s="1"/>
  <c r="AJ57" i="11"/>
  <c r="AV57" i="11" s="1"/>
  <c r="Q74" i="11"/>
  <c r="AJ64" i="11"/>
  <c r="AV64" i="11" s="1"/>
  <c r="Q73" i="11"/>
  <c r="Q78" i="11"/>
  <c r="Q92" i="11"/>
  <c r="Q93" i="11"/>
  <c r="AJ41" i="11"/>
  <c r="AV41" i="11" s="1"/>
  <c r="Q83" i="11"/>
  <c r="Q82" i="11"/>
  <c r="Q79" i="11"/>
  <c r="Q86" i="11"/>
  <c r="Q85" i="11"/>
  <c r="Q59" i="11"/>
  <c r="AJ32" i="11" l="1"/>
  <c r="AV32" i="11" s="1"/>
  <c r="AJ44" i="11"/>
  <c r="AV44" i="11" s="1"/>
  <c r="AJ39" i="11"/>
  <c r="AV39" i="11" s="1"/>
  <c r="Q70" i="11"/>
  <c r="E69" i="11"/>
  <c r="AI5" i="11" s="1"/>
  <c r="Q53" i="11"/>
  <c r="E148" i="11"/>
  <c r="AJ72" i="11"/>
  <c r="AV72" i="11" s="1"/>
  <c r="Q52" i="11"/>
  <c r="AI3" i="11"/>
  <c r="Q37" i="11"/>
  <c r="Q144" i="11"/>
  <c r="AJ30" i="11"/>
  <c r="AV30" i="11" s="1"/>
  <c r="AJ70" i="11"/>
  <c r="AV70" i="11" s="1"/>
  <c r="AJ42" i="11" l="1"/>
  <c r="AV42" i="11" s="1"/>
  <c r="AJ37" i="11"/>
  <c r="AV37" i="11" s="1"/>
  <c r="Q69" i="11"/>
  <c r="AI8" i="11"/>
  <c r="Q148" i="11"/>
  <c r="V80" i="9" l="1"/>
  <c r="AH80" i="9" s="1"/>
  <c r="AH76" i="9"/>
  <c r="Q110" i="9"/>
  <c r="Q117" i="9" l="1"/>
  <c r="Q152" i="9" s="1"/>
  <c r="E117" i="1"/>
  <c r="V82" i="1" s="1"/>
  <c r="E86" i="21" l="1"/>
  <c r="F86" i="21" s="1"/>
  <c r="G86" i="21" s="1"/>
  <c r="H86" i="21" s="1"/>
  <c r="I86" i="21" s="1"/>
  <c r="J86" i="21" s="1"/>
  <c r="K86" i="21" s="1"/>
  <c r="L86" i="21" s="1"/>
  <c r="M86" i="21" s="1"/>
  <c r="N86" i="21" s="1"/>
  <c r="O86" i="21" s="1"/>
  <c r="P86" i="21" s="1"/>
  <c r="E87" i="21"/>
  <c r="F87" i="21" s="1"/>
  <c r="G87" i="21" s="1"/>
  <c r="H87" i="21" s="1"/>
  <c r="I87" i="21" s="1"/>
  <c r="J87" i="21" s="1"/>
  <c r="K87" i="21" s="1"/>
  <c r="L87" i="21" s="1"/>
  <c r="M87" i="21" s="1"/>
  <c r="N87" i="21" s="1"/>
  <c r="O87" i="21" s="1"/>
  <c r="P87" i="21" s="1"/>
  <c r="E90" i="21"/>
  <c r="F89" i="21"/>
  <c r="F90" i="21"/>
  <c r="E9" i="9"/>
  <c r="Q9" i="9" s="1"/>
  <c r="E7" i="9"/>
  <c r="E5" i="21" s="1"/>
  <c r="F11" i="21" s="1"/>
  <c r="B2" i="30"/>
  <c r="D2" i="30" s="1"/>
  <c r="B82" i="29"/>
  <c r="E14" i="21" l="1"/>
  <c r="E13" i="21"/>
  <c r="E12" i="21"/>
  <c r="E11" i="21"/>
  <c r="E9" i="21"/>
  <c r="F9" i="21" s="1"/>
  <c r="G9" i="21" s="1"/>
  <c r="H9" i="21" s="1"/>
  <c r="I9" i="21" s="1"/>
  <c r="J9" i="21" s="1"/>
  <c r="K9" i="21" s="1"/>
  <c r="L9" i="21" s="1"/>
  <c r="M9" i="21" s="1"/>
  <c r="N9" i="21" s="1"/>
  <c r="O9" i="21" s="1"/>
  <c r="P9" i="21" s="1"/>
  <c r="Q9" i="21" s="1"/>
  <c r="E8" i="21"/>
  <c r="F8" i="21" s="1"/>
  <c r="G8" i="21" s="1"/>
  <c r="H8" i="21" s="1"/>
  <c r="I8" i="21" s="1"/>
  <c r="J8" i="21" s="1"/>
  <c r="K8" i="21" s="1"/>
  <c r="L8" i="21" s="1"/>
  <c r="M8" i="21" s="1"/>
  <c r="N8" i="21" s="1"/>
  <c r="O8" i="21" s="1"/>
  <c r="P8" i="21" s="1"/>
  <c r="Q8" i="21" s="1"/>
  <c r="F12" i="21"/>
  <c r="Q7" i="9"/>
  <c r="E10" i="9"/>
  <c r="Q10" i="9" s="1"/>
  <c r="U10" i="1" l="1"/>
  <c r="U8" i="11" l="1"/>
  <c r="U20" i="1"/>
  <c r="AL8" i="13"/>
  <c r="AL20" i="13"/>
  <c r="E24" i="22" l="1"/>
  <c r="E25" i="22" s="1"/>
  <c r="E28" i="22" s="1"/>
  <c r="B25" i="22"/>
  <c r="B28" i="22" s="1"/>
  <c r="B45" i="22" l="1"/>
  <c r="E29" i="22"/>
  <c r="E36" i="22" s="1"/>
  <c r="E40" i="22" s="1"/>
  <c r="E43" i="22" s="1"/>
  <c r="E62" i="22" s="1"/>
  <c r="E45" i="22"/>
  <c r="Y25" i="22"/>
  <c r="B29" i="22"/>
  <c r="B36" i="22" s="1"/>
  <c r="B44" i="22"/>
  <c r="E44" i="22" s="1"/>
  <c r="R44" i="22" s="1"/>
  <c r="B40" i="22" l="1"/>
  <c r="B43" i="22" s="1"/>
  <c r="B81" i="22" l="1"/>
  <c r="B83" i="22" s="1"/>
  <c r="E83" i="22" s="1"/>
  <c r="R83" i="22" s="1"/>
  <c r="E12" i="19"/>
  <c r="Q12" i="19" s="1"/>
  <c r="B62" i="22"/>
  <c r="E84" i="21" l="1"/>
  <c r="E92" i="21" s="1"/>
  <c r="E81" i="22"/>
  <c r="R81" i="22" s="1"/>
  <c r="E91" i="21" l="1"/>
  <c r="E85" i="21"/>
  <c r="F85" i="21" s="1"/>
  <c r="G85" i="21" s="1"/>
  <c r="H85" i="21" s="1"/>
  <c r="I85" i="21" s="1"/>
  <c r="J85" i="21" s="1"/>
  <c r="K85" i="21" s="1"/>
  <c r="L85" i="21" s="1"/>
  <c r="M85" i="21" s="1"/>
  <c r="N85" i="21" s="1"/>
  <c r="O85" i="21" s="1"/>
  <c r="P85" i="21" s="1"/>
  <c r="Q87" i="21" s="1"/>
  <c r="Q86" i="21" l="1"/>
  <c r="E89" i="21" l="1"/>
  <c r="V52" i="13"/>
  <c r="V61" i="13"/>
  <c r="V62" i="13"/>
  <c r="E95" i="1"/>
  <c r="U8" i="1" s="1"/>
  <c r="AL51" i="10"/>
  <c r="E22" i="10"/>
  <c r="Q22" i="10" s="1"/>
  <c r="Q94" i="10"/>
  <c r="E94" i="13"/>
  <c r="E94" i="11" s="1"/>
  <c r="AJ60" i="11" s="1"/>
  <c r="AJ65" i="11" s="1"/>
  <c r="AV65" i="11" s="1"/>
  <c r="AL45" i="10"/>
  <c r="V60" i="10"/>
  <c r="AM60" i="13" s="1"/>
  <c r="BA28" i="11" s="1"/>
  <c r="BM28" i="11" s="1"/>
  <c r="V65" i="10" l="1"/>
  <c r="BA55" i="11" s="1"/>
  <c r="BM55" i="11" s="1"/>
  <c r="V60" i="13"/>
  <c r="V67" i="1"/>
  <c r="C23" i="32"/>
  <c r="Q94" i="11"/>
  <c r="E95" i="11"/>
  <c r="BA33" i="11"/>
  <c r="AL44" i="10"/>
  <c r="AM65" i="13"/>
  <c r="Q95" i="10"/>
  <c r="Q152" i="10" s="1"/>
  <c r="C4" i="31"/>
  <c r="E24" i="10"/>
  <c r="Q24" i="10" s="1"/>
  <c r="AL48" i="10"/>
  <c r="AL46" i="10"/>
  <c r="AL41" i="10"/>
  <c r="AL49" i="10"/>
  <c r="AL39" i="10"/>
  <c r="U12" i="10"/>
  <c r="AL43" i="10"/>
  <c r="AL47" i="10"/>
  <c r="AL40" i="10"/>
  <c r="C20" i="32"/>
  <c r="AV60" i="11"/>
  <c r="E95" i="13"/>
  <c r="AL50" i="10"/>
  <c r="E152" i="10"/>
  <c r="C7" i="31"/>
  <c r="AH60" i="10"/>
  <c r="BA47" i="11" l="1"/>
  <c r="BM47" i="11" s="1"/>
  <c r="V98" i="10"/>
  <c r="AH98" i="10" s="1"/>
  <c r="V88" i="10"/>
  <c r="AH88" i="10" s="1"/>
  <c r="BA58" i="11"/>
  <c r="BM58" i="11" s="1"/>
  <c r="V97" i="10"/>
  <c r="V131" i="10" s="1"/>
  <c r="AH131" i="10" s="1"/>
  <c r="BA64" i="11"/>
  <c r="BM64" i="11" s="1"/>
  <c r="BA48" i="11"/>
  <c r="BM48" i="11" s="1"/>
  <c r="V101" i="10"/>
  <c r="V135" i="10" s="1"/>
  <c r="AH135" i="10" s="1"/>
  <c r="V103" i="10"/>
  <c r="AH103" i="10" s="1"/>
  <c r="BA60" i="11"/>
  <c r="BM60" i="11" s="1"/>
  <c r="V94" i="10"/>
  <c r="BA62" i="11"/>
  <c r="BM62" i="11" s="1"/>
  <c r="V112" i="10"/>
  <c r="V106" i="10"/>
  <c r="V140" i="10" s="1"/>
  <c r="AH140" i="10" s="1"/>
  <c r="V87" i="10"/>
  <c r="V121" i="10" s="1"/>
  <c r="V39" i="13" s="1"/>
  <c r="BA50" i="11"/>
  <c r="BM50" i="11" s="1"/>
  <c r="V104" i="10"/>
  <c r="AH104" i="10" s="1"/>
  <c r="V107" i="10"/>
  <c r="AH107" i="10" s="1"/>
  <c r="V100" i="10"/>
  <c r="V134" i="10" s="1"/>
  <c r="AH134" i="10" s="1"/>
  <c r="V99" i="10"/>
  <c r="V133" i="10" s="1"/>
  <c r="AH133" i="10" s="1"/>
  <c r="V96" i="10"/>
  <c r="V130" i="10" s="1"/>
  <c r="AH130" i="10" s="1"/>
  <c r="V89" i="10"/>
  <c r="V123" i="10" s="1"/>
  <c r="AH123" i="10" s="1"/>
  <c r="AH65" i="10"/>
  <c r="BA53" i="11"/>
  <c r="BM53" i="11" s="1"/>
  <c r="BA49" i="11"/>
  <c r="BM49" i="11" s="1"/>
  <c r="V110" i="10"/>
  <c r="V111" i="10"/>
  <c r="V145" i="10" s="1"/>
  <c r="AH145" i="10" s="1"/>
  <c r="V95" i="10"/>
  <c r="AH95" i="10" s="1"/>
  <c r="BA51" i="11"/>
  <c r="BM51" i="11" s="1"/>
  <c r="V108" i="10"/>
  <c r="V142" i="10" s="1"/>
  <c r="AH142" i="10" s="1"/>
  <c r="BA61" i="11"/>
  <c r="BM61" i="11" s="1"/>
  <c r="BA63" i="11"/>
  <c r="BM63" i="11" s="1"/>
  <c r="BA52" i="11"/>
  <c r="BM52" i="11" s="1"/>
  <c r="V102" i="10"/>
  <c r="AH102" i="10" s="1"/>
  <c r="BA45" i="11"/>
  <c r="BM45" i="11" s="1"/>
  <c r="BA56" i="11"/>
  <c r="BM56" i="11" s="1"/>
  <c r="BA46" i="11"/>
  <c r="BM46" i="11" s="1"/>
  <c r="BA44" i="11"/>
  <c r="BM44" i="11" s="1"/>
  <c r="BA54" i="11"/>
  <c r="BM54" i="11" s="1"/>
  <c r="V109" i="10"/>
  <c r="V143" i="10" s="1"/>
  <c r="AH143" i="10" s="1"/>
  <c r="V105" i="10"/>
  <c r="V139" i="10" s="1"/>
  <c r="AH139" i="10" s="1"/>
  <c r="BA57" i="11"/>
  <c r="BM57" i="11" s="1"/>
  <c r="BA59" i="11"/>
  <c r="BM59" i="11" s="1"/>
  <c r="AH100" i="10"/>
  <c r="V132" i="10"/>
  <c r="AH132" i="10" s="1"/>
  <c r="U6" i="13"/>
  <c r="AG6" i="13" s="1"/>
  <c r="C2" i="31"/>
  <c r="C5" i="31" s="1"/>
  <c r="AH87" i="10"/>
  <c r="D95" i="11"/>
  <c r="E152" i="13"/>
  <c r="E153" i="13" s="1"/>
  <c r="U15" i="10"/>
  <c r="U19" i="10" s="1"/>
  <c r="AG19" i="10" s="1"/>
  <c r="Q154" i="10"/>
  <c r="Q153" i="10"/>
  <c r="AI6" i="11"/>
  <c r="Q95" i="11"/>
  <c r="AL52" i="10"/>
  <c r="BA65" i="11"/>
  <c r="BM65" i="11" s="1"/>
  <c r="BM33" i="11"/>
  <c r="AH106" i="10"/>
  <c r="AH110" i="10"/>
  <c r="V144" i="10"/>
  <c r="AH144" i="10" s="1"/>
  <c r="E154" i="10"/>
  <c r="E152" i="1"/>
  <c r="F153" i="10"/>
  <c r="E153" i="10"/>
  <c r="U18" i="1"/>
  <c r="U6" i="11" l="1"/>
  <c r="AH97" i="10"/>
  <c r="AH99" i="10"/>
  <c r="AH111" i="10"/>
  <c r="AH101" i="10"/>
  <c r="V122" i="10"/>
  <c r="AH122" i="10" s="1"/>
  <c r="AH105" i="10"/>
  <c r="V137" i="10"/>
  <c r="AH137" i="10" s="1"/>
  <c r="V129" i="10"/>
  <c r="AH129" i="10" s="1"/>
  <c r="V141" i="10"/>
  <c r="AH141" i="10" s="1"/>
  <c r="AH89" i="10"/>
  <c r="AH96" i="10"/>
  <c r="AH108" i="10"/>
  <c r="V138" i="10"/>
  <c r="AH138" i="10" s="1"/>
  <c r="AH109" i="10"/>
  <c r="V113" i="10"/>
  <c r="AH113" i="10" s="1"/>
  <c r="V136" i="10"/>
  <c r="AH136" i="10" s="1"/>
  <c r="V51" i="13"/>
  <c r="AH112" i="10"/>
  <c r="V146" i="10"/>
  <c r="AH146" i="10" s="1"/>
  <c r="V90" i="10"/>
  <c r="AH90" i="10" s="1"/>
  <c r="AH94" i="10"/>
  <c r="V128" i="10"/>
  <c r="V46" i="13" s="1"/>
  <c r="AL6" i="13"/>
  <c r="V48" i="13"/>
  <c r="V49" i="13"/>
  <c r="U20" i="10"/>
  <c r="AG20" i="10" s="1"/>
  <c r="C2" i="30"/>
  <c r="E2" i="30" s="1"/>
  <c r="E9" i="11"/>
  <c r="Q9" i="11" s="1"/>
  <c r="Q3" i="11"/>
  <c r="E81" i="21"/>
  <c r="E7" i="11"/>
  <c r="E152" i="11"/>
  <c r="AI9" i="11"/>
  <c r="AI14" i="11" s="1"/>
  <c r="AH121" i="10"/>
  <c r="E17" i="18"/>
  <c r="E16" i="18" s="1"/>
  <c r="F153" i="1"/>
  <c r="E154" i="1"/>
  <c r="E153" i="1"/>
  <c r="E156" i="13"/>
  <c r="E155" i="13"/>
  <c r="V40" i="13" l="1"/>
  <c r="V42" i="13" s="1"/>
  <c r="U17" i="13" s="1"/>
  <c r="AL17" i="13" s="1"/>
  <c r="V124" i="10"/>
  <c r="V47" i="13"/>
  <c r="V56" i="13"/>
  <c r="V114" i="10"/>
  <c r="AH114" i="10" s="1"/>
  <c r="AH128" i="10"/>
  <c r="V54" i="13"/>
  <c r="V65" i="13" s="1"/>
  <c r="U18" i="13" s="1"/>
  <c r="AL18" i="13" s="1"/>
  <c r="V147" i="10"/>
  <c r="AH147" i="10" s="1"/>
  <c r="AI11" i="11"/>
  <c r="AI16" i="11"/>
  <c r="AI15" i="11"/>
  <c r="AI12" i="11"/>
  <c r="AI13" i="11"/>
  <c r="E10" i="11"/>
  <c r="Q10" i="11" s="1"/>
  <c r="Q7" i="11"/>
  <c r="AH124" i="10"/>
  <c r="V148" i="10" l="1"/>
  <c r="AH148" i="10" s="1"/>
  <c r="AI17" i="11"/>
  <c r="P31" i="18" l="1"/>
  <c r="O31" i="18"/>
  <c r="N31" i="18"/>
  <c r="O35" i="18" l="1"/>
  <c r="O34" i="18"/>
  <c r="Q31" i="18"/>
  <c r="N34" i="18"/>
  <c r="N35" i="18"/>
  <c r="P34" i="18"/>
  <c r="P35" i="18"/>
  <c r="Q34" i="18" l="1"/>
  <c r="AF9" i="18"/>
  <c r="AF15" i="18" s="1"/>
  <c r="AF24" i="18"/>
  <c r="AF27" i="18"/>
  <c r="P20" i="18"/>
  <c r="AF26" i="18"/>
  <c r="AF25" i="18"/>
  <c r="AD27" i="18"/>
  <c r="AD25" i="18"/>
  <c r="AD9" i="18"/>
  <c r="AD15" i="18" s="1"/>
  <c r="AD26" i="18"/>
  <c r="Q35" i="18"/>
  <c r="N20" i="18"/>
  <c r="AD24" i="18"/>
  <c r="AE27" i="18"/>
  <c r="AE26" i="18"/>
  <c r="AE25" i="18"/>
  <c r="AE24" i="18"/>
  <c r="AE9" i="18"/>
  <c r="AE15" i="18" s="1"/>
  <c r="O20" i="18"/>
  <c r="N154" i="10" l="1"/>
  <c r="N152" i="1" s="1"/>
  <c r="N162" i="17"/>
  <c r="P154" i="10"/>
  <c r="P152" i="1" s="1"/>
  <c r="P162" i="17"/>
  <c r="AF28" i="18"/>
  <c r="O154" i="10"/>
  <c r="O152" i="1" s="1"/>
  <c r="O162" i="17"/>
  <c r="AE28" i="18"/>
  <c r="AD28" i="18"/>
  <c r="P153" i="1" l="1"/>
  <c r="P154" i="1"/>
  <c r="O154" i="1"/>
  <c r="O153" i="1"/>
  <c r="N154" i="1"/>
  <c r="N153" i="1"/>
  <c r="Q134" i="10" l="1"/>
  <c r="Q128" i="11"/>
  <c r="Q132" i="10"/>
  <c r="Q130" i="11"/>
  <c r="Q129" i="9"/>
  <c r="Q133" i="9"/>
  <c r="Q126" i="11"/>
  <c r="Q133" i="11"/>
  <c r="Q134" i="9"/>
  <c r="Q125" i="9"/>
  <c r="Q127" i="10"/>
  <c r="Q125" i="10"/>
  <c r="Q132" i="11"/>
  <c r="Q125" i="11"/>
  <c r="Q133" i="10"/>
  <c r="Q127" i="9"/>
  <c r="Q134" i="11"/>
  <c r="Q128" i="9"/>
  <c r="Q129" i="11"/>
  <c r="Q126" i="9"/>
  <c r="E18" i="10"/>
  <c r="E18" i="10" a="1"/>
  <c r="Q128" i="10"/>
  <c r="Q129" i="10"/>
  <c r="Q132" i="9"/>
  <c r="Q130" i="9"/>
  <c r="Q127" i="11"/>
  <c r="Q130" i="10"/>
  <c r="Q12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TUNYA KETJUNTIWA</author>
  </authors>
  <commentList>
    <comment ref="B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Aug'20 จาก วผก./TBU
</t>
        </r>
      </text>
    </comment>
    <comment ref="I4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Invoice ลง SCG</t>
        </r>
      </text>
    </comment>
    <comment ref="I47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Invoice ลง SCG</t>
        </r>
      </text>
    </comment>
    <comment ref="D49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เช็คตัวเลข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Aug'20 จาก วผก./TBU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TUNYA KETJUNTIWA</author>
  </authors>
  <commentList>
    <comment ref="T10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รวม C3 Truck OR
</t>
        </r>
      </text>
    </comment>
    <comment ref="B1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ข้อมูลจากไฟล์พี่ตูน Column B/1000</t>
        </r>
      </text>
    </comment>
    <comment ref="T1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รวม C3 Truck
</t>
        </r>
      </text>
    </comment>
    <comment ref="T13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รวม NGL KHM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TUNYA KETJUNTIWA</author>
  </authors>
  <commentList>
    <comment ref="D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รวม Refinery และ Import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MATUROT NETMARUEKEE</author>
    <author>Windows User</author>
    <author>TUNYA KETJUNTIWA</author>
  </authors>
  <commentList>
    <comment ref="B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MATUROT NETMARUEKEE:</t>
        </r>
        <r>
          <rPr>
            <sz val="9"/>
            <color indexed="81"/>
            <rFont val="Tahoma"/>
            <family val="2"/>
          </rPr>
          <t xml:space="preserve">
ข้อมูลจาก น้องออม กผ</t>
        </r>
      </text>
    </comment>
    <comment ref="B17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เช็คจากข้อมูลพี่การ์ตูน (B12)
External LPG Sourses
chalida ต้นทุน cost import
</t>
        </r>
      </text>
    </comment>
    <comment ref="E17" authorId="2" shapeId="0" xr:uid="{00000000-0006-0000-0700-000003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เริ่มเก็บข้อมูล 2021</t>
        </r>
      </text>
    </comment>
    <comment ref="B20" authorId="1" shapeId="0" xr:uid="{00000000-0006-0000-07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เช็คจากข้อมูลพี่การ์ตูน (C12)
External LPG Sourses</t>
        </r>
      </text>
    </comment>
    <comment ref="B21" authorId="1" shapeId="0" xr:uid="{00000000-0006-0000-07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เช็คจากข้อมูลพี่การ์ตูน (E)
External LPG Sourses
chalida : เอา / volume/ fx กบน ซึ่งทาง smart price จะไปเช็คก่อนว่ามีการคำนวณให้หรือยัง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Quantumuser</author>
  </authors>
  <commentList>
    <comment ref="C32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ไฟล์ Calc Magin2021 Tab Volume (KT)  (C50)</t>
        </r>
      </text>
    </comment>
    <comment ref="C33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ไฟล์ Calc Magin2021 
Tab Volume (KT) (C51)</t>
        </r>
      </text>
    </comment>
    <comment ref="D110" authorId="1" shapeId="0" xr:uid="{00000000-0006-0000-0E00-000003000000}">
      <text>
        <r>
          <rPr>
            <b/>
            <sz val="9"/>
            <color indexed="81"/>
            <rFont val="Tahoma"/>
            <family val="2"/>
          </rPr>
          <t xml:space="preserve">Quantumuser:
เปลี่ยนราคาขาย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7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Aug'20 จาก วผก./TBU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TUNYA KETJUNTIWA</author>
    <author>500027</author>
    <author>NATTIRA SUWANNASEWOG</author>
  </authors>
  <commentList>
    <comment ref="B18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โครงสร้างใหม่ 83 MB</t>
        </r>
      </text>
    </comment>
    <comment ref="B19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ของจริงน้อยกว่า 270 MB</t>
        </r>
      </text>
    </comment>
    <comment ref="AA23" authorId="1" shapeId="0" xr:uid="{00000000-0006-0000-1300-000003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คาดว่า พรบกองทุนน้ำมันจะผ่านใน เม.ย. 60  แต่พี่งามให้เผื่อไปเลยทั้งปี 1000 ล้าน
จะเผื่อยอดของค่าดำเนินการของราชภัฎสวนดุสิต กับ SMS AIS</t>
        </r>
      </text>
    </comment>
    <comment ref="U24" authorId="1" shapeId="0" xr:uid="{00000000-0006-0000-1300-000004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เผื่อค่า LPG ผู้มีรายได้น้อยตามยอดปีที่แล้วไปก่อน  ทางงบประมาณยังไม่ได้ตั้ง
(ช่วยเหลือ LPG 400 ซึ่งมีการตั้งงบไว้แล้ว 30 MB)
530062: Delete ออก เพราะรวมอยู่ในงบประมาณแล้ว (22/07/2020)</t>
        </r>
      </text>
    </comment>
    <comment ref="B25" authorId="0" shapeId="0" xr:uid="{00000000-0006-0000-1300-000005000000}">
      <text>
        <r>
          <rPr>
            <b/>
            <sz val="9"/>
            <color indexed="81"/>
            <rFont val="Tahoma"/>
            <family val="2"/>
          </rPr>
          <t>TUNYA KETJUNTIWA:</t>
        </r>
        <r>
          <rPr>
            <sz val="9"/>
            <color indexed="81"/>
            <rFont val="Tahoma"/>
            <family val="2"/>
          </rPr>
          <t xml:space="preserve">
Actual Jan 21 : 6,684</t>
        </r>
      </text>
    </comment>
    <comment ref="G31" authorId="2" shapeId="0" xr:uid="{00000000-0006-0000-1300-000006000000}">
      <text>
        <r>
          <rPr>
            <b/>
            <sz val="9"/>
            <color indexed="81"/>
            <rFont val="Tahoma"/>
            <family val="2"/>
          </rPr>
          <t>NATTIRA SUWANNASEWOG:</t>
        </r>
        <r>
          <rPr>
            <sz val="9"/>
            <color indexed="81"/>
            <rFont val="Tahoma"/>
            <family val="2"/>
          </rPr>
          <t xml:space="preserve">
เริ่มรับโอน MT BRP Life</t>
        </r>
      </text>
    </comment>
    <comment ref="O31" authorId="2" shapeId="0" xr:uid="{00000000-0006-0000-1300-000007000000}">
      <text>
        <r>
          <rPr>
            <b/>
            <sz val="9"/>
            <color indexed="81"/>
            <rFont val="Tahoma"/>
            <family val="2"/>
          </rPr>
          <t>NATTIRA SUWANNASEWOG:</t>
        </r>
        <r>
          <rPr>
            <sz val="9"/>
            <color indexed="81"/>
            <rFont val="Tahoma"/>
            <family val="2"/>
          </rPr>
          <t xml:space="preserve">
เริ่มรับโอน MT BRP Life</t>
        </r>
      </text>
    </comment>
    <comment ref="G37" authorId="2" shapeId="0" xr:uid="{00000000-0006-0000-1300-000008000000}">
      <text>
        <r>
          <rPr>
            <b/>
            <sz val="9"/>
            <color indexed="81"/>
            <rFont val="Tahoma"/>
            <family val="2"/>
          </rPr>
          <t>NATTIRA SUWANNASEWOG:</t>
        </r>
        <r>
          <rPr>
            <sz val="9"/>
            <color indexed="81"/>
            <rFont val="Tahoma"/>
            <family val="2"/>
          </rPr>
          <t xml:space="preserve">
เริ่มรับโอน MT BRP Life</t>
        </r>
      </text>
    </comment>
    <comment ref="O37" authorId="2" shapeId="0" xr:uid="{00000000-0006-0000-1300-000009000000}">
      <text>
        <r>
          <rPr>
            <b/>
            <sz val="9"/>
            <color indexed="81"/>
            <rFont val="Tahoma"/>
            <family val="2"/>
          </rPr>
          <t>NATTIRA SUWANNASEWOG:</t>
        </r>
        <r>
          <rPr>
            <sz val="9"/>
            <color indexed="81"/>
            <rFont val="Tahoma"/>
            <family val="2"/>
          </rPr>
          <t xml:space="preserve">
เริ่มรับโอน MT BRP Life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500027</author>
    <author>340060</author>
    <author>TARATORN SIRIWIWAT</author>
    <author>PICHANEE TASSANASATIEN</author>
    <author>MARNUSSANUNTH VARITVARANONT</author>
  </authors>
  <commentList>
    <comment ref="B7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ปรับเป็น SPRC แทน GSP4 ขาย</t>
        </r>
      </text>
    </comment>
    <comment ref="B12" authorId="1" shapeId="0" xr:uid="{00000000-0006-0000-1400-000002000000}">
      <text>
        <r>
          <rPr>
            <b/>
            <sz val="8"/>
            <color indexed="81"/>
            <rFont val="Tahoma"/>
            <family val="2"/>
          </rPr>
          <t>GSP4 จะ Export NGL ไม่มีขายให้ Domestic</t>
        </r>
      </text>
    </comment>
    <comment ref="B28" authorId="2" shapeId="0" xr:uid="{00000000-0006-0000-1400-000003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นำเข้ามาให้ OR ขายในราคาต้นทุน</t>
        </r>
      </text>
    </comment>
    <comment ref="AM29" authorId="3" shapeId="0" xr:uid="{00000000-0006-0000-1400-000004000000}">
      <text>
        <r>
          <rPr>
            <b/>
            <sz val="9"/>
            <color indexed="81"/>
            <rFont val="Tahoma"/>
            <family val="2"/>
          </rPr>
          <t>PICHANEE TASSANASATIEN:</t>
        </r>
        <r>
          <rPr>
            <sz val="9"/>
            <color indexed="81"/>
            <rFont val="Tahoma"/>
            <family val="2"/>
          </rPr>
          <t xml:space="preserve">
ปรับสูตรราคาไปใช้ราคาใหม่ SCG</t>
        </r>
      </text>
    </comment>
    <comment ref="B30" authorId="0" shapeId="0" xr:uid="{00000000-0006-0000-1400-000005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รับรู้แค่ ต้นทุน Pool ลบค่คลัง</t>
        </r>
      </text>
    </comment>
    <comment ref="B31" authorId="1" shapeId="0" xr:uid="{00000000-0006-0000-1400-000006000000}">
      <text>
        <r>
          <rPr>
            <b/>
            <sz val="8"/>
            <color indexed="81"/>
            <rFont val="Tahoma"/>
            <family val="2"/>
          </rPr>
          <t>รับรู้แค่ LPG Pool ที่ขายกับ ธกน.  
แต่จะต้องบันทึกกำไรตามต้นทุน GSP ที่ลบค่าคลัง
ส่วนต่างคือบรรทัดนี้  ถ้าเป็น + คือราคา Pool สูงกว่า LPG ex GSP ทำให้ต้องได้ชดเชย</t>
        </r>
      </text>
    </comment>
    <comment ref="B51" authorId="3" shapeId="0" xr:uid="{00000000-0006-0000-1400-000007000000}">
      <text>
        <r>
          <rPr>
            <b/>
            <sz val="9"/>
            <color indexed="81"/>
            <rFont val="Tahoma"/>
            <family val="2"/>
          </rPr>
          <t>PICHANEE TASSANASATIEN:</t>
        </r>
        <r>
          <rPr>
            <sz val="9"/>
            <color indexed="81"/>
            <rFont val="Tahoma"/>
            <family val="2"/>
          </rPr>
          <t xml:space="preserve">
เพิ่มในปี 2020 แต่ volume เริ่มมีในปี 2021
</t>
        </r>
      </text>
    </comment>
    <comment ref="B66" authorId="3" shapeId="0" xr:uid="{00000000-0006-0000-1400-000008000000}">
      <text>
        <r>
          <rPr>
            <b/>
            <sz val="9"/>
            <color indexed="81"/>
            <rFont val="Tahoma"/>
            <family val="2"/>
          </rPr>
          <t>PICHANEE TASSANASATIEN:</t>
        </r>
        <r>
          <rPr>
            <sz val="9"/>
            <color indexed="81"/>
            <rFont val="Tahoma"/>
            <family val="2"/>
          </rPr>
          <t xml:space="preserve">
เพิ่มในปี 2020 แต่ volume เริ่มมีในปี 2021
</t>
        </r>
      </text>
    </comment>
    <comment ref="B99" authorId="2" shapeId="0" xr:uid="{00000000-0006-0000-1400-000009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ตอนทำ Forecast ให้คิดว่าได้แค่ส่วนต่างตามสูตร 377 บาท/ตัน จึงสมมติให้เท่ากับราคาขาย OR - ส่วนต่าง</t>
        </r>
      </text>
    </comment>
    <comment ref="B100" authorId="2" shapeId="0" xr:uid="{00000000-0006-0000-1400-00000A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แก้ตั้งแต่ปี 62 ให้เป็น Import เพื่อปิโตรเคมี</t>
        </r>
      </text>
    </comment>
    <comment ref="C121" authorId="3" shapeId="0" xr:uid="{00000000-0006-0000-1400-00000B000000}">
      <text>
        <r>
          <rPr>
            <b/>
            <sz val="9"/>
            <color indexed="81"/>
            <rFont val="Tahoma"/>
            <family val="2"/>
          </rPr>
          <t>PICHANEE TASSANASATIEN:
ค่าเฉลี่ย actual 8m 2020</t>
        </r>
      </text>
    </comment>
    <comment ref="B123" authorId="1" shapeId="0" xr:uid="{00000000-0006-0000-1400-00000C000000}">
      <text>
        <r>
          <rPr>
            <b/>
            <sz val="8"/>
            <color indexed="81"/>
            <rFont val="Tahoma"/>
            <family val="2"/>
          </rPr>
          <t>GBU รับรู้ รายได้แค่ LPG Pool ที่ขายกับ ธกน.  
แต่จะต้องบันทึกกำไรตามต้นทุน GSP ที่ลบค่าคลัง
ส่วนต่างคือบรรทัดนี้  ถ้าราคา Pool สูงกว่า LPG ex GSP จะเกิดกรณี
1. รายได้กับ ธกน. คิดตาม Pool
2. ต้นทุนขายต้องเพิ่ม และถือเป็นเงินรอจ่ายคืนรัฐ</t>
        </r>
      </text>
    </comment>
    <comment ref="V127" authorId="1" shapeId="0" xr:uid="{00000000-0006-0000-1400-00000D000000}">
      <text>
        <r>
          <rPr>
            <b/>
            <sz val="8"/>
            <color indexed="81"/>
            <rFont val="Tahoma"/>
            <family val="2"/>
          </rPr>
          <t>ปรับ
ค่าก๊าซใช้เองออก
ESP (มค.-พค.) 
GSP6 (มค.-มิย.) 
ค่าก๊าซฯ ~(2289.899*5/12)+(2017.284*6/12)</t>
        </r>
      </text>
    </comment>
    <comment ref="V147" authorId="3" shapeId="0" xr:uid="{00000000-0006-0000-1400-00000E000000}">
      <text>
        <r>
          <rPr>
            <b/>
            <sz val="9"/>
            <color indexed="81"/>
            <rFont val="Tahoma"/>
            <family val="2"/>
          </rPr>
          <t xml:space="preserve">PICHANEE TASSANASATIEN:
Adjust ให้เท่ากับปีที่แล้วไว้ก่อน รอข้อมูลจริง
</t>
        </r>
      </text>
    </comment>
    <comment ref="C152" authorId="3" shapeId="0" xr:uid="{00000000-0006-0000-1400-00000F000000}">
      <text>
        <r>
          <rPr>
            <b/>
            <sz val="9"/>
            <color indexed="81"/>
            <rFont val="Tahoma"/>
            <family val="2"/>
          </rPr>
          <t>PICHANEE TASSANASATIEN:</t>
        </r>
        <r>
          <rPr>
            <sz val="9"/>
            <color indexed="81"/>
            <rFont val="Tahoma"/>
            <family val="2"/>
          </rPr>
          <t xml:space="preserve">
บวกกลับ Reimburse 20M</t>
        </r>
      </text>
    </comment>
    <comment ref="C153" authorId="3" shapeId="0" xr:uid="{00000000-0006-0000-1400-000010000000}">
      <text>
        <r>
          <rPr>
            <b/>
            <sz val="9"/>
            <color indexed="81"/>
            <rFont val="Tahoma"/>
            <family val="2"/>
          </rPr>
          <t>PICHANEE TASSANASATIEN:</t>
        </r>
        <r>
          <rPr>
            <sz val="9"/>
            <color indexed="81"/>
            <rFont val="Tahoma"/>
            <family val="2"/>
          </rPr>
          <t xml:space="preserve"> ปรับตาม eplanning 8/12/20</t>
        </r>
      </text>
    </comment>
    <comment ref="V157" authorId="0" shapeId="0" xr:uid="{00000000-0006-0000-1400-000011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งบประมาณ draft1 ยังไม่ตั้งงบช่วยเหลือ LPG แต่เวลาดูผลประกอบการจะเผื่อค่าใช้จ่ายเบื้องตนอยู่ 400 ล้านบาท</t>
        </r>
      </text>
    </comment>
    <comment ref="AL176" authorId="4" shapeId="0" xr:uid="{00000000-0006-0000-1400-000012000000}">
      <text>
        <r>
          <rPr>
            <b/>
            <sz val="9"/>
            <color indexed="81"/>
            <rFont val="Tahoma"/>
            <family val="2"/>
          </rPr>
          <t>MARNUSSANUNTH VARITVARANONT:</t>
        </r>
        <r>
          <rPr>
            <sz val="9"/>
            <color indexed="81"/>
            <rFont val="Tahoma"/>
            <family val="2"/>
          </rPr>
          <t xml:space="preserve">
เริ่มใช้อัตรานี้ตั้งแต่วันที่ 24 มีนาคม 63</t>
        </r>
      </text>
    </comment>
    <comment ref="AM180" authorId="2" shapeId="0" xr:uid="{00000000-0006-0000-1400-000013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1 = ลอยตัวเสรีตาม กบง.</t>
        </r>
      </text>
    </comment>
    <comment ref="B185" authorId="0" shapeId="0" xr:uid="{00000000-0006-0000-1400-000014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ถ้าค่านี้เป็น + แปลว่าขายได้มากกว่าต้นทุน สุดท้ายก็ได้แค่ต้นทุน 
ทางบัญชีจะต้องไปเพิ่มให้ต้นทุนเท่านี้แหละ</t>
        </r>
      </text>
    </comment>
    <comment ref="C185" authorId="2" shapeId="0" xr:uid="{00000000-0006-0000-1400-000015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D185" authorId="2" shapeId="0" xr:uid="{00000000-0006-0000-1400-000016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E185" authorId="2" shapeId="0" xr:uid="{00000000-0006-0000-1400-000017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G185" authorId="2" shapeId="0" xr:uid="{00000000-0006-0000-1400-000018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H185" authorId="2" shapeId="0" xr:uid="{00000000-0006-0000-1400-000019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I185" authorId="2" shapeId="0" xr:uid="{00000000-0006-0000-1400-00001A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K185" authorId="2" shapeId="0" xr:uid="{00000000-0006-0000-1400-00001B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L185" authorId="2" shapeId="0" xr:uid="{00000000-0006-0000-1400-00001C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M185" authorId="2" shapeId="0" xr:uid="{00000000-0006-0000-1400-00001D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O185" authorId="2" shapeId="0" xr:uid="{00000000-0006-0000-1400-00001E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P185" authorId="2" shapeId="0" xr:uid="{00000000-0006-0000-1400-00001F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Q185" authorId="2" shapeId="0" xr:uid="{00000000-0006-0000-1400-000020000000}">
      <text>
        <r>
          <rPr>
            <b/>
            <sz val="9"/>
            <color indexed="81"/>
            <rFont val="Tahoma"/>
            <family val="2"/>
          </rPr>
          <t>TARATORN SIRIWIWAT:</t>
        </r>
        <r>
          <rPr>
            <sz val="9"/>
            <color indexed="81"/>
            <rFont val="Tahoma"/>
            <family val="2"/>
          </rPr>
          <t xml:space="preserve">
ตั้งแต่ Apr ใช้ Vol กองทุน 2 และภาษีกองทุนที่จ่ายเข้ามาคำนวณด้วย</t>
        </r>
      </text>
    </comment>
    <comment ref="AM186" authorId="0" shapeId="0" xr:uid="{00000000-0006-0000-1400-000021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ตั้งแต่ 10 ม.ค. - 6 ก.พ.  ใช้อัตรานี้</t>
        </r>
      </text>
    </comment>
    <comment ref="AN186" authorId="0" shapeId="0" xr:uid="{00000000-0006-0000-1400-000022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ตั้งแต่ 7 ก.พ. - 7 มี.ค. ใช้อัตรานี้</t>
        </r>
      </text>
    </comment>
    <comment ref="AO186" authorId="0" shapeId="0" xr:uid="{00000000-0006-0000-1400-000023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ตั้งแต่ 8 มี.ค. - 3 เม.ย. ใช้อัตรานี้</t>
        </r>
      </text>
    </comment>
    <comment ref="AQ186" authorId="0" shapeId="0" xr:uid="{00000000-0006-0000-1400-000024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ตั้งแต่ 4 เม.ย. - 1 พ.ค. ใช้อัตรานี้</t>
        </r>
      </text>
    </comment>
    <comment ref="AR186" authorId="0" shapeId="0" xr:uid="{00000000-0006-0000-1400-000025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ตั้งแต่ 2 พ.ค. - 7 มิ.ย. ใช้อัตรานี้</t>
        </r>
      </text>
    </comment>
    <comment ref="AS186" authorId="0" shapeId="0" xr:uid="{00000000-0006-0000-1400-000026000000}">
      <text>
        <r>
          <rPr>
            <b/>
            <sz val="9"/>
            <color indexed="81"/>
            <rFont val="Tahoma"/>
            <family val="2"/>
          </rPr>
          <t>500027:</t>
        </r>
        <r>
          <rPr>
            <sz val="9"/>
            <color indexed="81"/>
            <rFont val="Tahoma"/>
            <family val="2"/>
          </rPr>
          <t xml:space="preserve">
ตั้งแต่ 2 พ.ค. - 8 มิ.ย. ใช้อัตรานี้</t>
        </r>
      </text>
    </comment>
    <comment ref="A191" authorId="1" shapeId="0" xr:uid="{00000000-0006-0000-1400-000027000000}">
      <text>
        <r>
          <rPr>
            <b/>
            <sz val="8"/>
            <color indexed="81"/>
            <rFont val="Tahoma"/>
            <family val="2"/>
          </rPr>
          <t>340060:</t>
        </r>
        <r>
          <rPr>
            <sz val="8"/>
            <color indexed="81"/>
            <rFont val="Tahoma"/>
            <family val="2"/>
          </rPr>
          <t xml:space="preserve">
เริ่มขาย 16Apr15 ผ่าน ธกน.
Vol 200 Ton/เดือน
ราคา CP+120
ใช้ทำสเปรย์อัดในขวดยาฆ่าแมลง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<sst xmlns="http://schemas.openxmlformats.org/spreadsheetml/2006/main" count="5176" uniqueCount="755">
  <si>
    <t>Product</t>
  </si>
  <si>
    <t>Unit</t>
  </si>
  <si>
    <t>Crude Dubai</t>
  </si>
  <si>
    <t>$/BBL</t>
  </si>
  <si>
    <t>Naphtha :MOPJ</t>
  </si>
  <si>
    <t>$/Ton</t>
  </si>
  <si>
    <t>Naphtha :MOPS</t>
  </si>
  <si>
    <t>CP Platts</t>
  </si>
  <si>
    <r>
      <t>LPG CP</t>
    </r>
    <r>
      <rPr>
        <sz val="11"/>
        <color rgb="FFFF0000"/>
        <rFont val="Tahoma"/>
        <family val="2"/>
      </rPr>
      <t xml:space="preserve"> </t>
    </r>
  </si>
  <si>
    <r>
      <t>C3 CP</t>
    </r>
    <r>
      <rPr>
        <sz val="11"/>
        <color rgb="FFFF0000"/>
        <rFont val="Tahoma"/>
        <family val="2"/>
      </rPr>
      <t xml:space="preserve"> </t>
    </r>
  </si>
  <si>
    <t>C4 CP</t>
  </si>
  <si>
    <t>HDPE : CFR SEA</t>
  </si>
  <si>
    <t>LDPE : CFR SEA</t>
  </si>
  <si>
    <t>LLDPE : CFR SEA</t>
  </si>
  <si>
    <t>PP : CFR SEA</t>
  </si>
  <si>
    <t>Propylene</t>
  </si>
  <si>
    <t>Baltic Rate*</t>
  </si>
  <si>
    <t>Freight (X)</t>
  </si>
  <si>
    <t>GSP Cost กบน.</t>
  </si>
  <si>
    <t>FX</t>
  </si>
  <si>
    <t>$/Baht</t>
  </si>
  <si>
    <t>C2</t>
  </si>
  <si>
    <t>Company</t>
  </si>
  <si>
    <t>Source</t>
  </si>
  <si>
    <t>Fx</t>
  </si>
  <si>
    <t>GSP RY</t>
  </si>
  <si>
    <t>C2 - GC I4</t>
  </si>
  <si>
    <t>C2 - GC PE</t>
  </si>
  <si>
    <t>C2 (Additional Volume &gt;274 T/Hr) : 
Additional - GC PE</t>
  </si>
  <si>
    <t>C2 SPOT : 
Treated by ETU - GC PE</t>
  </si>
  <si>
    <t>C2 Hybrid : 
Supplement - GC PE</t>
  </si>
  <si>
    <t>C2 - MOC</t>
  </si>
  <si>
    <t>C2 substitued C3 - MOC</t>
  </si>
  <si>
    <t>C2 substitued C3 - MOC (Import)</t>
  </si>
  <si>
    <t>Import</t>
  </si>
  <si>
    <t>GC Sum/Weighted</t>
  </si>
  <si>
    <t>SCG Sum/Weighted</t>
  </si>
  <si>
    <t>Sum/Weighted Average</t>
  </si>
  <si>
    <t>Propane</t>
  </si>
  <si>
    <t>C3 - GC I1</t>
  </si>
  <si>
    <t>C3 - GC I1 (SPOT)</t>
  </si>
  <si>
    <t>C3 - GC I1 (Import)</t>
  </si>
  <si>
    <t>C3 - HMC</t>
  </si>
  <si>
    <t>C3 - HMC (Import)</t>
  </si>
  <si>
    <t>C3 - PTTAC</t>
  </si>
  <si>
    <t>C3 - PTTAC (Import)</t>
  </si>
  <si>
    <t>C3 Tier 1 : 0 - 48 KT - MOC</t>
  </si>
  <si>
    <t>C3  Tier 1 : 0 - 48 KT - MOC (Import)</t>
  </si>
  <si>
    <t xml:space="preserve">C3 Tier 2 : 48.001 - 400 KT - MOC </t>
  </si>
  <si>
    <t>C3 Tier 2 : 48.001 - 400 KT - MOC (Import)</t>
  </si>
  <si>
    <t>LPG</t>
  </si>
  <si>
    <t>LPG - GC I1</t>
  </si>
  <si>
    <t>LPG - GC I1 (SPOT)</t>
  </si>
  <si>
    <t>LPG - GC I1 (Import)</t>
  </si>
  <si>
    <t>LPG - GC I4</t>
  </si>
  <si>
    <t>LPG - GC I4 (SPOT)</t>
  </si>
  <si>
    <t>LPG - GC I4 (Import)</t>
  </si>
  <si>
    <t>LPG 48 - 240 KT - ROC</t>
  </si>
  <si>
    <t>Additional LPG Tier 1 : 1 - 384 KT - ROC</t>
  </si>
  <si>
    <t>Additional LPG Tier 2 : 384.001 - 720 KT - ROC</t>
  </si>
  <si>
    <t>LPG SPOT : Max 400 KT (Import) - ROC</t>
  </si>
  <si>
    <t>LPG : 48 - 240 KT - MOC</t>
  </si>
  <si>
    <t>Additional LPG Tier 1 : 1 - 384 KT - MOC</t>
  </si>
  <si>
    <t>Additional LPG Tier 2 : 384.001 - 720 KT - MOC</t>
  </si>
  <si>
    <t>LPG SPOT : Max 400 KT - MOC</t>
  </si>
  <si>
    <t xml:space="preserve">Domestic </t>
  </si>
  <si>
    <t>Refinery</t>
  </si>
  <si>
    <t>Volume Import</t>
  </si>
  <si>
    <t>PTTOR</t>
  </si>
  <si>
    <t>Re Export</t>
  </si>
  <si>
    <t>TBU</t>
  </si>
  <si>
    <t>NGL</t>
  </si>
  <si>
    <t>NGL - GC I4</t>
  </si>
  <si>
    <t>NGL - ROC</t>
  </si>
  <si>
    <t>NGL - MOC</t>
  </si>
  <si>
    <t>NGL - KHM</t>
  </si>
  <si>
    <t>KHM</t>
  </si>
  <si>
    <t>NGL - MT</t>
  </si>
  <si>
    <t>NGL - PTT TANK</t>
  </si>
  <si>
    <t>Pentane</t>
  </si>
  <si>
    <t>Pentane Tier1 - ROC</t>
  </si>
  <si>
    <t>Pentane Tier2 - ROC</t>
  </si>
  <si>
    <t>Pentane Tier3 - ROC</t>
  </si>
  <si>
    <t>CO2</t>
  </si>
  <si>
    <t>CO2 - Praxair</t>
  </si>
  <si>
    <t>CO2 - Linde</t>
  </si>
  <si>
    <t>C2 - GC I1</t>
  </si>
  <si>
    <t xml:space="preserve"> PTTOR - Odorless Lpg</t>
  </si>
  <si>
    <t xml:space="preserve"> PTTOR - LPG-MT (Tax)</t>
  </si>
  <si>
    <t xml:space="preserve"> PTTOR - LPG-MT (Eppo Flat - Impo-Untax to TAX)</t>
  </si>
  <si>
    <t xml:space="preserve"> PTTOR - LPG-BRP (Tax)</t>
  </si>
  <si>
    <t xml:space="preserve"> PTTOR - LPG-KHM</t>
  </si>
  <si>
    <t xml:space="preserve"> PTTOR - LPG-PTT Tank (GSP truck)</t>
  </si>
  <si>
    <t xml:space="preserve"> PTTOR - LPG-PTT Tank (GSP ship)</t>
  </si>
  <si>
    <t xml:space="preserve"> PTTOR - LPG-PTT Tank (PTTGC ship)</t>
  </si>
  <si>
    <t xml:space="preserve"> SGP - MT </t>
  </si>
  <si>
    <t xml:space="preserve"> SGP - LPG-PTT Tank (GSP)</t>
  </si>
  <si>
    <t xml:space="preserve"> SGP - LPG-PTT Tank (PTTGC)</t>
  </si>
  <si>
    <t xml:space="preserve"> WP - MT </t>
  </si>
  <si>
    <t xml:space="preserve"> WP - LPG-PTT Tank (GSP)</t>
  </si>
  <si>
    <t xml:space="preserve"> WP - LPG-PTT Tank (PTTGC-eppo)</t>
  </si>
  <si>
    <t xml:space="preserve"> WP - LPG-PTT Tank (PTTGC)</t>
  </si>
  <si>
    <t xml:space="preserve"> PAP - MT </t>
  </si>
  <si>
    <t xml:space="preserve"> PAP - LPG-PTT Tank (GSP)</t>
  </si>
  <si>
    <t xml:space="preserve"> PAP - LPG-PTT Tank (GSP) Truck</t>
  </si>
  <si>
    <t xml:space="preserve">BCP - MT </t>
  </si>
  <si>
    <t>BCP - LPG-PTT Tank (GSP)</t>
  </si>
  <si>
    <t xml:space="preserve">ESSO - MT </t>
  </si>
  <si>
    <t>ESSO - LPG-PTT Tank (GSP)</t>
  </si>
  <si>
    <t xml:space="preserve">IRPC - MT </t>
  </si>
  <si>
    <t>IRPC - LPG-PTT Tank (GSP)</t>
  </si>
  <si>
    <t xml:space="preserve">UGP - MT </t>
  </si>
  <si>
    <t>UGP - LPG-PTT Tank (GSP)</t>
  </si>
  <si>
    <t xml:space="preserve"> TOP - LPG-MT </t>
  </si>
  <si>
    <t xml:space="preserve"> TOP - LPG-PTT Tank (GSP)</t>
  </si>
  <si>
    <t xml:space="preserve"> PTTOR - LPG-LKB</t>
  </si>
  <si>
    <t xml:space="preserve"> PTTOR - LPG-MT (PTTGC)</t>
  </si>
  <si>
    <t xml:space="preserve"> PTTOR - LPG-SPRC</t>
  </si>
  <si>
    <t xml:space="preserve"> PTTOR - LPG-PTTGC</t>
  </si>
  <si>
    <t xml:space="preserve"> PTTOR - LPG-IRPC</t>
  </si>
  <si>
    <t xml:space="preserve"> WP - LPG-SPRC</t>
  </si>
  <si>
    <t xml:space="preserve"> WP - LPG-IRPC</t>
  </si>
  <si>
    <t xml:space="preserve"> PAP - LPG-PTT Tank (PTTGC-eppo)</t>
  </si>
  <si>
    <t xml:space="preserve"> PAP - LPG-PTT Tank (PTTGC)</t>
  </si>
  <si>
    <t>BCP - LPG-PTT Tank (PTTGC)</t>
  </si>
  <si>
    <t>ESSO - LPG-PTT Tank (PTTGC)</t>
  </si>
  <si>
    <t>IRPC - LPG-PTT Tank (PTTGC)</t>
  </si>
  <si>
    <t>UGP - LPG-PTT Tank (PTTGC)</t>
  </si>
  <si>
    <t xml:space="preserve"> TOP - LPG-PTT Tank (PTTGC-eppo)</t>
  </si>
  <si>
    <t xml:space="preserve"> TOP - LPG-PTT Tank (PTTGC)</t>
  </si>
  <si>
    <t xml:space="preserve"> TOP - LPG-SPRC</t>
  </si>
  <si>
    <t>LKB</t>
  </si>
  <si>
    <t>SPRC</t>
  </si>
  <si>
    <t>IRPC</t>
  </si>
  <si>
    <t>GC</t>
  </si>
  <si>
    <t>BZ PLAN</t>
  </si>
  <si>
    <t>B/$</t>
  </si>
  <si>
    <t>AVERGAE ALL</t>
  </si>
  <si>
    <t>AVG. C3/LPG Petro</t>
  </si>
  <si>
    <t>AVG. NGL</t>
  </si>
  <si>
    <t>Diff from Previous Month</t>
  </si>
  <si>
    <t>Revenue  (Baht)</t>
  </si>
  <si>
    <t>Oil Fund Domestic กองทุน 1</t>
  </si>
  <si>
    <t>TAX &amp; Excise</t>
  </si>
  <si>
    <t>Rebate กองทุน 2</t>
  </si>
  <si>
    <t>Revenue + GC LPG to GSP Facility</t>
  </si>
  <si>
    <t>COST_Unit</t>
  </si>
  <si>
    <t>NG Cost</t>
  </si>
  <si>
    <t>Rayong</t>
  </si>
  <si>
    <t>Baht/MMBTU</t>
  </si>
  <si>
    <t>GSP 4</t>
  </si>
  <si>
    <t>COST_RAYONG</t>
  </si>
  <si>
    <t>C3</t>
  </si>
  <si>
    <t>LPG GSP</t>
  </si>
  <si>
    <t>LPG @PTT TANK</t>
  </si>
  <si>
    <t>LPG @BRP_MT</t>
  </si>
  <si>
    <t>C4</t>
  </si>
  <si>
    <t xml:space="preserve">NGL            </t>
  </si>
  <si>
    <t xml:space="preserve">Pentane             </t>
  </si>
  <si>
    <t>Delivery</t>
  </si>
  <si>
    <t>Est. Density NGL</t>
  </si>
  <si>
    <t>Density NGL GC</t>
  </si>
  <si>
    <t>Density Pentane ROC</t>
  </si>
  <si>
    <r>
      <t xml:space="preserve">Wt.AVG. </t>
    </r>
    <r>
      <rPr>
        <b/>
        <sz val="11"/>
        <color rgb="FF00B0F0"/>
        <rFont val="Arial"/>
        <family val="2"/>
      </rPr>
      <t xml:space="preserve">RYG </t>
    </r>
    <r>
      <rPr>
        <b/>
        <sz val="11"/>
        <color theme="1"/>
        <rFont val="Arial"/>
        <family val="2"/>
      </rPr>
      <t>NGL Density</t>
    </r>
  </si>
  <si>
    <r>
      <t xml:space="preserve">Wt.AVG. </t>
    </r>
    <r>
      <rPr>
        <b/>
        <sz val="11"/>
        <color rgb="FF00CC00"/>
        <rFont val="Arial"/>
        <family val="2"/>
      </rPr>
      <t>KHM</t>
    </r>
    <r>
      <rPr>
        <b/>
        <sz val="11"/>
        <color theme="1"/>
        <rFont val="Arial"/>
        <family val="2"/>
      </rPr>
      <t xml:space="preserve"> NGL Density</t>
    </r>
  </si>
  <si>
    <t>Total Wt.AVG. NGL Density</t>
  </si>
  <si>
    <t>Density NGL ROC</t>
  </si>
  <si>
    <t>Density NGL MOC</t>
  </si>
  <si>
    <t>ค่าเนื้อผลิตภัฑ์
ราคา/หน่วย</t>
  </si>
  <si>
    <t>บริษัท</t>
  </si>
  <si>
    <t>GSP 1</t>
  </si>
  <si>
    <t>Ton</t>
  </si>
  <si>
    <t>GSP 2</t>
  </si>
  <si>
    <t>GSP 3</t>
  </si>
  <si>
    <t>GSP 5</t>
  </si>
  <si>
    <t>ESP</t>
  </si>
  <si>
    <t>GSP 6</t>
  </si>
  <si>
    <t>Total</t>
  </si>
  <si>
    <t>Total GSPY</t>
  </si>
  <si>
    <t>TOTAL C3LPG RY</t>
  </si>
  <si>
    <t>TotalLPG GSP</t>
  </si>
  <si>
    <t>TotalC3 LPG GSP</t>
  </si>
  <si>
    <t>M3</t>
  </si>
  <si>
    <t>Stab (GSM)</t>
  </si>
  <si>
    <t>Pentane ton</t>
  </si>
  <si>
    <t>GSP6</t>
  </si>
  <si>
    <t>Pentane M3</t>
  </si>
  <si>
    <t>NGL (m3)</t>
  </si>
  <si>
    <t>NGL (Ton)</t>
  </si>
  <si>
    <t xml:space="preserve"> PTTOR - C3 Truck (Tax)</t>
  </si>
  <si>
    <t xml:space="preserve">GSP Revenue </t>
  </si>
  <si>
    <t xml:space="preserve">GSP+
Import/Reexport/Refinery Revenue </t>
  </si>
  <si>
    <t>TOTAL Before Oil Fund Exclude CO2</t>
  </si>
  <si>
    <t>Net Revenue include oil fund Exclude CO2</t>
  </si>
  <si>
    <t>ต้นทุน Ethane</t>
  </si>
  <si>
    <t>Dubai ($/BBL)</t>
  </si>
  <si>
    <t>NG Cost + Fuel ($/Ton)</t>
  </si>
  <si>
    <t>GSP Cash Cost ($/Ton)</t>
  </si>
  <si>
    <t>GSP Full Cost ($/Ton)</t>
  </si>
  <si>
    <t>HV= 49 MMBTU/Ton</t>
  </si>
  <si>
    <t>ต้นทุน Propane</t>
  </si>
  <si>
    <t>HV= 48 MMBTU/Ton</t>
  </si>
  <si>
    <t>ต้นทุน LPG - Feedstock</t>
  </si>
  <si>
    <t>HV= 47 MMBTU/Ton</t>
  </si>
  <si>
    <t>ต้นทุน LPG - Domestic (MT &amp; BRP)</t>
  </si>
  <si>
    <t>ต้นทุน NGL</t>
  </si>
  <si>
    <t>HV= 45 MMBTU/Ton</t>
  </si>
  <si>
    <t>Rayong Diff Previous Month</t>
  </si>
  <si>
    <t>Ethane</t>
  </si>
  <si>
    <t>LPG - P</t>
  </si>
  <si>
    <t>LPG - D</t>
  </si>
  <si>
    <t>Baht/Kg</t>
  </si>
  <si>
    <t>Nomination (Kton)</t>
  </si>
  <si>
    <t xml:space="preserve">Ethane </t>
  </si>
  <si>
    <t>LPG-P</t>
  </si>
  <si>
    <t>LPG-D</t>
  </si>
  <si>
    <t>Actual Delivery (Kton)</t>
  </si>
  <si>
    <t>GC I1</t>
  </si>
  <si>
    <t>GC I4</t>
  </si>
  <si>
    <t>GC PE</t>
  </si>
  <si>
    <t>SCG</t>
  </si>
  <si>
    <t>\\pttgrp-fs01\NASDATA3\PTT\prodmkt\New PrdMkt\Analysis\Plan\Plan\3.แจ้งแผนจัดจำหน่ายผลิตภัณฑ์ประจำเดือน\2021</t>
  </si>
  <si>
    <t>% Delivery</t>
  </si>
  <si>
    <t>HMC</t>
  </si>
  <si>
    <t>AC</t>
  </si>
  <si>
    <t>OR</t>
  </si>
  <si>
    <t>SGP</t>
  </si>
  <si>
    <t>UPG</t>
  </si>
  <si>
    <t>WP</t>
  </si>
  <si>
    <t>PAP</t>
  </si>
  <si>
    <t>TOP</t>
  </si>
  <si>
    <t>BCP</t>
  </si>
  <si>
    <t>Esso</t>
  </si>
  <si>
    <t>Export</t>
  </si>
  <si>
    <t>Baht</t>
  </si>
  <si>
    <t>%</t>
  </si>
  <si>
    <t>LPG Petro</t>
  </si>
  <si>
    <t>LPG Domestic</t>
  </si>
  <si>
    <t>Ability 1rev0_2Dec'20</t>
  </si>
  <si>
    <t>C2 Production</t>
  </si>
  <si>
    <t>GSP1</t>
  </si>
  <si>
    <t>KT</t>
  </si>
  <si>
    <t>GSP2</t>
  </si>
  <si>
    <t>GSP3</t>
  </si>
  <si>
    <t>GSP5</t>
  </si>
  <si>
    <t>C2 Total</t>
  </si>
  <si>
    <t>Ton/hr.</t>
  </si>
  <si>
    <t>Volume</t>
  </si>
  <si>
    <t>Balance</t>
  </si>
  <si>
    <t>Demand</t>
  </si>
  <si>
    <t>Delivery point</t>
  </si>
  <si>
    <t>C2 - GC I-1</t>
  </si>
  <si>
    <t>C2 - GC I-4</t>
  </si>
  <si>
    <t>C2 - PTTPE</t>
  </si>
  <si>
    <t>C2 - PTTPE (Vol &gt;274T/Hr)</t>
  </si>
  <si>
    <t>C2 - PTTPE (SPOT) GSP5</t>
  </si>
  <si>
    <t>C2 - PTTPE (Hybrid) supplement C2</t>
  </si>
  <si>
    <t>C2 - SCG</t>
  </si>
  <si>
    <t>C2 substitued C3 - SCG</t>
  </si>
  <si>
    <t>GC (C3)</t>
  </si>
  <si>
    <t>HMC (C3)</t>
  </si>
  <si>
    <t>PTTAC (C3)</t>
  </si>
  <si>
    <t>PTTAC</t>
  </si>
  <si>
    <t>SCG (C3)</t>
  </si>
  <si>
    <t>SCG Tier 1 : 0 - 48 KT</t>
  </si>
  <si>
    <t>SCG Tier 2 : 48.001 - 400 KT</t>
  </si>
  <si>
    <t>C3 truck</t>
  </si>
  <si>
    <t>GC (LPG)</t>
  </si>
  <si>
    <t>GSP (LPG) to GC</t>
  </si>
  <si>
    <t>Import (LPG) to GC</t>
  </si>
  <si>
    <t>SCG (LPG)</t>
  </si>
  <si>
    <t>LPG : 48 - 240 KT</t>
  </si>
  <si>
    <t>Additional LPG Tier 1 : 1 - 384 KT</t>
  </si>
  <si>
    <t>Additional LPG Tier 2 : 384.001 - 720 KT</t>
  </si>
  <si>
    <t>SPOT LPG : Max 400 KT</t>
  </si>
  <si>
    <t>PTTOR (LPG ไม่มีกลิ่น)</t>
  </si>
  <si>
    <t>MT</t>
  </si>
  <si>
    <t xml:space="preserve">BRP </t>
  </si>
  <si>
    <t>PTT TANK</t>
  </si>
  <si>
    <t>PTT TANK (Truck)</t>
  </si>
  <si>
    <t>UGP</t>
  </si>
  <si>
    <t>Big gas</t>
  </si>
  <si>
    <t>ESSO</t>
  </si>
  <si>
    <t>UNO</t>
  </si>
  <si>
    <t>Orchid</t>
  </si>
  <si>
    <t xml:space="preserve">SPRC </t>
  </si>
  <si>
    <t>PTTEP (LKB)</t>
  </si>
  <si>
    <t>PTTEP/LKB (Truck)</t>
  </si>
  <si>
    <t>GSP KHM</t>
  </si>
  <si>
    <t>MT/PTT TANK</t>
  </si>
  <si>
    <t>Praxair</t>
  </si>
  <si>
    <t>Linde</t>
  </si>
  <si>
    <t>Km3</t>
  </si>
  <si>
    <t>Total Delivery (Ton)</t>
  </si>
  <si>
    <t>เพิ่มเติมการขาย BUTANE (C4) - Truck (Oil BU)</t>
  </si>
  <si>
    <t>เพิ่มเติมการขาย ISO PENTANE (C5) - ROC</t>
  </si>
  <si>
    <t>Yr.20</t>
  </si>
  <si>
    <t>Q4</t>
  </si>
  <si>
    <t>M12</t>
  </si>
  <si>
    <t>M11</t>
  </si>
  <si>
    <t>M10</t>
  </si>
  <si>
    <t>Q3</t>
  </si>
  <si>
    <t>M9</t>
  </si>
  <si>
    <t>M8</t>
  </si>
  <si>
    <t>M7</t>
  </si>
  <si>
    <t>Q2</t>
  </si>
  <si>
    <t>M6</t>
  </si>
  <si>
    <t>M5</t>
  </si>
  <si>
    <t>M4</t>
  </si>
  <si>
    <t>Q1</t>
  </si>
  <si>
    <t>M2</t>
  </si>
  <si>
    <t>M1</t>
  </si>
  <si>
    <t>Yr.21</t>
  </si>
  <si>
    <t>PRICE (Baht/Ton)</t>
  </si>
  <si>
    <t>VOLUME</t>
  </si>
  <si>
    <t>MMBAHT</t>
  </si>
  <si>
    <t>SALES</t>
  </si>
  <si>
    <t>อัตราเก็บเข้ากองทุน (บาท/กก.) ประกาศ กบง ตั้งแต่ 7 ก.พ. เป็นเฉพาะในประเทศและปิโตรสัญญาใหม่</t>
  </si>
  <si>
    <t>อัตราเก็บเข้ากองทุน (บาท/กก.) ประมาณการ Domestic</t>
  </si>
  <si>
    <t>Adj to [+GSP Cost]</t>
  </si>
  <si>
    <t>จ่าย/(รับ) ชดเชยภาครัฐ</t>
  </si>
  <si>
    <t>LPG GSP Cost</t>
  </si>
  <si>
    <t>Vol. กอง 2</t>
  </si>
  <si>
    <t>เงินจ่าย(+)/รับ(-) กอง 2 + Tax</t>
  </si>
  <si>
    <t>LPG Pool or Import Parity</t>
  </si>
  <si>
    <t>Vol. กอง 1</t>
  </si>
  <si>
    <t>เงินจ่าย(+)/รับ(-) กอง 1</t>
  </si>
  <si>
    <t>หา LPG ชดเชย Domestic</t>
  </si>
  <si>
    <t>PRICE (B/Kg)</t>
  </si>
  <si>
    <t>VOLUME (MM KG) ผลิตที่ใช้คำนวณเข้ากองทุน</t>
  </si>
  <si>
    <t>GSP4 LPG (MMKG)</t>
  </si>
  <si>
    <t>MEMO</t>
  </si>
  <si>
    <t>FX อัตราขาย (ตรงเดือน)</t>
  </si>
  <si>
    <t>เงินจ่าย สรรพสามิต+กองทุนอนุรักษ์พลังงาน</t>
  </si>
  <si>
    <t>กองทุน 2 ใช้ราคาขายส่งที่รัฐประกาศ = 17.1795</t>
  </si>
  <si>
    <t>Total Over Head</t>
  </si>
  <si>
    <t xml:space="preserve">     - PROD. EXP.</t>
  </si>
  <si>
    <t>(1 บาท/กก. = 1ล้านบาท/ล้าน กก.)</t>
  </si>
  <si>
    <t>Over Head กองทุนน้ำมัน จ่าย ROC 1 บาท/กก.</t>
  </si>
  <si>
    <t>EXPORT - KHM</t>
  </si>
  <si>
    <t>EXPORT - PTT Tank</t>
  </si>
  <si>
    <t>EXPORT - MT</t>
  </si>
  <si>
    <t>NGL : (BBL)</t>
  </si>
  <si>
    <t>PRICE</t>
  </si>
  <si>
    <t>Check Diff</t>
  </si>
  <si>
    <t xml:space="preserve">   - ค่าใช้จ่ายอื่นๆ ส่วนที่ไม่เกี่ยวข้อง</t>
  </si>
  <si>
    <t>ค่าใช้จ่ายที่ปรับลดกรณีโควิด 19 และ Price War (22July)</t>
  </si>
  <si>
    <t xml:space="preserve">   - ค่าใช้จ่ายจากการรับโอน MT BRP และค่าใช้จ่ายอื่นที่ไม่ได้ตั้งงบ</t>
  </si>
  <si>
    <t>Admin</t>
  </si>
  <si>
    <t xml:space="preserve">   - ADMIN ทั่วไป</t>
  </si>
  <si>
    <t>ADMIN EXP.</t>
  </si>
  <si>
    <t>เงินช่วยเหลือ LPG ต้องปรับมือทุกครั้ง</t>
  </si>
  <si>
    <t xml:space="preserve">     - Non - Operating Income</t>
  </si>
  <si>
    <t xml:space="preserve">     - Operating Income รวม MT BRP Life</t>
  </si>
  <si>
    <t>OTHER INCOME ทั่วไป</t>
  </si>
  <si>
    <t>Admin Allo HO</t>
  </si>
  <si>
    <t xml:space="preserve">   - DEPRE</t>
  </si>
  <si>
    <t xml:space="preserve">   - ADMIN</t>
  </si>
  <si>
    <t>ADMIN ALLO FM HO</t>
  </si>
  <si>
    <t>OTHER INCOME</t>
  </si>
  <si>
    <t xml:space="preserve">INTEREST </t>
  </si>
  <si>
    <t>FX. GAIN (LOSS)</t>
  </si>
  <si>
    <t>Dep บริหาร</t>
  </si>
  <si>
    <t>DEPRE.</t>
  </si>
  <si>
    <t>*</t>
  </si>
  <si>
    <t>ALLO. FM. HO.</t>
  </si>
  <si>
    <t xml:space="preserve">     - BONUS</t>
  </si>
  <si>
    <t xml:space="preserve">     - OTHER ADMIN</t>
  </si>
  <si>
    <t>ADMIN</t>
  </si>
  <si>
    <t>EXP.</t>
  </si>
  <si>
    <t>END. INV.</t>
  </si>
  <si>
    <t>BEG. INV.</t>
  </si>
  <si>
    <t xml:space="preserve">     - ADMIN PJ</t>
  </si>
  <si>
    <t xml:space="preserve">     - GAS USED</t>
  </si>
  <si>
    <t>OH + กองทุนจ่ายแทน ROC</t>
  </si>
  <si>
    <t>OVERHEAD</t>
  </si>
  <si>
    <t>Dep ผลิต</t>
  </si>
  <si>
    <t>INCOME FM. CO2</t>
  </si>
  <si>
    <t>ค่าก๊าซใช้เองหักต้นทุน</t>
  </si>
  <si>
    <t>GAS USED EXP.</t>
  </si>
  <si>
    <t>LPG Pool ชดเชยจากรัฐ</t>
  </si>
  <si>
    <t>COST</t>
  </si>
  <si>
    <t xml:space="preserve">   - รายได้จากคลัง + อื่น ๆ</t>
  </si>
  <si>
    <t>REVENUE</t>
  </si>
  <si>
    <t>OTHER</t>
  </si>
  <si>
    <t xml:space="preserve"> % Growth</t>
  </si>
  <si>
    <t>TOTAL INTERNAL PURCHASE  (MMSCFD)</t>
  </si>
  <si>
    <t>กำไร EBIT</t>
  </si>
  <si>
    <t>UNSTAB NGL  (MMSCFD)</t>
  </si>
  <si>
    <t>ต้นทุนอื่นๆ</t>
  </si>
  <si>
    <t>TOTAL</t>
  </si>
  <si>
    <t xml:space="preserve"> </t>
  </si>
  <si>
    <t>เนื้อก๊าซฯ รวม Fuel</t>
  </si>
  <si>
    <t xml:space="preserve">  $/Ton</t>
  </si>
  <si>
    <t>GSP4</t>
  </si>
  <si>
    <t>INTERNAL PURCHASE - PIPELINE (MMSCFD)</t>
  </si>
  <si>
    <t>TOTAL (TON) - exc. CO2 - Net Purchase Pentane / ATC / BST</t>
  </si>
  <si>
    <t xml:space="preserve">  ฿/Ton</t>
  </si>
  <si>
    <t>TOTAL EXTERNAL PURCHASE  (TON)</t>
  </si>
  <si>
    <t xml:space="preserve">  Ton</t>
  </si>
  <si>
    <t>Total Revenue</t>
  </si>
  <si>
    <t>IMPORT - เชื้อเพลิง</t>
  </si>
  <si>
    <t>THAIOIL + Other</t>
  </si>
  <si>
    <t>SPRC (LPG)</t>
  </si>
  <si>
    <t>TSEP</t>
  </si>
  <si>
    <t>IMPORT - ปิโตรเคมี</t>
  </si>
  <si>
    <t>GC - By PTT-Tank</t>
  </si>
  <si>
    <t>PURCHASE LPG :</t>
  </si>
  <si>
    <t>PENTANE (BBL)</t>
  </si>
  <si>
    <t>EXTERNAL PURCHASE :</t>
  </si>
  <si>
    <t>TOTAL (TON) - exc. CO2</t>
  </si>
  <si>
    <t>TOTAL (TON) - PETROCHEM. (exc. CO2)</t>
  </si>
  <si>
    <t>HYDRO GAS</t>
  </si>
  <si>
    <t>SANTAMORISON</t>
  </si>
  <si>
    <t>TIG</t>
  </si>
  <si>
    <t>PRAXAIR</t>
  </si>
  <si>
    <t>LIQUID CO2 (TON) :</t>
  </si>
  <si>
    <t>BAHT/TON</t>
  </si>
  <si>
    <t>MOC</t>
  </si>
  <si>
    <t>PTT PE</t>
  </si>
  <si>
    <t>(C2)</t>
  </si>
  <si>
    <t>ETHANE</t>
  </si>
  <si>
    <t>ETHANE (TON) :</t>
  </si>
  <si>
    <t>EXPORT</t>
  </si>
  <si>
    <t>Truck PTTOR</t>
  </si>
  <si>
    <t>INDUSTRY</t>
  </si>
  <si>
    <t>ACN / อื่นๆ : PTTAC</t>
  </si>
  <si>
    <t>TOC : GC I4</t>
  </si>
  <si>
    <t>(C3)</t>
  </si>
  <si>
    <t>NPC : GC I1</t>
  </si>
  <si>
    <t>PROPANE (TON) :</t>
  </si>
  <si>
    <t>SPOT MOC</t>
  </si>
  <si>
    <t>Export Contract + PTT Export  : TBU</t>
  </si>
  <si>
    <t>PTT OR : MT</t>
  </si>
  <si>
    <t>LPG+C3</t>
  </si>
  <si>
    <t>ROC+MOC</t>
  </si>
  <si>
    <t xml:space="preserve">  $/Ton  (Domestic)</t>
  </si>
  <si>
    <t xml:space="preserve">  $/Ton  (Petrochem)</t>
  </si>
  <si>
    <t>(C3+C4)</t>
  </si>
  <si>
    <t>LPG : (MM KG)</t>
  </si>
  <si>
    <t>LPG Reexport TBU</t>
  </si>
  <si>
    <t>BAHT/KG</t>
  </si>
  <si>
    <t>PROPANE</t>
  </si>
  <si>
    <t>EXPORT : KHM</t>
  </si>
  <si>
    <t>PTT OR</t>
  </si>
  <si>
    <t>L'AIR LIQUID</t>
  </si>
  <si>
    <t>SCL</t>
  </si>
  <si>
    <t>Veerasuwan / SPRC</t>
  </si>
  <si>
    <t>(C5-C8)</t>
  </si>
  <si>
    <t>ROC</t>
  </si>
  <si>
    <t>BAHT/BBL</t>
  </si>
  <si>
    <r>
      <t xml:space="preserve">  </t>
    </r>
    <r>
      <rPr>
        <b/>
        <u/>
        <sz val="14"/>
        <rFont val="Cordia New"/>
        <family val="2"/>
      </rPr>
      <t xml:space="preserve">แปลง BBL </t>
    </r>
    <r>
      <rPr>
        <b/>
        <u/>
        <sz val="14"/>
        <rFont val="Wingdings"/>
        <charset val="2"/>
      </rPr>
      <t>ð</t>
    </r>
    <r>
      <rPr>
        <b/>
        <u/>
        <sz val="14"/>
        <rFont val="Cordia New"/>
        <family val="2"/>
      </rPr>
      <t xml:space="preserve"> TON</t>
    </r>
  </si>
  <si>
    <t xml:space="preserve">  NATURAL GAS OPERATIONS - GAS PLANT</t>
  </si>
  <si>
    <t>GSP</t>
  </si>
  <si>
    <t>PETROLEUM AUTHORITY OF THAILAND</t>
  </si>
  <si>
    <t>NATURAL GAS OPERATION - GAS PLANT</t>
  </si>
  <si>
    <t xml:space="preserve">UNIT : MM BAHT  </t>
  </si>
  <si>
    <t xml:space="preserve">    PROJECTED INCOME STATEMENT</t>
  </si>
  <si>
    <t>2563 (2020)</t>
  </si>
  <si>
    <t xml:space="preserve">   - LPG</t>
  </si>
  <si>
    <t xml:space="preserve">   -  STAB NGL + ISO Pentane</t>
  </si>
  <si>
    <t xml:space="preserve">   - PROPANE</t>
  </si>
  <si>
    <t xml:space="preserve">   - ETHANE</t>
  </si>
  <si>
    <t xml:space="preserve">   - INTER DEPT - NGP</t>
  </si>
  <si>
    <t xml:space="preserve">   - INTER DEPT - OIL</t>
  </si>
  <si>
    <t xml:space="preserve">   - INTER DEPT - INTER</t>
  </si>
  <si>
    <t>TOTAL SALES</t>
  </si>
  <si>
    <t>COST OF SALES</t>
  </si>
  <si>
    <t xml:space="preserve">   - EXTERNAL PURCHASES</t>
  </si>
  <si>
    <t xml:space="preserve">   - INTER DEPT.PURCHASES</t>
  </si>
  <si>
    <t xml:space="preserve">   - ส่วนต่างต้นทุน LPG กับ Pool LPG</t>
  </si>
  <si>
    <t xml:space="preserve">   - GAS USED EXPENSES</t>
  </si>
  <si>
    <t xml:space="preserve">  ปรับค่าก๊าซใช้เองออก ESP (มค.-พค.) GSP6 (มค.-มิย.)</t>
  </si>
  <si>
    <t xml:space="preserve">   - INCOME FM CO2</t>
  </si>
  <si>
    <t xml:space="preserve">   - DEPRECIATION</t>
  </si>
  <si>
    <t xml:space="preserve">  OH ปรับค่าไฟออก ESP (มค.-พค.) GSP6 (มค.-มิย.) ประมาณ 950*6/12</t>
  </si>
  <si>
    <t xml:space="preserve">   - OVERHEAD</t>
  </si>
  <si>
    <t>งท.</t>
  </si>
  <si>
    <t>CP +55</t>
  </si>
  <si>
    <t>บาท/กก</t>
  </si>
  <si>
    <t>ราคาขายปลีก</t>
  </si>
  <si>
    <t>ผลต่างราคา</t>
  </si>
  <si>
    <t>มูลค่าเงินชดเชย</t>
  </si>
  <si>
    <t>ช่วยเหลือ LPG</t>
  </si>
  <si>
    <t>TOTAL COST OF SALES AVAILABLE</t>
  </si>
  <si>
    <t>รับโอน MT+BRP</t>
  </si>
  <si>
    <t>ADD BEGINNING INVENTORY</t>
  </si>
  <si>
    <t>LESS ENDING INVENTORY</t>
  </si>
  <si>
    <t>DIFF</t>
  </si>
  <si>
    <t>ปรับลดค่าก๊าซฯใช้เอง ESP (มค-พค) &amp; GSP6 (มค-มิย)</t>
  </si>
  <si>
    <t>TOTAL COST OF SALES</t>
  </si>
  <si>
    <t>GROSS PROFIT MARGIN</t>
  </si>
  <si>
    <t>SELLING EXPENSES</t>
  </si>
  <si>
    <t>ADMINISTRATIVE EXPENSES</t>
  </si>
  <si>
    <t>Allo Ho Plan</t>
  </si>
  <si>
    <t>Diff</t>
  </si>
  <si>
    <t>PRODUCTION EXPENSES</t>
  </si>
  <si>
    <t>DEPRECIATION</t>
  </si>
  <si>
    <t>DEFERRED EXPENSES</t>
  </si>
  <si>
    <t>PROFIT (LOSS) FROM OPERA.</t>
  </si>
  <si>
    <t>OTHER INCOME( INTEREST REC)</t>
  </si>
  <si>
    <t>EXCHANGE+DERIVATIVE GAIN (LOSS)</t>
  </si>
  <si>
    <t>PROFIT (LOSS) BEFORE INTEREST</t>
  </si>
  <si>
    <t>INTEREST CHARGES</t>
  </si>
  <si>
    <t>INTEREST CHARGES INTER</t>
  </si>
  <si>
    <t>EBIT (LOSS)</t>
  </si>
  <si>
    <t>EBITDA</t>
  </si>
  <si>
    <t>Actual หน้างบ</t>
  </si>
  <si>
    <t xml:space="preserve">     - Operating Income</t>
  </si>
  <si>
    <t xml:space="preserve">   - ค่าใช้จ่ายจากการรับโอน MT BRP</t>
  </si>
  <si>
    <t>เพิ่มเติม New Product GSP</t>
  </si>
  <si>
    <t>ISO Pentane - ROC (Ton)</t>
  </si>
  <si>
    <t>BUTANE - OIL BU (Ton)</t>
  </si>
  <si>
    <t>Memo - ซื้อระหว่างกัน External แยกส่วนที่ซื้อจาก Trading ออกมา</t>
  </si>
  <si>
    <t xml:space="preserve">   - EXTERNAL PURCHASES (บรรทัด 16)</t>
  </si>
  <si>
    <t xml:space="preserve">        - Trading (Inter BU)</t>
  </si>
  <si>
    <t xml:space="preserve">        - External</t>
  </si>
  <si>
    <t>Adj Diff TBU@Ext.purc.</t>
  </si>
  <si>
    <t>Interest Charge (New)</t>
  </si>
  <si>
    <t>Earning Before Tax</t>
  </si>
  <si>
    <t>Tax</t>
  </si>
  <si>
    <t>Net Income</t>
  </si>
  <si>
    <t>check diff จากบัญชี</t>
  </si>
  <si>
    <t>error</t>
  </si>
  <si>
    <t>EBIT คลัง</t>
  </si>
  <si>
    <t>EBIT GSP ไม่รวมคลัง</t>
  </si>
  <si>
    <t>Avg</t>
  </si>
  <si>
    <t>NGL - Export RY</t>
  </si>
  <si>
    <t>$/bbl</t>
  </si>
  <si>
    <t>$/TON</t>
  </si>
  <si>
    <t>NGL - Export KHM</t>
  </si>
  <si>
    <t>NGL - IRPC (KHM)</t>
  </si>
  <si>
    <t>NPC : I1</t>
  </si>
  <si>
    <t>TOC : I4</t>
  </si>
  <si>
    <t>GSP ขายเอง : PTTOR BRP</t>
  </si>
  <si>
    <t>PTT (Import to OR) Sales : Import OR MT</t>
  </si>
  <si>
    <t>Odorless Lpg</t>
  </si>
  <si>
    <t>BRP</t>
  </si>
  <si>
    <t>PTT Tank</t>
  </si>
  <si>
    <t>After Oil Fund</t>
  </si>
  <si>
    <t>Cost import สะสม ($/TON)</t>
  </si>
  <si>
    <t>Import Volume จ่ายแทน GSP Volume (TON)</t>
  </si>
  <si>
    <t>Total Import Cost ($)</t>
  </si>
  <si>
    <r>
      <t xml:space="preserve">Wt.AVG. </t>
    </r>
    <r>
      <rPr>
        <b/>
        <sz val="11"/>
        <color rgb="FF00B0F0"/>
        <rFont val="Calibri"/>
        <family val="2"/>
        <scheme val="minor"/>
      </rPr>
      <t xml:space="preserve">RYG </t>
    </r>
    <r>
      <rPr>
        <b/>
        <sz val="11"/>
        <color theme="1"/>
        <rFont val="Calibri"/>
        <family val="2"/>
        <scheme val="minor"/>
      </rPr>
      <t>NGL Density</t>
    </r>
  </si>
  <si>
    <r>
      <t xml:space="preserve">Wt.AVG. </t>
    </r>
    <r>
      <rPr>
        <b/>
        <sz val="11"/>
        <color rgb="FF00CC00"/>
        <rFont val="Calibri"/>
        <family val="2"/>
        <scheme val="minor"/>
      </rPr>
      <t>KHM</t>
    </r>
    <r>
      <rPr>
        <b/>
        <sz val="11"/>
        <color theme="1"/>
        <rFont val="Calibri"/>
        <family val="2"/>
        <scheme val="minor"/>
      </rPr>
      <t xml:space="preserve"> NGL Density</t>
    </r>
  </si>
  <si>
    <t xml:space="preserve">Total </t>
  </si>
  <si>
    <t>Total Volume</t>
  </si>
  <si>
    <t>Import Volume</t>
  </si>
  <si>
    <t>Total Import</t>
  </si>
  <si>
    <t>GSP Volume</t>
  </si>
  <si>
    <t>Import Cost ($/Ton)</t>
  </si>
  <si>
    <t>GSP Cost ($/Ton)</t>
  </si>
  <si>
    <t>Import Cost (Baht)</t>
  </si>
  <si>
    <t>Margin : Before Oil Fund (Baht)</t>
  </si>
  <si>
    <t>Delivery Point</t>
  </si>
  <si>
    <t>Row Labels</t>
  </si>
  <si>
    <t>Grand Total</t>
  </si>
  <si>
    <t>Sum of Jan-64</t>
  </si>
  <si>
    <t>Sum of Feb-64</t>
  </si>
  <si>
    <t>Sum of Mar-64</t>
  </si>
  <si>
    <t>Sum of Apr-64</t>
  </si>
  <si>
    <t>Sum of May-64</t>
  </si>
  <si>
    <t>Sum of Jun-64</t>
  </si>
  <si>
    <t>Sum of Jul-64</t>
  </si>
  <si>
    <t>Sum of Aug-64</t>
  </si>
  <si>
    <t>Sum of Sep-64</t>
  </si>
  <si>
    <t>Sum of Oct-64</t>
  </si>
  <si>
    <t xml:space="preserve">Delivery </t>
  </si>
  <si>
    <t>All</t>
  </si>
  <si>
    <t>Margin : After Oil Fund (MBaht)</t>
  </si>
  <si>
    <t>LPG-D (Mbaht)</t>
  </si>
  <si>
    <t>Weighted Avg.</t>
  </si>
  <si>
    <t>GSP and  Import Cost ($/Ton)</t>
  </si>
  <si>
    <t>Cost Before Import ($/Ton)</t>
  </si>
  <si>
    <t>Margin Unit ($/Ton)</t>
  </si>
  <si>
    <t>Margin Unit Before Import ($/Ton)</t>
  </si>
  <si>
    <t>Price ($/Ton)</t>
  </si>
  <si>
    <t>PTTOR - Unknown</t>
  </si>
  <si>
    <t>ธ.ค.-63</t>
  </si>
  <si>
    <t>ม.ค.-64</t>
  </si>
  <si>
    <t>ก.พ.-64</t>
  </si>
  <si>
    <t>มี.ค.-64</t>
  </si>
  <si>
    <t>เม.ย.-64</t>
  </si>
  <si>
    <t>พ.ค.-64</t>
  </si>
  <si>
    <t>มิ.ย.-64</t>
  </si>
  <si>
    <t>ก.ค.-64</t>
  </si>
  <si>
    <t>ส.ค.-64</t>
  </si>
  <si>
    <t>ก.ย.-64</t>
  </si>
  <si>
    <t>ต.ค.-64</t>
  </si>
  <si>
    <t>พ.ย.-64</t>
  </si>
  <si>
    <t>ธ.ค.-64</t>
  </si>
  <si>
    <t>Sum of ม.ค.-64</t>
  </si>
  <si>
    <t>LPG-Refinery</t>
  </si>
  <si>
    <t>LPG-Import/Re-Export</t>
  </si>
  <si>
    <t>GC (Baht)</t>
  </si>
  <si>
    <t>SPRC (Baht)</t>
  </si>
  <si>
    <t>IRPC (Baht)</t>
  </si>
  <si>
    <t>Refinery Cost</t>
  </si>
  <si>
    <t>Import Volume 
จ่ายแทน GSP</t>
  </si>
  <si>
    <t>Externaal LPG</t>
  </si>
  <si>
    <t xml:space="preserve"> WP -LPG-PTT Tank (eppo flat - discount)</t>
  </si>
  <si>
    <t>Revenue (Baht)</t>
  </si>
  <si>
    <t>Margin (Baht)</t>
  </si>
  <si>
    <t>Revenue (MBaht)</t>
  </si>
  <si>
    <t>EBIT (MBaht)</t>
  </si>
  <si>
    <t>FX กบน.</t>
  </si>
  <si>
    <t>Fx GC</t>
  </si>
  <si>
    <t>Exclude Import</t>
  </si>
  <si>
    <t>Revenue</t>
  </si>
  <si>
    <t>Bz Monthly</t>
  </si>
  <si>
    <t>Acc Bz</t>
  </si>
  <si>
    <t xml:space="preserve">Acc Act + Bz </t>
  </si>
  <si>
    <t>Acc Act + Rolling</t>
  </si>
  <si>
    <t>Mbaht</t>
  </si>
  <si>
    <t>Bz Revenue (Mbaht)</t>
  </si>
  <si>
    <t>C3 - PTTAC (SPOT)</t>
  </si>
  <si>
    <t>Actual/Rolling Monthly</t>
  </si>
  <si>
    <t>Diff from Bz</t>
  </si>
  <si>
    <t>EBIT</t>
  </si>
  <si>
    <t>Net EBIT (Baht)</t>
  </si>
  <si>
    <t>EBIT (Nbaht)</t>
  </si>
  <si>
    <t>FX (Baht/$)</t>
  </si>
  <si>
    <t>ต้นทุน LPG - Domistic ผ่าน PTT Tank (ยังไม่รวมค่า Tariff ของ PTT Tank)</t>
  </si>
  <si>
    <t>Refer to :</t>
  </si>
  <si>
    <t>ข้อมูลสำหรับ Rolling January 2021</t>
  </si>
  <si>
    <r>
      <t>ข้อมูลข้างต้นเป็นข้อมูลประมาณการสำหรับ</t>
    </r>
    <r>
      <rPr>
        <u/>
        <sz val="11"/>
        <color theme="1"/>
        <rFont val="Tahoma"/>
        <family val="2"/>
      </rPr>
      <t>วางแผนการผลิต</t>
    </r>
    <r>
      <rPr>
        <sz val="11"/>
        <color theme="1"/>
        <rFont val="Tahoma"/>
        <family val="2"/>
      </rPr>
      <t xml:space="preserve"> และประกอบการ </t>
    </r>
    <r>
      <rPr>
        <u/>
        <sz val="11"/>
        <color theme="1"/>
        <rFont val="Tahoma"/>
        <family val="2"/>
      </rPr>
      <t>Hedge</t>
    </r>
    <r>
      <rPr>
        <sz val="11"/>
        <color theme="1"/>
        <rFont val="Tahoma"/>
        <family val="2"/>
      </rPr>
      <t xml:space="preserve"> เท่านั้น</t>
    </r>
  </si>
  <si>
    <t>As of :</t>
  </si>
  <si>
    <t>1. OPEX และ Depreciation ใช้ตาม Business Plan 2021</t>
  </si>
  <si>
    <r>
      <t>2. ต้นทุน LPG - Domestic ผ่าน PTT Tank ยัง</t>
    </r>
    <r>
      <rPr>
        <u/>
        <sz val="11"/>
        <color theme="1"/>
        <rFont val="Calibri"/>
        <family val="2"/>
        <scheme val="minor"/>
      </rPr>
      <t>ไม่รวม</t>
    </r>
    <r>
      <rPr>
        <sz val="11"/>
        <color theme="1"/>
        <rFont val="Calibri"/>
        <family val="2"/>
        <charset val="222"/>
        <scheme val="minor"/>
      </rPr>
      <t>ค่า Tariff ของ PTT Tank</t>
    </r>
  </si>
  <si>
    <t>Avg Price ($/Ton)</t>
  </si>
  <si>
    <t>Fx กบน</t>
  </si>
  <si>
    <t>Fx Import</t>
  </si>
  <si>
    <t>Total GSP Cost</t>
  </si>
  <si>
    <t>Est Cost</t>
  </si>
  <si>
    <t>PTTAC SPOT</t>
  </si>
  <si>
    <t>ต้นทุนสูงกว่าความเป็นจริงจะทำให้ค่าผ่านส่อสูงขึ้นคาดว่าน่าจะใช้เดือน 4</t>
  </si>
  <si>
    <t>การปรับโครงสร้างเพื่อปรับเสรีก๊าซ</t>
  </si>
  <si>
    <t>กองทุนที่ประเมินเยอะ</t>
  </si>
  <si>
    <t>ไตรมาสละ 250 MB = เดือนละ 83 ล้านบาท</t>
  </si>
  <si>
    <t>Propane PP-Link</t>
  </si>
  <si>
    <t>Propane CP Link</t>
  </si>
  <si>
    <t>Avg Propane</t>
  </si>
  <si>
    <t>ป</t>
  </si>
  <si>
    <t xml:space="preserve"> PTTOR - LPG-MT (SPRC)</t>
  </si>
  <si>
    <t>For Hedging</t>
  </si>
  <si>
    <t>SPOT</t>
  </si>
  <si>
    <t>Domestic</t>
  </si>
  <si>
    <t>COST_KHM</t>
  </si>
  <si>
    <t>ปริมาณจัดหา Refinery (TON)</t>
  </si>
  <si>
    <t>LKB*</t>
  </si>
  <si>
    <t>PTTEP Siam</t>
  </si>
  <si>
    <t>PTTEP</t>
  </si>
  <si>
    <t>MT Import</t>
  </si>
  <si>
    <t>MT Re Export</t>
  </si>
  <si>
    <t>BRP Re Export</t>
  </si>
  <si>
    <t>Average of ม.ค.-64</t>
  </si>
  <si>
    <t>Average of ก.พ.-64</t>
  </si>
  <si>
    <t>Average of มี.ค.-64</t>
  </si>
  <si>
    <t>Average of เม.ย.-64</t>
  </si>
  <si>
    <t>Average of พ.ค.-64</t>
  </si>
  <si>
    <t>Average of มิ.ย.-64</t>
  </si>
  <si>
    <t>Average of ก.ค.-64</t>
  </si>
  <si>
    <t>Average of ส.ค.-64</t>
  </si>
  <si>
    <t>Average of ก.ย.-64</t>
  </si>
  <si>
    <t>Average of ต.ค.-64</t>
  </si>
  <si>
    <t>Average of พ.ย.-64</t>
  </si>
  <si>
    <t>Average of ธ.ค.-64</t>
  </si>
  <si>
    <t>Petro</t>
  </si>
  <si>
    <t>C3 Tier 1 : 0 - 48 KT - ROC</t>
  </si>
  <si>
    <t>LPG Average</t>
  </si>
  <si>
    <t>LPG Petrochemical</t>
  </si>
  <si>
    <t>Delivery (Ton)</t>
  </si>
  <si>
    <t>C3 Average</t>
  </si>
  <si>
    <t>C3 Petrochemical</t>
  </si>
  <si>
    <t>C3 Domestic</t>
  </si>
  <si>
    <t>LPG SUM</t>
  </si>
  <si>
    <t>C3 SUM</t>
  </si>
  <si>
    <t>NGL SUM</t>
  </si>
  <si>
    <t>NGL Petrochemical</t>
  </si>
  <si>
    <t>NGL Domestic</t>
  </si>
  <si>
    <t>NGL Average</t>
  </si>
  <si>
    <t>CP Price</t>
  </si>
  <si>
    <t>Selling Price (Ton)</t>
  </si>
  <si>
    <t>MOP'J</t>
  </si>
  <si>
    <t>PP</t>
  </si>
  <si>
    <t>HDPE/LLDPE/LDPE</t>
  </si>
  <si>
    <t>C3 : AC</t>
  </si>
  <si>
    <t xml:space="preserve">หมายเหตุ : </t>
  </si>
  <si>
    <t>Jul GSP6  TA</t>
  </si>
  <si>
    <t>PTTAC TA</t>
  </si>
  <si>
    <t>OCT HMC TA</t>
  </si>
  <si>
    <t>ราคา GC</t>
  </si>
  <si>
    <t>หัก KHM</t>
  </si>
  <si>
    <t>หมายเหตุ</t>
  </si>
  <si>
    <t>GC C3</t>
  </si>
  <si>
    <t>HMC C3</t>
  </si>
  <si>
    <t>SCG C3</t>
  </si>
  <si>
    <t>Average C3</t>
  </si>
  <si>
    <t>Total C3</t>
  </si>
  <si>
    <t>Selling Price ($/Ton)</t>
  </si>
  <si>
    <t>Rolling Selling Price (Ton)</t>
  </si>
  <si>
    <t>Bz Price ($/Ton)</t>
  </si>
  <si>
    <t>ต้นทุน LPG - สนพ. (Deloitte)</t>
  </si>
  <si>
    <t>C3/LPG</t>
  </si>
  <si>
    <t>สูตรเดิม</t>
  </si>
  <si>
    <t>สูตรปัจจุบัน</t>
  </si>
  <si>
    <t>Revenue (Mbaht)</t>
  </si>
  <si>
    <t>Price (USD/Ton)</t>
  </si>
  <si>
    <t>Ethane สูตรเดิม</t>
  </si>
  <si>
    <t>Ethane สูตรปัจจุบัน</t>
  </si>
  <si>
    <t xml:space="preserve">C3/LPG </t>
  </si>
  <si>
    <t xml:space="preserve">C3 </t>
  </si>
  <si>
    <t>Weight</t>
  </si>
  <si>
    <t>สูตรปัจจุบัน - สูตรเดิม</t>
  </si>
  <si>
    <t>Link Cost Hedging</t>
  </si>
  <si>
    <t>\\pttgrp-fs01\NASDATA3\PTT\prodmkt\New PrdMkt\Sales\Revenue\Annual Sales Data\2021_2564\Cost Rolling from วผก</t>
  </si>
  <si>
    <t>Link Cost Performane</t>
  </si>
  <si>
    <t>\\pttgrp-fs01\NASDATA3\PTT\prodmkt\New PrdMkt\Sales\Revenue\Annual Sales Data\2021_2564\Performance</t>
  </si>
  <si>
    <t>EBIT (from sheet PL)</t>
  </si>
  <si>
    <t>No Calculation</t>
  </si>
  <si>
    <t>Calculation</t>
  </si>
  <si>
    <t>Actual 2021</t>
  </si>
  <si>
    <t>Cal diff from No Cal</t>
  </si>
  <si>
    <t>Selling Price</t>
  </si>
  <si>
    <t>C2 Selling Price</t>
  </si>
  <si>
    <t>C3 Selling Price</t>
  </si>
  <si>
    <t>LPG Petro Selling Price</t>
  </si>
  <si>
    <t>LPG M.7 Selling Price</t>
  </si>
  <si>
    <t>NGL Selling Price</t>
  </si>
  <si>
    <t>C5 Selling Price</t>
  </si>
  <si>
    <t>Margin (เทียบ Full Cost)</t>
  </si>
  <si>
    <t>Margin</t>
  </si>
  <si>
    <t>C2 (Full Cost)</t>
  </si>
  <si>
    <t>C3 (Full Cost)</t>
  </si>
  <si>
    <t>LPG-Petro (Full Cost)</t>
  </si>
  <si>
    <t>LPG -Domestic (Full Cost)</t>
  </si>
  <si>
    <t>NGL (Full Cost)</t>
  </si>
  <si>
    <t>C5 (Full Cost)</t>
  </si>
  <si>
    <r>
      <t>LPG CP</t>
    </r>
    <r>
      <rPr>
        <sz val="9"/>
        <color rgb="FFFF0000"/>
        <rFont val="Tahoma"/>
        <family val="2"/>
      </rPr>
      <t xml:space="preserve"> </t>
    </r>
  </si>
  <si>
    <r>
      <t>C3 CP</t>
    </r>
    <r>
      <rPr>
        <sz val="9"/>
        <color rgb="FFFF0000"/>
        <rFont val="Tahoma"/>
        <family val="2"/>
      </rPr>
      <t xml:space="preserve"> </t>
    </r>
  </si>
  <si>
    <t>Petchem</t>
  </si>
  <si>
    <t>NGL-KHM</t>
  </si>
  <si>
    <t>C3-Truck</t>
  </si>
  <si>
    <t>-</t>
  </si>
  <si>
    <t>Actaul + Rolling</t>
  </si>
  <si>
    <r>
      <t>Total Cost (from sheet PL) :</t>
    </r>
    <r>
      <rPr>
        <sz val="11"/>
        <color rgb="FFFFC000"/>
        <rFont val="Calibri"/>
        <family val="2"/>
        <scheme val="minor"/>
      </rPr>
      <t xml:space="preserve"> Row 25 + Row 26 - Row 27 + Row 31 + Row 32 + Row 34</t>
    </r>
  </si>
  <si>
    <r>
      <t xml:space="preserve">Revenue (from sheet PL) (Mbaht) : </t>
    </r>
    <r>
      <rPr>
        <sz val="11"/>
        <color rgb="FFFFC000"/>
        <rFont val="Calibri"/>
        <family val="2"/>
        <scheme val="minor"/>
      </rPr>
      <t>Row 15 - Row 11</t>
    </r>
  </si>
  <si>
    <r>
      <t xml:space="preserve">EBIT (from sheet PL) : </t>
    </r>
    <r>
      <rPr>
        <sz val="11"/>
        <color rgb="FFFFC000"/>
        <rFont val="Calibri"/>
        <family val="2"/>
        <scheme val="minor"/>
      </rPr>
      <t>Row 43 - Row 39</t>
    </r>
  </si>
  <si>
    <t>Total GSP Cost  + Refinery +Import + Revenue from CO2</t>
  </si>
  <si>
    <t>EBIT (Mbaht)</t>
  </si>
  <si>
    <t>BRP/MT Volume</t>
  </si>
  <si>
    <t>PTT Tank Volume</t>
  </si>
  <si>
    <t>Total External LPG Cost</t>
  </si>
  <si>
    <t>LPG Import to M.7 Selling Price</t>
  </si>
  <si>
    <t>(bot) จาก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</si>
</sst>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3" formatCode="_(* #,##0.00_);_(* \(#,##0.00\);_(* &quot;-&quot;??_);_(@_)"/>
    <numFmt numFmtId="164" formatCode="_-* #,##0_-;\-* #,##0_-;_-* &quot;-&quot;_-;_-@_-"/>
    <numFmt numFmtId="165" formatCode="_-&quot;฿&quot;* #,##0.00_-;\-&quot;฿&quot;* #,##0.00_-;_-&quot;฿&quot;* &quot;-&quot;??_-;_-@_-"/>
    <numFmt numFmtId="166" formatCode="_-* #,##0.00_-;\-* #,##0.00_-;_-* &quot;-&quot;??_-;_-@_-"/>
    <numFmt numFmtId="167" formatCode="_(* #,##0_);_(* \(#,##0\);_(* &quot;-&quot;??_);_(@_)"/>
    <numFmt numFmtId="168" formatCode="_-* #,##0.000_-;\-* #,##0.000_-;_-* &quot;-&quot;??_-;_-@_-"/>
    <numFmt numFmtId="169" formatCode="[$-409]d/mmm/yy;@"/>
    <numFmt numFmtId="170" formatCode="_-* #,##0_-;\-* #,##0_-;_-* &quot;-&quot;??_-;_-@_-"/>
    <numFmt numFmtId="171" formatCode="0.0"/>
    <numFmt numFmtId="172" formatCode="0.00000000"/>
    <numFmt numFmtId="173" formatCode="#,##0.00_ ;[Red]\-#,##0.00\ "/>
    <numFmt numFmtId="174" formatCode="#,##0.00000000_ ;[Red]\-#,##0.00000000\ "/>
    <numFmt numFmtId="175" formatCode="0.0000"/>
    <numFmt numFmtId="176" formatCode="0.000"/>
    <numFmt numFmtId="177" formatCode="0.00000"/>
    <numFmt numFmtId="178" formatCode="#,##0_ ;[Red]\-#,##0\ "/>
    <numFmt numFmtId="179" formatCode="#,##0.0000_ ;[Red]\-#,##0.0000\ "/>
    <numFmt numFmtId="180" formatCode="0.0000000"/>
    <numFmt numFmtId="181" formatCode="0.00000000000000"/>
    <numFmt numFmtId="182" formatCode="0.000000"/>
    <numFmt numFmtId="183" formatCode="#,##0.000000_ ;[Red]\-#,##0.000000\ "/>
    <numFmt numFmtId="184" formatCode="[$-409]mmm\-yy;@"/>
    <numFmt numFmtId="185" formatCode="B1mmm\-yy"/>
    <numFmt numFmtId="186" formatCode="_-* #,##0.0000_-;\-* #,##0.0000_-;_-* &quot;-&quot;??_-;_-@_-"/>
    <numFmt numFmtId="187" formatCode="_(* #,##0.0000_);_(* \(#,##0.0000\);_(* &quot;-&quot;??_);_(@_)"/>
    <numFmt numFmtId="188" formatCode="_-* #,##0.0_-;\-* #,##0.0_-;_-* &quot;-&quot;??_-;_-@_-"/>
  </numFmts>
  <fonts count="23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Tahoma"/>
      <family val="2"/>
    </font>
    <font>
      <b/>
      <sz val="11"/>
      <color rgb="FF000000"/>
      <name val="Calibri"/>
      <family val="2"/>
      <scheme val="minor"/>
    </font>
    <font>
      <sz val="11"/>
      <color theme="1"/>
      <name val="Tahoma"/>
      <family val="2"/>
    </font>
    <font>
      <sz val="11"/>
      <color rgb="FF0033CC"/>
      <name val="Tahoma"/>
      <family val="2"/>
    </font>
    <font>
      <sz val="11"/>
      <color rgb="FF000000"/>
      <name val="Tahoma"/>
      <family val="2"/>
    </font>
    <font>
      <sz val="11"/>
      <color rgb="FF0000FF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i/>
      <sz val="11"/>
      <color rgb="FF0000FF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22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Arial"/>
      <family val="2"/>
      <charset val="22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i/>
      <sz val="11"/>
      <color rgb="FFFF0000"/>
      <name val="Arial"/>
      <family val="2"/>
    </font>
    <font>
      <b/>
      <i/>
      <sz val="11"/>
      <color rgb="FF00CC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  <charset val="222"/>
    </font>
    <font>
      <sz val="11"/>
      <color rgb="FF0070C0"/>
      <name val="Arial"/>
      <family val="2"/>
      <charset val="222"/>
    </font>
    <font>
      <sz val="11"/>
      <color rgb="FFFF0066"/>
      <name val="Arial"/>
      <family val="2"/>
      <charset val="222"/>
    </font>
    <font>
      <b/>
      <sz val="11"/>
      <color rgb="FF00B0F0"/>
      <name val="Arial"/>
      <family val="2"/>
    </font>
    <font>
      <b/>
      <sz val="11"/>
      <color rgb="FF00CC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  <charset val="222"/>
    </font>
    <font>
      <b/>
      <sz val="11"/>
      <name val="Arial"/>
      <family val="2"/>
      <charset val="222"/>
    </font>
    <font>
      <u/>
      <sz val="11"/>
      <color theme="10"/>
      <name val="Calibri"/>
      <family val="2"/>
      <charset val="22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ordia New"/>
      <family val="2"/>
    </font>
    <font>
      <sz val="11"/>
      <color rgb="FFFF3399"/>
      <name val="Calibri"/>
      <family val="2"/>
      <charset val="222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color rgb="FF0033CC"/>
      <name val="Tahoma"/>
      <family val="2"/>
    </font>
    <font>
      <b/>
      <sz val="1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7030A0"/>
      <name val="Tahoma"/>
      <family val="2"/>
    </font>
    <font>
      <b/>
      <sz val="9"/>
      <color rgb="FFFF0000"/>
      <name val="Tahoma"/>
      <family val="2"/>
    </font>
    <font>
      <sz val="11"/>
      <color rgb="FF0000FF"/>
      <name val="Calibri"/>
      <family val="2"/>
      <scheme val="minor"/>
    </font>
    <font>
      <b/>
      <sz val="9"/>
      <color rgb="FF0070C0"/>
      <name val="Tahoma"/>
      <family val="2"/>
    </font>
    <font>
      <sz val="11"/>
      <color rgb="FF0033CC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2" tint="-9.9978637043366805E-2"/>
      <name val="Calibri"/>
      <family val="2"/>
      <charset val="222"/>
      <scheme val="minor"/>
    </font>
    <font>
      <sz val="14"/>
      <color theme="1"/>
      <name val="Cordia New"/>
      <family val="2"/>
    </font>
    <font>
      <sz val="14"/>
      <color theme="5"/>
      <name val="Cordia New"/>
      <family val="2"/>
    </font>
    <font>
      <sz val="14"/>
      <color theme="3"/>
      <name val="Cordia New"/>
      <family val="2"/>
    </font>
    <font>
      <b/>
      <sz val="14"/>
      <name val="CordiaUPC"/>
      <family val="2"/>
      <charset val="222"/>
    </font>
    <font>
      <sz val="14"/>
      <name val="CordiaUPC"/>
      <family val="2"/>
      <charset val="222"/>
    </font>
    <font>
      <sz val="14"/>
      <color indexed="9"/>
      <name val="CordiaUPC"/>
      <family val="2"/>
      <charset val="222"/>
    </font>
    <font>
      <b/>
      <sz val="14"/>
      <name val="Cordia New"/>
      <family val="2"/>
    </font>
    <font>
      <b/>
      <sz val="16"/>
      <color indexed="9"/>
      <name val="Cordia New"/>
      <family val="2"/>
    </font>
    <font>
      <sz val="14"/>
      <color rgb="FFFF00FF"/>
      <name val="Cordia New"/>
      <family val="2"/>
    </font>
    <font>
      <sz val="14"/>
      <color theme="2" tint="-0.499984740745262"/>
      <name val="Cordia New"/>
      <family val="2"/>
    </font>
    <font>
      <sz val="14"/>
      <color indexed="17"/>
      <name val="Cordia New"/>
      <family val="2"/>
    </font>
    <font>
      <sz val="14"/>
      <color rgb="FF008000"/>
      <name val="Cordia New"/>
      <family val="2"/>
    </font>
    <font>
      <b/>
      <sz val="18"/>
      <name val="Cordia New"/>
      <family val="2"/>
    </font>
    <font>
      <sz val="14"/>
      <color theme="3" tint="0.39997558519241921"/>
      <name val="Cordia New"/>
      <family val="2"/>
    </font>
    <font>
      <sz val="14"/>
      <color rgb="FF0000FF"/>
      <name val="Cordia New"/>
      <family val="2"/>
    </font>
    <font>
      <sz val="14"/>
      <color theme="5"/>
      <name val="CordiaUPC"/>
      <family val="2"/>
      <charset val="222"/>
    </font>
    <font>
      <i/>
      <sz val="14"/>
      <color indexed="10"/>
      <name val="Cordia New"/>
      <family val="2"/>
    </font>
    <font>
      <i/>
      <sz val="14"/>
      <color indexed="10"/>
      <name val="CordiaUPC"/>
      <family val="2"/>
      <charset val="222"/>
    </font>
    <font>
      <b/>
      <sz val="12"/>
      <name val="Cordia New"/>
      <family val="2"/>
    </font>
    <font>
      <sz val="14"/>
      <color rgb="FFFF00FF"/>
      <name val="CordiaUPC"/>
      <family val="2"/>
      <charset val="222"/>
    </font>
    <font>
      <sz val="14"/>
      <name val="Cordia New"/>
      <family val="2"/>
      <charset val="222"/>
    </font>
    <font>
      <sz val="14"/>
      <color rgb="FFFF0000"/>
      <name val="CordiaUPC"/>
      <family val="2"/>
      <charset val="222"/>
    </font>
    <font>
      <sz val="14"/>
      <color rgb="FFFF0000"/>
      <name val="Cordia New"/>
      <family val="2"/>
    </font>
    <font>
      <b/>
      <sz val="14"/>
      <color indexed="9"/>
      <name val="Cordia New"/>
      <family val="2"/>
    </font>
    <font>
      <b/>
      <sz val="14"/>
      <color theme="0"/>
      <name val="Cordia New"/>
      <family val="2"/>
    </font>
    <font>
      <sz val="14"/>
      <color theme="7" tint="-0.249977111117893"/>
      <name val="Cordia New"/>
      <family val="2"/>
    </font>
    <font>
      <sz val="14"/>
      <color indexed="8"/>
      <name val="CordiaUPC"/>
      <family val="2"/>
      <charset val="222"/>
    </font>
    <font>
      <sz val="14"/>
      <color indexed="12"/>
      <name val="Cordia New"/>
      <family val="2"/>
    </font>
    <font>
      <sz val="14"/>
      <color indexed="12"/>
      <name val="CordiaUPC"/>
      <family val="2"/>
      <charset val="222"/>
    </font>
    <font>
      <sz val="14"/>
      <color indexed="14"/>
      <name val="CordiaUPC"/>
      <family val="2"/>
      <charset val="222"/>
    </font>
    <font>
      <sz val="14"/>
      <color indexed="14"/>
      <name val="Cordia New"/>
      <family val="2"/>
    </font>
    <font>
      <sz val="14"/>
      <color rgb="FF7030A0"/>
      <name val="Cordia New"/>
      <family val="2"/>
    </font>
    <font>
      <sz val="14"/>
      <color indexed="16"/>
      <name val="Cordia New"/>
      <family val="2"/>
    </font>
    <font>
      <sz val="14"/>
      <color indexed="8"/>
      <name val="Cordia New"/>
      <family val="2"/>
    </font>
    <font>
      <i/>
      <sz val="12"/>
      <name val="Cordia New"/>
      <family val="2"/>
    </font>
    <font>
      <i/>
      <sz val="12"/>
      <color indexed="23"/>
      <name val="Cordia New"/>
      <family val="2"/>
    </font>
    <font>
      <u/>
      <sz val="14"/>
      <name val="Cordia New"/>
      <family val="2"/>
    </font>
    <font>
      <sz val="14"/>
      <color theme="3"/>
      <name val="CordiaUPC"/>
      <family val="2"/>
      <charset val="222"/>
    </font>
    <font>
      <b/>
      <sz val="14"/>
      <color theme="5"/>
      <name val="Cordia New"/>
      <family val="2"/>
    </font>
    <font>
      <sz val="14"/>
      <color theme="1"/>
      <name val="CordiaUPC"/>
      <family val="2"/>
      <charset val="222"/>
    </font>
    <font>
      <b/>
      <u/>
      <sz val="14"/>
      <name val="Cordia New"/>
      <family val="2"/>
    </font>
    <font>
      <i/>
      <sz val="14"/>
      <color indexed="17"/>
      <name val="Cordia New"/>
      <family val="2"/>
    </font>
    <font>
      <i/>
      <sz val="14"/>
      <color indexed="14"/>
      <name val="Cordia New"/>
      <family val="2"/>
    </font>
    <font>
      <sz val="14"/>
      <color indexed="10"/>
      <name val="Cordia New"/>
      <family val="2"/>
    </font>
    <font>
      <i/>
      <sz val="14"/>
      <color rgb="FF0000FF"/>
      <name val="Cordia New"/>
      <family val="2"/>
    </font>
    <font>
      <b/>
      <sz val="14"/>
      <color theme="2" tint="-0.499984740745262"/>
      <name val="Cordia New"/>
      <family val="2"/>
    </font>
    <font>
      <b/>
      <sz val="14"/>
      <color indexed="17"/>
      <name val="Cordia New"/>
      <family val="2"/>
    </font>
    <font>
      <b/>
      <sz val="14"/>
      <color theme="1"/>
      <name val="Cordia New"/>
      <family val="2"/>
    </font>
    <font>
      <i/>
      <sz val="14"/>
      <name val="Cordia New"/>
      <family val="2"/>
    </font>
    <font>
      <b/>
      <u/>
      <sz val="14"/>
      <name val="Wingdings"/>
      <charset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20"/>
      <color indexed="9"/>
      <name val="Cordia New"/>
      <family val="2"/>
    </font>
    <font>
      <sz val="14"/>
      <color theme="1"/>
      <name val="Cordia New"/>
      <family val="2"/>
      <charset val="222"/>
    </font>
    <font>
      <sz val="14"/>
      <color indexed="8"/>
      <name val="Cordia New"/>
      <family val="2"/>
      <charset val="222"/>
    </font>
    <font>
      <b/>
      <sz val="14"/>
      <color indexed="8"/>
      <name val="Cordia New"/>
      <family val="2"/>
    </font>
    <font>
      <b/>
      <sz val="14"/>
      <color theme="1"/>
      <name val="Cordia New"/>
      <family val="2"/>
      <charset val="222"/>
    </font>
    <font>
      <b/>
      <sz val="14"/>
      <name val="Cordia New"/>
      <family val="2"/>
      <charset val="222"/>
    </font>
    <font>
      <b/>
      <sz val="14"/>
      <color theme="1"/>
      <name val="CordiaUPC"/>
      <family val="2"/>
      <charset val="222"/>
    </font>
    <font>
      <sz val="14"/>
      <color indexed="14"/>
      <name val="Cordia New"/>
      <family val="2"/>
      <charset val="222"/>
    </font>
    <font>
      <sz val="12"/>
      <name val="Cordia New"/>
      <family val="2"/>
      <charset val="222"/>
    </font>
    <font>
      <i/>
      <sz val="14"/>
      <color rgb="FFFF0000"/>
      <name val="Cordia New"/>
      <family val="2"/>
    </font>
    <font>
      <i/>
      <sz val="14"/>
      <color theme="1"/>
      <name val="Cordia New"/>
      <family val="2"/>
    </font>
    <font>
      <i/>
      <sz val="14"/>
      <color indexed="10"/>
      <name val="Cordia New"/>
      <family val="2"/>
      <charset val="222"/>
    </font>
    <font>
      <i/>
      <sz val="14"/>
      <color theme="1"/>
      <name val="Cordia New"/>
      <family val="2"/>
      <charset val="222"/>
    </font>
    <font>
      <b/>
      <u/>
      <sz val="14"/>
      <color indexed="8"/>
      <name val="Cordia New"/>
      <family val="2"/>
    </font>
    <font>
      <b/>
      <u/>
      <sz val="16"/>
      <color indexed="8"/>
      <name val="Cordia New"/>
      <family val="2"/>
    </font>
    <font>
      <b/>
      <i/>
      <sz val="14"/>
      <color theme="9" tint="-0.499984740745262"/>
      <name val="Cordia New"/>
      <family val="2"/>
    </font>
    <font>
      <b/>
      <i/>
      <sz val="14"/>
      <color theme="1"/>
      <name val="Cordia New"/>
      <family val="2"/>
    </font>
    <font>
      <i/>
      <sz val="12"/>
      <color rgb="FFFF0000"/>
      <name val="Cordia New"/>
      <family val="2"/>
    </font>
    <font>
      <i/>
      <sz val="12"/>
      <color theme="1"/>
      <name val="Cordia New"/>
      <family val="2"/>
    </font>
    <font>
      <i/>
      <sz val="11"/>
      <color rgb="FFFF00FF"/>
      <name val="Cordia New"/>
      <family val="2"/>
    </font>
    <font>
      <i/>
      <sz val="11"/>
      <name val="Cordia New"/>
      <family val="2"/>
    </font>
    <font>
      <b/>
      <sz val="1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CC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 tint="0.499984740745262"/>
      <name val="Calibri"/>
      <family val="2"/>
      <charset val="222"/>
      <scheme val="minor"/>
    </font>
    <font>
      <sz val="14"/>
      <color rgb="FFFF0000"/>
      <name val="Calibri"/>
      <family val="2"/>
      <charset val="22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Tahoma"/>
      <family val="2"/>
    </font>
    <font>
      <u/>
      <sz val="11"/>
      <color theme="1"/>
      <name val="Calibri"/>
      <family val="2"/>
      <scheme val="minor"/>
    </font>
    <font>
      <sz val="14"/>
      <color rgb="FFFF0000"/>
      <name val="Cordia New"/>
      <family val="2"/>
      <charset val="222"/>
    </font>
    <font>
      <b/>
      <sz val="14"/>
      <color rgb="FFFF0000"/>
      <name val="Cordia New"/>
      <family val="2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4"/>
      <color theme="1"/>
      <name val="Calibri"/>
      <family val="2"/>
      <charset val="222"/>
      <scheme val="minor"/>
    </font>
    <font>
      <i/>
      <sz val="1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charset val="22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b/>
      <sz val="9"/>
      <color theme="1"/>
      <name val="Tahoma"/>
      <family val="2"/>
    </font>
    <font>
      <sz val="9"/>
      <color rgb="FFFF0000"/>
      <name val="Tahoma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i/>
      <sz val="11"/>
      <color rgb="FF0070C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4"/>
      <color rgb="FF0033CC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indexed="60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1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FFCCCC"/>
        <bgColor indexed="64"/>
      </patternFill>
    </fill>
    <fill>
      <patternFill patternType="solid">
        <fgColor theme="8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4">
    <xf numFmtId="0" fontId="0" fillId="0" borderId="0"/>
    <xf numFmtId="166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61" fillId="0" borderId="0"/>
    <xf numFmtId="43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9" fillId="52" borderId="0"/>
    <xf numFmtId="0" fontId="216" fillId="60" borderId="0" applyNumberFormat="0" applyBorder="0" applyAlignment="0" applyProtection="0"/>
    <xf numFmtId="0" fontId="217" fillId="61" borderId="0" applyNumberFormat="0" applyBorder="0" applyAlignment="0" applyProtection="0"/>
    <xf numFmtId="0" fontId="217" fillId="62" borderId="0" applyNumberFormat="0" applyBorder="0" applyAlignment="0" applyProtection="0"/>
    <xf numFmtId="0" fontId="216" fillId="63" borderId="0" applyNumberFormat="0" applyBorder="0" applyAlignment="0" applyProtection="0"/>
    <xf numFmtId="0" fontId="216" fillId="64" borderId="0" applyNumberFormat="0" applyBorder="0" applyAlignment="0" applyProtection="0"/>
    <xf numFmtId="0" fontId="217" fillId="65" borderId="0" applyNumberFormat="0" applyBorder="0" applyAlignment="0" applyProtection="0"/>
    <xf numFmtId="0" fontId="217" fillId="66" borderId="0" applyNumberFormat="0" applyBorder="0" applyAlignment="0" applyProtection="0"/>
    <xf numFmtId="0" fontId="216" fillId="67" borderId="0" applyNumberFormat="0" applyBorder="0" applyAlignment="0" applyProtection="0"/>
    <xf numFmtId="0" fontId="216" fillId="68" borderId="0" applyNumberFormat="0" applyBorder="0" applyAlignment="0" applyProtection="0"/>
    <xf numFmtId="0" fontId="217" fillId="69" borderId="0" applyNumberFormat="0" applyBorder="0" applyAlignment="0" applyProtection="0"/>
    <xf numFmtId="0" fontId="217" fillId="70" borderId="0" applyNumberFormat="0" applyBorder="0" applyAlignment="0" applyProtection="0"/>
    <xf numFmtId="0" fontId="216" fillId="71" borderId="0" applyNumberFormat="0" applyBorder="0" applyAlignment="0" applyProtection="0"/>
    <xf numFmtId="0" fontId="216" fillId="72" borderId="0" applyNumberFormat="0" applyBorder="0" applyAlignment="0" applyProtection="0"/>
    <xf numFmtId="0" fontId="217" fillId="65" borderId="0" applyNumberFormat="0" applyBorder="0" applyAlignment="0" applyProtection="0"/>
    <xf numFmtId="0" fontId="217" fillId="73" borderId="0" applyNumberFormat="0" applyBorder="0" applyAlignment="0" applyProtection="0"/>
    <xf numFmtId="0" fontId="216" fillId="66" borderId="0" applyNumberFormat="0" applyBorder="0" applyAlignment="0" applyProtection="0"/>
    <xf numFmtId="0" fontId="216" fillId="63" borderId="0" applyNumberFormat="0" applyBorder="0" applyAlignment="0" applyProtection="0"/>
    <xf numFmtId="0" fontId="217" fillId="74" borderId="0" applyNumberFormat="0" applyBorder="0" applyAlignment="0" applyProtection="0"/>
    <xf numFmtId="0" fontId="217" fillId="75" borderId="0" applyNumberFormat="0" applyBorder="0" applyAlignment="0" applyProtection="0"/>
    <xf numFmtId="0" fontId="216" fillId="63" borderId="0" applyNumberFormat="0" applyBorder="0" applyAlignment="0" applyProtection="0"/>
    <xf numFmtId="0" fontId="216" fillId="76" borderId="0" applyNumberFormat="0" applyBorder="0" applyAlignment="0" applyProtection="0"/>
    <xf numFmtId="0" fontId="217" fillId="77" borderId="0" applyNumberFormat="0" applyBorder="0" applyAlignment="0" applyProtection="0"/>
    <xf numFmtId="0" fontId="217" fillId="78" borderId="0" applyNumberFormat="0" applyBorder="0" applyAlignment="0" applyProtection="0"/>
    <xf numFmtId="0" fontId="216" fillId="79" borderId="0" applyNumberFormat="0" applyBorder="0" applyAlignment="0" applyProtection="0"/>
    <xf numFmtId="0" fontId="218" fillId="77" borderId="0" applyNumberFormat="0" applyBorder="0" applyAlignment="0" applyProtection="0"/>
    <xf numFmtId="0" fontId="219" fillId="80" borderId="48" applyNumberFormat="0" applyAlignment="0" applyProtection="0"/>
    <xf numFmtId="0" fontId="220" fillId="72" borderId="49" applyNumberFormat="0" applyAlignment="0" applyProtection="0"/>
    <xf numFmtId="0" fontId="221" fillId="81" borderId="0" applyNumberFormat="0" applyBorder="0" applyAlignment="0" applyProtection="0"/>
    <xf numFmtId="0" fontId="221" fillId="82" borderId="0" applyNumberFormat="0" applyBorder="0" applyAlignment="0" applyProtection="0"/>
    <xf numFmtId="0" fontId="221" fillId="83" borderId="0" applyNumberFormat="0" applyBorder="0" applyAlignment="0" applyProtection="0"/>
    <xf numFmtId="0" fontId="217" fillId="70" borderId="0" applyNumberFormat="0" applyBorder="0" applyAlignment="0" applyProtection="0"/>
    <xf numFmtId="0" fontId="217" fillId="70" borderId="0" applyNumberFormat="0" applyBorder="0" applyAlignment="0" applyProtection="0"/>
    <xf numFmtId="0" fontId="217" fillId="70" borderId="0" applyNumberFormat="0" applyBorder="0" applyAlignment="0" applyProtection="0"/>
    <xf numFmtId="0" fontId="222" fillId="0" borderId="50" applyNumberFormat="0" applyFill="0" applyAlignment="0" applyProtection="0"/>
    <xf numFmtId="0" fontId="223" fillId="0" borderId="51" applyNumberFormat="0" applyFill="0" applyAlignment="0" applyProtection="0"/>
    <xf numFmtId="0" fontId="224" fillId="0" borderId="52" applyNumberFormat="0" applyFill="0" applyAlignment="0" applyProtection="0"/>
    <xf numFmtId="0" fontId="224" fillId="0" borderId="0" applyNumberFormat="0" applyFill="0" applyBorder="0" applyAlignment="0" applyProtection="0"/>
    <xf numFmtId="0" fontId="225" fillId="78" borderId="48" applyNumberFormat="0" applyAlignment="0" applyProtection="0"/>
    <xf numFmtId="0" fontId="226" fillId="0" borderId="53" applyNumberFormat="0" applyFill="0" applyAlignment="0" applyProtection="0"/>
    <xf numFmtId="0" fontId="226" fillId="78" borderId="0" applyNumberFormat="0" applyBorder="0" applyAlignment="0" applyProtection="0"/>
    <xf numFmtId="0" fontId="226" fillId="78" borderId="0" applyNumberFormat="0" applyBorder="0" applyAlignment="0" applyProtection="0"/>
    <xf numFmtId="0" fontId="226" fillId="78" borderId="0" applyNumberFormat="0" applyBorder="0" applyAlignment="0" applyProtection="0"/>
    <xf numFmtId="0" fontId="209" fillId="52" borderId="0"/>
    <xf numFmtId="0" fontId="209" fillId="52" borderId="0"/>
    <xf numFmtId="0" fontId="209" fillId="77" borderId="48" applyNumberFormat="0" applyFont="0" applyAlignment="0" applyProtection="0"/>
    <xf numFmtId="0" fontId="227" fillId="80" borderId="54" applyNumberFormat="0" applyAlignment="0" applyProtection="0"/>
    <xf numFmtId="4" fontId="209" fillId="84" borderId="48" applyNumberFormat="0" applyProtection="0">
      <alignment vertical="center"/>
    </xf>
    <xf numFmtId="4" fontId="209" fillId="84" borderId="48" applyNumberFormat="0" applyProtection="0">
      <alignment vertical="center"/>
    </xf>
    <xf numFmtId="4" fontId="209" fillId="84" borderId="48" applyNumberFormat="0" applyProtection="0">
      <alignment vertical="center"/>
    </xf>
    <xf numFmtId="4" fontId="230" fillId="24" borderId="48" applyNumberFormat="0" applyProtection="0">
      <alignment vertical="center"/>
    </xf>
    <xf numFmtId="4" fontId="209" fillId="24" borderId="48" applyNumberFormat="0" applyProtection="0">
      <alignment horizontal="left" vertical="center" indent="1"/>
    </xf>
    <xf numFmtId="4" fontId="209" fillId="24" borderId="48" applyNumberFormat="0" applyProtection="0">
      <alignment horizontal="left" vertical="center" indent="1"/>
    </xf>
    <xf numFmtId="4" fontId="209" fillId="24" borderId="48" applyNumberFormat="0" applyProtection="0">
      <alignment horizontal="left" vertical="center" indent="1"/>
    </xf>
    <xf numFmtId="0" fontId="213" fillId="84" borderId="55" applyNumberFormat="0" applyProtection="0">
      <alignment horizontal="left" vertical="top" indent="1"/>
    </xf>
    <xf numFmtId="4" fontId="209" fillId="85" borderId="48" applyNumberFormat="0" applyProtection="0">
      <alignment horizontal="left" vertical="center" indent="1"/>
    </xf>
    <xf numFmtId="4" fontId="209" fillId="85" borderId="48" applyNumberFormat="0" applyProtection="0">
      <alignment horizontal="left" vertical="center" indent="1"/>
    </xf>
    <xf numFmtId="4" fontId="209" fillId="85" borderId="48" applyNumberFormat="0" applyProtection="0">
      <alignment horizontal="left" vertical="center" indent="1"/>
    </xf>
    <xf numFmtId="4" fontId="209" fillId="86" borderId="48" applyNumberFormat="0" applyProtection="0">
      <alignment horizontal="right" vertical="center"/>
    </xf>
    <xf numFmtId="4" fontId="209" fillId="86" borderId="48" applyNumberFormat="0" applyProtection="0">
      <alignment horizontal="right" vertical="center"/>
    </xf>
    <xf numFmtId="4" fontId="209" fillId="86" borderId="48" applyNumberFormat="0" applyProtection="0">
      <alignment horizontal="right" vertical="center"/>
    </xf>
    <xf numFmtId="4" fontId="209" fillId="87" borderId="48" applyNumberFormat="0" applyProtection="0">
      <alignment horizontal="right" vertical="center"/>
    </xf>
    <xf numFmtId="4" fontId="209" fillId="87" borderId="48" applyNumberFormat="0" applyProtection="0">
      <alignment horizontal="right" vertical="center"/>
    </xf>
    <xf numFmtId="4" fontId="209" fillId="87" borderId="48" applyNumberFormat="0" applyProtection="0">
      <alignment horizontal="right" vertical="center"/>
    </xf>
    <xf numFmtId="4" fontId="209" fillId="88" borderId="56" applyNumberFormat="0" applyProtection="0">
      <alignment horizontal="right" vertical="center"/>
    </xf>
    <xf numFmtId="4" fontId="209" fillId="88" borderId="56" applyNumberFormat="0" applyProtection="0">
      <alignment horizontal="right" vertical="center"/>
    </xf>
    <xf numFmtId="4" fontId="209" fillId="88" borderId="56" applyNumberFormat="0" applyProtection="0">
      <alignment horizontal="right" vertical="center"/>
    </xf>
    <xf numFmtId="4" fontId="209" fillId="59" borderId="48" applyNumberFormat="0" applyProtection="0">
      <alignment horizontal="right" vertical="center"/>
    </xf>
    <xf numFmtId="4" fontId="209" fillId="59" borderId="48" applyNumberFormat="0" applyProtection="0">
      <alignment horizontal="right" vertical="center"/>
    </xf>
    <xf numFmtId="4" fontId="209" fillId="59" borderId="48" applyNumberFormat="0" applyProtection="0">
      <alignment horizontal="right" vertical="center"/>
    </xf>
    <xf numFmtId="4" fontId="209" fillId="89" borderId="48" applyNumberFormat="0" applyProtection="0">
      <alignment horizontal="right" vertical="center"/>
    </xf>
    <xf numFmtId="4" fontId="209" fillId="89" borderId="48" applyNumberFormat="0" applyProtection="0">
      <alignment horizontal="right" vertical="center"/>
    </xf>
    <xf numFmtId="4" fontId="209" fillId="89" borderId="48" applyNumberFormat="0" applyProtection="0">
      <alignment horizontal="right" vertical="center"/>
    </xf>
    <xf numFmtId="4" fontId="209" fillId="90" borderId="48" applyNumberFormat="0" applyProtection="0">
      <alignment horizontal="right" vertical="center"/>
    </xf>
    <xf numFmtId="4" fontId="209" fillId="90" borderId="48" applyNumberFormat="0" applyProtection="0">
      <alignment horizontal="right" vertical="center"/>
    </xf>
    <xf numFmtId="4" fontId="209" fillId="90" borderId="48" applyNumberFormat="0" applyProtection="0">
      <alignment horizontal="right" vertical="center"/>
    </xf>
    <xf numFmtId="4" fontId="209" fillId="57" borderId="48" applyNumberFormat="0" applyProtection="0">
      <alignment horizontal="right" vertical="center"/>
    </xf>
    <xf numFmtId="4" fontId="209" fillId="57" borderId="48" applyNumberFormat="0" applyProtection="0">
      <alignment horizontal="right" vertical="center"/>
    </xf>
    <xf numFmtId="4" fontId="209" fillId="57" borderId="48" applyNumberFormat="0" applyProtection="0">
      <alignment horizontal="right" vertical="center"/>
    </xf>
    <xf numFmtId="4" fontId="209" fillId="54" borderId="48" applyNumberFormat="0" applyProtection="0">
      <alignment horizontal="right" vertical="center"/>
    </xf>
    <xf numFmtId="4" fontId="209" fillId="54" borderId="48" applyNumberFormat="0" applyProtection="0">
      <alignment horizontal="right" vertical="center"/>
    </xf>
    <xf numFmtId="4" fontId="209" fillId="54" borderId="48" applyNumberFormat="0" applyProtection="0">
      <alignment horizontal="right" vertical="center"/>
    </xf>
    <xf numFmtId="4" fontId="209" fillId="91" borderId="48" applyNumberFormat="0" applyProtection="0">
      <alignment horizontal="right" vertical="center"/>
    </xf>
    <xf numFmtId="4" fontId="209" fillId="91" borderId="48" applyNumberFormat="0" applyProtection="0">
      <alignment horizontal="right" vertical="center"/>
    </xf>
    <xf numFmtId="4" fontId="209" fillId="91" borderId="48" applyNumberFormat="0" applyProtection="0">
      <alignment horizontal="right" vertical="center"/>
    </xf>
    <xf numFmtId="4" fontId="209" fillId="92" borderId="56" applyNumberFormat="0" applyProtection="0">
      <alignment horizontal="left" vertical="center" indent="1"/>
    </xf>
    <xf numFmtId="4" fontId="209" fillId="92" borderId="56" applyNumberFormat="0" applyProtection="0">
      <alignment horizontal="left" vertical="center" indent="1"/>
    </xf>
    <xf numFmtId="4" fontId="209" fillId="92" borderId="56" applyNumberFormat="0" applyProtection="0">
      <alignment horizontal="left" vertical="center" indent="1"/>
    </xf>
    <xf numFmtId="4" fontId="210" fillId="58" borderId="56" applyNumberFormat="0" applyProtection="0">
      <alignment horizontal="left" vertical="center" indent="1"/>
    </xf>
    <xf numFmtId="4" fontId="210" fillId="58" borderId="56" applyNumberFormat="0" applyProtection="0">
      <alignment horizontal="left" vertical="center" indent="1"/>
    </xf>
    <xf numFmtId="4" fontId="209" fillId="53" borderId="48" applyNumberFormat="0" applyProtection="0">
      <alignment horizontal="right" vertical="center"/>
    </xf>
    <xf numFmtId="4" fontId="209" fillId="53" borderId="48" applyNumberFormat="0" applyProtection="0">
      <alignment horizontal="right" vertical="center"/>
    </xf>
    <xf numFmtId="4" fontId="209" fillId="53" borderId="48" applyNumberFormat="0" applyProtection="0">
      <alignment horizontal="right" vertical="center"/>
    </xf>
    <xf numFmtId="4" fontId="209" fillId="55" borderId="56" applyNumberFormat="0" applyProtection="0">
      <alignment horizontal="left" vertical="center" indent="1"/>
    </xf>
    <xf numFmtId="4" fontId="209" fillId="55" borderId="56" applyNumberFormat="0" applyProtection="0">
      <alignment horizontal="left" vertical="center" indent="1"/>
    </xf>
    <xf numFmtId="4" fontId="209" fillId="55" borderId="56" applyNumberFormat="0" applyProtection="0">
      <alignment horizontal="left" vertical="center" indent="1"/>
    </xf>
    <xf numFmtId="4" fontId="209" fillId="53" borderId="56" applyNumberFormat="0" applyProtection="0">
      <alignment horizontal="left" vertical="center" indent="1"/>
    </xf>
    <xf numFmtId="4" fontId="209" fillId="53" borderId="56" applyNumberFormat="0" applyProtection="0">
      <alignment horizontal="left" vertical="center" indent="1"/>
    </xf>
    <xf numFmtId="4" fontId="209" fillId="53" borderId="56" applyNumberFormat="0" applyProtection="0">
      <alignment horizontal="left" vertical="center" indent="1"/>
    </xf>
    <xf numFmtId="0" fontId="209" fillId="56" borderId="48" applyNumberFormat="0" applyProtection="0">
      <alignment horizontal="left" vertical="center" indent="1"/>
    </xf>
    <xf numFmtId="0" fontId="209" fillId="56" borderId="48" applyNumberFormat="0" applyProtection="0">
      <alignment horizontal="left" vertical="center" indent="1"/>
    </xf>
    <xf numFmtId="0" fontId="209" fillId="56" borderId="48" applyNumberFormat="0" applyProtection="0">
      <alignment horizontal="left" vertical="center" indent="1"/>
    </xf>
    <xf numFmtId="0" fontId="209" fillId="58" borderId="55" applyNumberFormat="0" applyProtection="0">
      <alignment horizontal="left" vertical="top" indent="1"/>
    </xf>
    <xf numFmtId="0" fontId="209" fillId="93" borderId="48" applyNumberFormat="0" applyProtection="0">
      <alignment horizontal="left" vertical="center" indent="1"/>
    </xf>
    <xf numFmtId="0" fontId="209" fillId="93" borderId="48" applyNumberFormat="0" applyProtection="0">
      <alignment horizontal="left" vertical="center" indent="1"/>
    </xf>
    <xf numFmtId="0" fontId="209" fillId="93" borderId="48" applyNumberFormat="0" applyProtection="0">
      <alignment horizontal="left" vertical="center" indent="1"/>
    </xf>
    <xf numFmtId="0" fontId="209" fillId="53" borderId="55" applyNumberFormat="0" applyProtection="0">
      <alignment horizontal="left" vertical="top" indent="1"/>
    </xf>
    <xf numFmtId="0" fontId="209" fillId="94" borderId="48" applyNumberFormat="0" applyProtection="0">
      <alignment horizontal="left" vertical="center" indent="1"/>
    </xf>
    <xf numFmtId="0" fontId="209" fillId="94" borderId="48" applyNumberFormat="0" applyProtection="0">
      <alignment horizontal="left" vertical="center" indent="1"/>
    </xf>
    <xf numFmtId="0" fontId="209" fillId="94" borderId="48" applyNumberFormat="0" applyProtection="0">
      <alignment horizontal="left" vertical="center" indent="1"/>
    </xf>
    <xf numFmtId="0" fontId="209" fillId="94" borderId="55" applyNumberFormat="0" applyProtection="0">
      <alignment horizontal="left" vertical="top" indent="1"/>
    </xf>
    <xf numFmtId="0" fontId="209" fillId="55" borderId="48" applyNumberFormat="0" applyProtection="0">
      <alignment horizontal="left" vertical="center" indent="1"/>
    </xf>
    <xf numFmtId="0" fontId="209" fillId="55" borderId="48" applyNumberFormat="0" applyProtection="0">
      <alignment horizontal="left" vertical="center" indent="1"/>
    </xf>
    <xf numFmtId="0" fontId="209" fillId="55" borderId="48" applyNumberFormat="0" applyProtection="0">
      <alignment horizontal="left" vertical="center" indent="1"/>
    </xf>
    <xf numFmtId="0" fontId="209" fillId="55" borderId="55" applyNumberFormat="0" applyProtection="0">
      <alignment horizontal="left" vertical="top" indent="1"/>
    </xf>
    <xf numFmtId="0" fontId="209" fillId="95" borderId="57" applyNumberFormat="0">
      <protection locked="0"/>
    </xf>
    <xf numFmtId="0" fontId="211" fillId="58" borderId="58" applyBorder="0"/>
    <xf numFmtId="4" fontId="212" fillId="96" borderId="55" applyNumberFormat="0" applyProtection="0">
      <alignment vertical="center"/>
    </xf>
    <xf numFmtId="4" fontId="230" fillId="97" borderId="1" applyNumberFormat="0" applyProtection="0">
      <alignment vertical="center"/>
    </xf>
    <xf numFmtId="4" fontId="212" fillId="56" borderId="55" applyNumberFormat="0" applyProtection="0">
      <alignment horizontal="left" vertical="center" indent="1"/>
    </xf>
    <xf numFmtId="0" fontId="212" fillId="96" borderId="55" applyNumberFormat="0" applyProtection="0">
      <alignment horizontal="left" vertical="top" indent="1"/>
    </xf>
    <xf numFmtId="4" fontId="209" fillId="0" borderId="48" applyNumberFormat="0" applyProtection="0">
      <alignment horizontal="right" vertical="center"/>
    </xf>
    <xf numFmtId="4" fontId="209" fillId="0" borderId="48" applyNumberFormat="0" applyProtection="0">
      <alignment horizontal="right" vertical="center"/>
    </xf>
    <xf numFmtId="4" fontId="209" fillId="0" borderId="48" applyNumberFormat="0" applyProtection="0">
      <alignment horizontal="right" vertical="center"/>
    </xf>
    <xf numFmtId="4" fontId="230" fillId="98" borderId="48" applyNumberFormat="0" applyProtection="0">
      <alignment horizontal="right" vertical="center"/>
    </xf>
    <xf numFmtId="4" fontId="209" fillId="85" borderId="48" applyNumberFormat="0" applyProtection="0">
      <alignment horizontal="left" vertical="center" indent="1"/>
    </xf>
    <xf numFmtId="4" fontId="209" fillId="85" borderId="48" applyNumberFormat="0" applyProtection="0">
      <alignment horizontal="left" vertical="center" indent="1"/>
    </xf>
    <xf numFmtId="4" fontId="209" fillId="85" borderId="48" applyNumberFormat="0" applyProtection="0">
      <alignment horizontal="left" vertical="center" indent="1"/>
    </xf>
    <xf numFmtId="0" fontId="212" fillId="53" borderId="55" applyNumberFormat="0" applyProtection="0">
      <alignment horizontal="left" vertical="top" indent="1"/>
    </xf>
    <xf numFmtId="4" fontId="214" fillId="99" borderId="56" applyNumberFormat="0" applyProtection="0">
      <alignment horizontal="left" vertical="center" indent="1"/>
    </xf>
    <xf numFmtId="0" fontId="209" fillId="100" borderId="1"/>
    <xf numFmtId="0" fontId="209" fillId="100" borderId="1"/>
    <xf numFmtId="0" fontId="209" fillId="100" borderId="1"/>
    <xf numFmtId="4" fontId="215" fillId="95" borderId="48" applyNumberFormat="0" applyProtection="0">
      <alignment horizontal="right" vertical="center"/>
    </xf>
    <xf numFmtId="0" fontId="228" fillId="0" borderId="0" applyNumberFormat="0" applyFill="0" applyBorder="0" applyAlignment="0" applyProtection="0"/>
    <xf numFmtId="0" fontId="221" fillId="0" borderId="59" applyNumberFormat="0" applyFill="0" applyAlignment="0" applyProtection="0"/>
    <xf numFmtId="0" fontId="229" fillId="0" borderId="0" applyNumberFormat="0" applyFill="0" applyBorder="0" applyAlignment="0" applyProtection="0"/>
    <xf numFmtId="0" fontId="216" fillId="60" borderId="0" applyNumberFormat="0" applyBorder="0" applyAlignment="0" applyProtection="0"/>
    <xf numFmtId="0" fontId="216" fillId="64" borderId="0" applyNumberFormat="0" applyBorder="0" applyAlignment="0" applyProtection="0"/>
    <xf numFmtId="0" fontId="216" fillId="68" borderId="0" applyNumberFormat="0" applyBorder="0" applyAlignment="0" applyProtection="0"/>
    <xf numFmtId="0" fontId="216" fillId="72" borderId="0" applyNumberFormat="0" applyBorder="0" applyAlignment="0" applyProtection="0"/>
    <xf numFmtId="0" fontId="216" fillId="63" borderId="0" applyNumberFormat="0" applyBorder="0" applyAlignment="0" applyProtection="0"/>
    <xf numFmtId="0" fontId="216" fillId="76" borderId="0" applyNumberFormat="0" applyBorder="0" applyAlignment="0" applyProtection="0"/>
  </cellStyleXfs>
  <cellXfs count="1392">
    <xf numFmtId="0" fontId="0" fillId="0" borderId="0" xfId="0"/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167" fontId="24" fillId="2" borderId="1" xfId="1" applyNumberFormat="1" applyFont="1" applyFill="1" applyBorder="1" applyAlignment="1" applyProtection="1">
      <alignment horizontal="center"/>
    </xf>
    <xf numFmtId="167" fontId="24" fillId="2" borderId="1" xfId="1" applyNumberFormat="1" applyFont="1" applyFill="1" applyBorder="1" applyAlignment="1" applyProtection="1"/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167" fontId="26" fillId="0" borderId="1" xfId="1" applyNumberFormat="1" applyFont="1" applyFill="1" applyBorder="1" applyAlignment="1" applyProtection="1">
      <alignment horizontal="center"/>
    </xf>
    <xf numFmtId="167" fontId="26" fillId="0" borderId="1" xfId="1" applyNumberFormat="1" applyFont="1" applyFill="1" applyBorder="1" applyAlignment="1" applyProtection="1"/>
    <xf numFmtId="167" fontId="26" fillId="0" borderId="1" xfId="1" applyNumberFormat="1" applyFont="1" applyFill="1" applyBorder="1"/>
    <xf numFmtId="167" fontId="26" fillId="2" borderId="1" xfId="1" applyNumberFormat="1" applyFont="1" applyFill="1" applyBorder="1" applyAlignment="1" applyProtection="1">
      <alignment horizontal="center"/>
    </xf>
    <xf numFmtId="167" fontId="24" fillId="2" borderId="1" xfId="1" applyNumberFormat="1" applyFont="1" applyFill="1" applyBorder="1"/>
    <xf numFmtId="0" fontId="28" fillId="0" borderId="1" xfId="0" applyFont="1" applyBorder="1"/>
    <xf numFmtId="0" fontId="23" fillId="0" borderId="1" xfId="0" applyFont="1" applyBorder="1" applyAlignment="1">
      <alignment horizontal="center"/>
    </xf>
    <xf numFmtId="167" fontId="27" fillId="0" borderId="1" xfId="1" applyNumberFormat="1" applyFont="1" applyFill="1" applyBorder="1" applyAlignment="1" applyProtection="1">
      <alignment horizontal="center"/>
    </xf>
    <xf numFmtId="167" fontId="28" fillId="0" borderId="1" xfId="1" applyNumberFormat="1" applyFont="1" applyFill="1" applyBorder="1" applyAlignment="1" applyProtection="1"/>
    <xf numFmtId="167" fontId="28" fillId="0" borderId="1" xfId="1" applyNumberFormat="1" applyFont="1" applyFill="1" applyBorder="1"/>
    <xf numFmtId="166" fontId="24" fillId="2" borderId="1" xfId="1" applyFont="1" applyFill="1" applyBorder="1" applyAlignment="1" applyProtection="1">
      <alignment horizontal="center"/>
    </xf>
    <xf numFmtId="166" fontId="28" fillId="0" borderId="1" xfId="1" applyFont="1" applyFill="1" applyBorder="1" applyAlignment="1" applyProtection="1">
      <alignment horizontal="center"/>
    </xf>
    <xf numFmtId="166" fontId="24" fillId="2" borderId="1" xfId="1" applyFont="1" applyFill="1" applyBorder="1" applyAlignment="1" applyProtection="1"/>
    <xf numFmtId="166" fontId="26" fillId="0" borderId="1" xfId="1" applyFont="1" applyFill="1" applyBorder="1" applyAlignment="1" applyProtection="1"/>
    <xf numFmtId="166" fontId="26" fillId="0" borderId="1" xfId="1" applyFont="1" applyFill="1" applyBorder="1"/>
    <xf numFmtId="0" fontId="28" fillId="0" borderId="1" xfId="0" applyFont="1" applyBorder="1" applyAlignment="1">
      <alignment horizontal="center"/>
    </xf>
    <xf numFmtId="166" fontId="26" fillId="0" borderId="1" xfId="1" applyFont="1" applyFill="1" applyBorder="1" applyAlignment="1" applyProtection="1">
      <alignment horizontal="center"/>
    </xf>
    <xf numFmtId="166" fontId="29" fillId="0" borderId="1" xfId="1" applyFont="1" applyFill="1" applyBorder="1"/>
    <xf numFmtId="0" fontId="32" fillId="3" borderId="4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center" vertical="center"/>
    </xf>
    <xf numFmtId="0" fontId="35" fillId="0" borderId="1" xfId="3" applyFont="1" applyBorder="1" applyAlignment="1">
      <alignment horizontal="left" vertical="center"/>
    </xf>
    <xf numFmtId="0" fontId="0" fillId="0" borderId="1" xfId="0" applyBorder="1"/>
    <xf numFmtId="0" fontId="36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 wrapText="1"/>
    </xf>
    <xf numFmtId="0" fontId="36" fillId="0" borderId="1" xfId="0" applyFont="1" applyBorder="1"/>
    <xf numFmtId="0" fontId="37" fillId="0" borderId="1" xfId="0" applyFont="1" applyBorder="1"/>
    <xf numFmtId="0" fontId="33" fillId="0" borderId="1" xfId="0" applyFont="1" applyBorder="1" applyAlignment="1">
      <alignment vertical="center"/>
    </xf>
    <xf numFmtId="0" fontId="3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 vertical="center"/>
    </xf>
    <xf numFmtId="0" fontId="38" fillId="3" borderId="4" xfId="0" applyFont="1" applyFill="1" applyBorder="1" applyAlignment="1">
      <alignment horizontal="left" vertical="center"/>
    </xf>
    <xf numFmtId="166" fontId="0" fillId="0" borderId="1" xfId="0" applyNumberFormat="1" applyBorder="1"/>
    <xf numFmtId="0" fontId="37" fillId="0" borderId="1" xfId="0" applyFont="1" applyBorder="1" applyAlignment="1">
      <alignment horizontal="center"/>
    </xf>
    <xf numFmtId="0" fontId="22" fillId="5" borderId="1" xfId="0" applyFont="1" applyFill="1" applyBorder="1" applyAlignment="1">
      <alignment horizontal="center" vertical="center"/>
    </xf>
    <xf numFmtId="17" fontId="22" fillId="5" borderId="1" xfId="0" applyNumberFormat="1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left" vertical="center"/>
    </xf>
    <xf numFmtId="0" fontId="39" fillId="6" borderId="1" xfId="0" applyFont="1" applyFill="1" applyBorder="1" applyAlignment="1">
      <alignment horizontal="center"/>
    </xf>
    <xf numFmtId="0" fontId="0" fillId="6" borderId="1" xfId="0" applyFill="1" applyBorder="1"/>
    <xf numFmtId="0" fontId="34" fillId="7" borderId="1" xfId="3" applyFill="1" applyBorder="1" applyAlignment="1">
      <alignment horizontal="center" vertical="center"/>
    </xf>
    <xf numFmtId="0" fontId="34" fillId="7" borderId="1" xfId="3" applyFill="1" applyBorder="1" applyAlignment="1">
      <alignment horizontal="left" vertical="center"/>
    </xf>
    <xf numFmtId="0" fontId="34" fillId="7" borderId="0" xfId="3" applyFill="1" applyAlignment="1">
      <alignment horizontal="left" vertical="center"/>
    </xf>
    <xf numFmtId="10" fontId="40" fillId="7" borderId="0" xfId="4" applyNumberFormat="1" applyFont="1" applyFill="1" applyBorder="1" applyAlignment="1">
      <alignment horizontal="center" vertical="center"/>
    </xf>
    <xf numFmtId="0" fontId="43" fillId="9" borderId="1" xfId="0" applyFont="1" applyFill="1" applyBorder="1" applyAlignment="1">
      <alignment horizontal="left" vertical="center"/>
    </xf>
    <xf numFmtId="0" fontId="44" fillId="7" borderId="1" xfId="0" applyFont="1" applyFill="1" applyBorder="1" applyAlignment="1">
      <alignment horizontal="right" vertical="center"/>
    </xf>
    <xf numFmtId="0" fontId="45" fillId="7" borderId="1" xfId="0" applyFont="1" applyFill="1" applyBorder="1" applyAlignment="1">
      <alignment horizontal="right" vertical="center"/>
    </xf>
    <xf numFmtId="0" fontId="34" fillId="7" borderId="3" xfId="3" applyFill="1" applyBorder="1" applyAlignment="1">
      <alignment horizontal="left" vertical="center"/>
    </xf>
    <xf numFmtId="0" fontId="47" fillId="7" borderId="4" xfId="3" applyFont="1" applyFill="1" applyBorder="1" applyAlignment="1">
      <alignment horizontal="left" vertical="center"/>
    </xf>
    <xf numFmtId="0" fontId="34" fillId="7" borderId="4" xfId="3" applyFill="1" applyBorder="1" applyAlignment="1">
      <alignment horizontal="center" vertical="center"/>
    </xf>
    <xf numFmtId="0" fontId="34" fillId="10" borderId="10" xfId="3" applyFill="1" applyBorder="1" applyAlignment="1">
      <alignment horizontal="left" vertical="center"/>
    </xf>
    <xf numFmtId="0" fontId="34" fillId="10" borderId="11" xfId="3" applyFill="1" applyBorder="1" applyAlignment="1">
      <alignment horizontal="left" vertical="center"/>
    </xf>
    <xf numFmtId="0" fontId="34" fillId="10" borderId="12" xfId="3" applyFill="1" applyBorder="1" applyAlignment="1">
      <alignment horizontal="left" vertical="center"/>
    </xf>
    <xf numFmtId="0" fontId="48" fillId="10" borderId="12" xfId="3" applyFont="1" applyFill="1" applyBorder="1" applyAlignment="1">
      <alignment horizontal="left" vertical="center"/>
    </xf>
    <xf numFmtId="0" fontId="49" fillId="10" borderId="12" xfId="3" applyFont="1" applyFill="1" applyBorder="1" applyAlignment="1">
      <alignment horizontal="left" vertical="center"/>
    </xf>
    <xf numFmtId="0" fontId="34" fillId="10" borderId="2" xfId="3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42" fillId="7" borderId="11" xfId="0" applyFont="1" applyFill="1" applyBorder="1" applyAlignment="1">
      <alignment horizontal="left" vertical="center"/>
    </xf>
    <xf numFmtId="0" fontId="42" fillId="7" borderId="11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7" borderId="14" xfId="0" applyFill="1" applyBorder="1" applyAlignment="1">
      <alignment horizontal="left" vertical="center"/>
    </xf>
    <xf numFmtId="0" fontId="0" fillId="7" borderId="14" xfId="0" applyFill="1" applyBorder="1" applyAlignment="1">
      <alignment horizontal="center" vertical="center"/>
    </xf>
    <xf numFmtId="0" fontId="43" fillId="11" borderId="1" xfId="3" applyFont="1" applyFill="1" applyBorder="1" applyAlignment="1">
      <alignment horizontal="left" vertical="center" wrapText="1"/>
    </xf>
    <xf numFmtId="0" fontId="46" fillId="8" borderId="1" xfId="3" applyFont="1" applyFill="1" applyBorder="1" applyAlignment="1">
      <alignment horizontal="left" vertical="center"/>
    </xf>
    <xf numFmtId="0" fontId="52" fillId="12" borderId="10" xfId="3" applyFont="1" applyFill="1" applyBorder="1"/>
    <xf numFmtId="0" fontId="52" fillId="12" borderId="12" xfId="3" applyFont="1" applyFill="1" applyBorder="1"/>
    <xf numFmtId="0" fontId="53" fillId="12" borderId="13" xfId="3" applyFont="1" applyFill="1" applyBorder="1"/>
    <xf numFmtId="0" fontId="52" fillId="13" borderId="10" xfId="3" applyFont="1" applyFill="1" applyBorder="1"/>
    <xf numFmtId="0" fontId="52" fillId="13" borderId="12" xfId="3" applyFont="1" applyFill="1" applyBorder="1"/>
    <xf numFmtId="0" fontId="53" fillId="13" borderId="12" xfId="3" applyFont="1" applyFill="1" applyBorder="1"/>
    <xf numFmtId="0" fontId="52" fillId="13" borderId="11" xfId="3" applyFont="1" applyFill="1" applyBorder="1"/>
    <xf numFmtId="0" fontId="52" fillId="14" borderId="10" xfId="3" applyFont="1" applyFill="1" applyBorder="1"/>
    <xf numFmtId="0" fontId="52" fillId="14" borderId="12" xfId="3" applyFont="1" applyFill="1" applyBorder="1"/>
    <xf numFmtId="0" fontId="53" fillId="14" borderId="12" xfId="3" applyFont="1" applyFill="1" applyBorder="1"/>
    <xf numFmtId="0" fontId="53" fillId="14" borderId="11" xfId="3" applyFont="1" applyFill="1" applyBorder="1"/>
    <xf numFmtId="0" fontId="52" fillId="5" borderId="10" xfId="3" applyFont="1" applyFill="1" applyBorder="1"/>
    <xf numFmtId="0" fontId="52" fillId="5" borderId="12" xfId="3" applyFont="1" applyFill="1" applyBorder="1"/>
    <xf numFmtId="0" fontId="53" fillId="5" borderId="12" xfId="3" applyFont="1" applyFill="1" applyBorder="1"/>
    <xf numFmtId="0" fontId="53" fillId="5" borderId="11" xfId="3" applyFont="1" applyFill="1" applyBorder="1"/>
    <xf numFmtId="0" fontId="52" fillId="15" borderId="10" xfId="3" applyFont="1" applyFill="1" applyBorder="1"/>
    <xf numFmtId="0" fontId="52" fillId="15" borderId="12" xfId="3" applyFont="1" applyFill="1" applyBorder="1"/>
    <xf numFmtId="0" fontId="53" fillId="15" borderId="12" xfId="3" applyFont="1" applyFill="1" applyBorder="1"/>
    <xf numFmtId="0" fontId="53" fillId="15" borderId="11" xfId="3" applyFont="1" applyFill="1" applyBorder="1"/>
    <xf numFmtId="0" fontId="52" fillId="16" borderId="1" xfId="3" applyFont="1" applyFill="1" applyBorder="1"/>
    <xf numFmtId="0" fontId="34" fillId="0" borderId="0" xfId="3"/>
    <xf numFmtId="0" fontId="34" fillId="7" borderId="0" xfId="3" applyFill="1" applyAlignment="1">
      <alignment horizontal="center" vertical="center"/>
    </xf>
    <xf numFmtId="0" fontId="34" fillId="7" borderId="0" xfId="3" applyFill="1" applyAlignment="1">
      <alignment horizontal="right" vertical="center"/>
    </xf>
    <xf numFmtId="43" fontId="34" fillId="7" borderId="0" xfId="3" applyNumberFormat="1" applyFill="1" applyAlignment="1">
      <alignment horizontal="center" vertical="center"/>
    </xf>
    <xf numFmtId="0" fontId="34" fillId="7" borderId="10" xfId="3" applyFill="1" applyBorder="1" applyAlignment="1">
      <alignment horizontal="center" vertical="center"/>
    </xf>
    <xf numFmtId="43" fontId="40" fillId="7" borderId="10" xfId="4" applyFont="1" applyFill="1" applyBorder="1" applyAlignment="1">
      <alignment horizontal="right" vertical="center"/>
    </xf>
    <xf numFmtId="43" fontId="0" fillId="7" borderId="10" xfId="4" applyFont="1" applyFill="1" applyBorder="1" applyAlignment="1">
      <alignment horizontal="center" vertical="center"/>
    </xf>
    <xf numFmtId="43" fontId="40" fillId="7" borderId="10" xfId="4" applyFont="1" applyFill="1" applyBorder="1" applyAlignment="1">
      <alignment horizontal="center" vertical="center"/>
    </xf>
    <xf numFmtId="0" fontId="34" fillId="7" borderId="12" xfId="3" applyFill="1" applyBorder="1" applyAlignment="1">
      <alignment horizontal="center" vertical="center"/>
    </xf>
    <xf numFmtId="43" fontId="40" fillId="7" borderId="12" xfId="4" applyFont="1" applyFill="1" applyBorder="1" applyAlignment="1">
      <alignment horizontal="right" vertical="center"/>
    </xf>
    <xf numFmtId="43" fontId="0" fillId="7" borderId="12" xfId="4" applyFont="1" applyFill="1" applyBorder="1" applyAlignment="1">
      <alignment horizontal="center" vertical="center"/>
    </xf>
    <xf numFmtId="43" fontId="40" fillId="7" borderId="12" xfId="4" applyFont="1" applyFill="1" applyBorder="1" applyAlignment="1">
      <alignment horizontal="center" vertical="center"/>
    </xf>
    <xf numFmtId="0" fontId="54" fillId="7" borderId="13" xfId="3" applyFont="1" applyFill="1" applyBorder="1" applyAlignment="1">
      <alignment horizontal="center" vertical="center"/>
    </xf>
    <xf numFmtId="43" fontId="55" fillId="7" borderId="13" xfId="4" applyFont="1" applyFill="1" applyBorder="1" applyAlignment="1">
      <alignment horizontal="right" vertical="center"/>
    </xf>
    <xf numFmtId="43" fontId="54" fillId="7" borderId="0" xfId="3" applyNumberFormat="1" applyFont="1" applyFill="1" applyAlignment="1">
      <alignment horizontal="center" vertical="center"/>
    </xf>
    <xf numFmtId="0" fontId="54" fillId="7" borderId="0" xfId="3" applyFont="1" applyFill="1" applyAlignment="1">
      <alignment horizontal="center" vertical="center"/>
    </xf>
    <xf numFmtId="0" fontId="54" fillId="0" borderId="0" xfId="3" applyFont="1"/>
    <xf numFmtId="0" fontId="54" fillId="7" borderId="12" xfId="3" applyFont="1" applyFill="1" applyBorder="1" applyAlignment="1">
      <alignment horizontal="center" vertical="center"/>
    </xf>
    <xf numFmtId="43" fontId="55" fillId="7" borderId="12" xfId="4" applyFont="1" applyFill="1" applyBorder="1" applyAlignment="1">
      <alignment horizontal="right" vertical="center"/>
    </xf>
    <xf numFmtId="0" fontId="34" fillId="7" borderId="11" xfId="3" applyFill="1" applyBorder="1" applyAlignment="1">
      <alignment horizontal="center" vertical="center"/>
    </xf>
    <xf numFmtId="43" fontId="0" fillId="7" borderId="11" xfId="4" applyFont="1" applyFill="1" applyBorder="1" applyAlignment="1">
      <alignment horizontal="center" vertical="center"/>
    </xf>
    <xf numFmtId="43" fontId="40" fillId="7" borderId="11" xfId="4" applyFont="1" applyFill="1" applyBorder="1" applyAlignment="1">
      <alignment horizontal="center" vertical="center"/>
    </xf>
    <xf numFmtId="0" fontId="54" fillId="7" borderId="11" xfId="3" applyFont="1" applyFill="1" applyBorder="1" applyAlignment="1">
      <alignment horizontal="center" vertical="center"/>
    </xf>
    <xf numFmtId="168" fontId="40" fillId="7" borderId="10" xfId="4" applyNumberFormat="1" applyFont="1" applyFill="1" applyBorder="1" applyAlignment="1">
      <alignment horizontal="right" vertical="center"/>
    </xf>
    <xf numFmtId="168" fontId="40" fillId="7" borderId="12" xfId="4" applyNumberFormat="1" applyFont="1" applyFill="1" applyBorder="1" applyAlignment="1">
      <alignment horizontal="right" vertical="center"/>
    </xf>
    <xf numFmtId="168" fontId="40" fillId="7" borderId="1" xfId="4" applyNumberFormat="1" applyFont="1" applyFill="1" applyBorder="1" applyAlignment="1">
      <alignment horizontal="right" vertical="center"/>
    </xf>
    <xf numFmtId="43" fontId="0" fillId="7" borderId="1" xfId="4" applyFont="1" applyFill="1" applyBorder="1" applyAlignment="1">
      <alignment horizontal="center" vertical="center"/>
    </xf>
    <xf numFmtId="43" fontId="40" fillId="7" borderId="1" xfId="4" applyFont="1" applyFill="1" applyBorder="1" applyAlignment="1">
      <alignment horizontal="center" vertical="center"/>
    </xf>
    <xf numFmtId="167" fontId="34" fillId="7" borderId="0" xfId="3" applyNumberFormat="1" applyFill="1" applyAlignment="1">
      <alignment horizontal="center" vertical="center"/>
    </xf>
    <xf numFmtId="0" fontId="34" fillId="0" borderId="0" xfId="3" applyAlignment="1">
      <alignment horizontal="right"/>
    </xf>
    <xf numFmtId="43" fontId="0" fillId="0" borderId="12" xfId="4" applyFont="1" applyFill="1" applyBorder="1" applyAlignment="1">
      <alignment horizontal="center" vertical="center"/>
    </xf>
    <xf numFmtId="43" fontId="0" fillId="0" borderId="10" xfId="4" applyFont="1" applyFill="1" applyBorder="1" applyAlignment="1">
      <alignment horizontal="center" vertical="center"/>
    </xf>
    <xf numFmtId="43" fontId="0" fillId="0" borderId="1" xfId="4" applyFont="1" applyFill="1" applyBorder="1" applyAlignment="1">
      <alignment horizontal="center" vertical="center"/>
    </xf>
    <xf numFmtId="0" fontId="57" fillId="0" borderId="1" xfId="0" applyFont="1" applyBorder="1"/>
    <xf numFmtId="0" fontId="57" fillId="0" borderId="0" xfId="0" applyFont="1"/>
    <xf numFmtId="0" fontId="58" fillId="0" borderId="1" xfId="0" applyFont="1" applyBorder="1" applyAlignment="1">
      <alignment vertical="center"/>
    </xf>
    <xf numFmtId="0" fontId="58" fillId="0" borderId="1" xfId="0" applyFont="1" applyBorder="1"/>
    <xf numFmtId="0" fontId="57" fillId="0" borderId="1" xfId="0" applyFont="1" applyFill="1" applyBorder="1"/>
    <xf numFmtId="0" fontId="0" fillId="0" borderId="0" xfId="0" applyAlignment="1">
      <alignment vertical="center"/>
    </xf>
    <xf numFmtId="0" fontId="33" fillId="4" borderId="7" xfId="0" applyFont="1" applyFill="1" applyBorder="1" applyAlignment="1">
      <alignment vertical="center"/>
    </xf>
    <xf numFmtId="0" fontId="33" fillId="4" borderId="1" xfId="0" applyFont="1" applyFill="1" applyBorder="1"/>
    <xf numFmtId="17" fontId="33" fillId="0" borderId="2" xfId="0" applyNumberFormat="1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1" fontId="0" fillId="0" borderId="1" xfId="0" applyNumberFormat="1" applyBorder="1"/>
    <xf numFmtId="0" fontId="59" fillId="0" borderId="0" xfId="0" applyFont="1"/>
    <xf numFmtId="0" fontId="33" fillId="0" borderId="0" xfId="0" applyFont="1" applyAlignment="1">
      <alignment horizontal="right"/>
    </xf>
    <xf numFmtId="0" fontId="34" fillId="0" borderId="1" xfId="3" applyFill="1" applyBorder="1" applyAlignment="1">
      <alignment horizontal="left" vertical="center"/>
    </xf>
    <xf numFmtId="0" fontId="62" fillId="0" borderId="1" xfId="0" applyFont="1" applyBorder="1" applyAlignment="1">
      <alignment horizontal="left" vertical="center"/>
    </xf>
    <xf numFmtId="166" fontId="62" fillId="0" borderId="1" xfId="0" applyNumberFormat="1" applyFont="1" applyBorder="1" applyAlignment="1">
      <alignment horizontal="left" vertical="center"/>
    </xf>
    <xf numFmtId="0" fontId="62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56" fillId="0" borderId="0" xfId="6"/>
    <xf numFmtId="10" fontId="0" fillId="0" borderId="0" xfId="0" applyNumberFormat="1"/>
    <xf numFmtId="0" fontId="0" fillId="0" borderId="0" xfId="0" applyFill="1" applyBorder="1" applyAlignment="1">
      <alignment horizontal="left" vertical="top"/>
    </xf>
    <xf numFmtId="9" fontId="0" fillId="0" borderId="0" xfId="0" applyNumberFormat="1"/>
    <xf numFmtId="0" fontId="0" fillId="0" borderId="0" xfId="0" applyFill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0" fontId="36" fillId="17" borderId="0" xfId="0" applyFont="1" applyFill="1" applyAlignment="1">
      <alignment horizontal="center" vertical="center"/>
    </xf>
    <xf numFmtId="166" fontId="36" fillId="17" borderId="0" xfId="1" applyFont="1" applyFill="1" applyAlignment="1">
      <alignment vertical="center"/>
    </xf>
    <xf numFmtId="0" fontId="33" fillId="0" borderId="0" xfId="0" applyFont="1" applyAlignment="1">
      <alignment vertical="center"/>
    </xf>
    <xf numFmtId="0" fontId="63" fillId="11" borderId="1" xfId="0" applyFont="1" applyFill="1" applyBorder="1"/>
    <xf numFmtId="0" fontId="63" fillId="11" borderId="1" xfId="0" applyFont="1" applyFill="1" applyBorder="1" applyAlignment="1">
      <alignment horizontal="center"/>
    </xf>
    <xf numFmtId="17" fontId="33" fillId="10" borderId="2" xfId="0" applyNumberFormat="1" applyFont="1" applyFill="1" applyBorder="1" applyAlignment="1">
      <alignment horizontal="center"/>
    </xf>
    <xf numFmtId="0" fontId="63" fillId="7" borderId="1" xfId="0" applyFont="1" applyFill="1" applyBorder="1"/>
    <xf numFmtId="0" fontId="64" fillId="7" borderId="1" xfId="0" applyFont="1" applyFill="1" applyBorder="1" applyAlignment="1">
      <alignment horizontal="center"/>
    </xf>
    <xf numFmtId="166" fontId="65" fillId="7" borderId="1" xfId="1" applyFont="1" applyFill="1" applyBorder="1"/>
    <xf numFmtId="0" fontId="63" fillId="7" borderId="1" xfId="0" applyFont="1" applyFill="1" applyBorder="1" applyAlignment="1">
      <alignment horizontal="center"/>
    </xf>
    <xf numFmtId="166" fontId="63" fillId="7" borderId="1" xfId="1" applyFont="1" applyFill="1" applyBorder="1"/>
    <xf numFmtId="0" fontId="63" fillId="0" borderId="1" xfId="0" applyFont="1" applyBorder="1" applyAlignment="1">
      <alignment horizontal="center"/>
    </xf>
    <xf numFmtId="0" fontId="66" fillId="0" borderId="0" xfId="0" applyFont="1" applyAlignment="1">
      <alignment horizontal="left" vertical="center"/>
    </xf>
    <xf numFmtId="0" fontId="60" fillId="0" borderId="0" xfId="0" applyFont="1" applyAlignment="1">
      <alignment vertical="center"/>
    </xf>
    <xf numFmtId="0" fontId="60" fillId="0" borderId="0" xfId="0" applyFont="1" applyAlignment="1">
      <alignment horizontal="center" vertical="center"/>
    </xf>
    <xf numFmtId="43" fontId="60" fillId="0" borderId="0" xfId="0" applyNumberFormat="1" applyFont="1" applyAlignment="1">
      <alignment vertical="center"/>
    </xf>
    <xf numFmtId="0" fontId="66" fillId="18" borderId="0" xfId="0" applyFont="1" applyFill="1" applyAlignment="1">
      <alignment horizontal="left" vertical="center"/>
    </xf>
    <xf numFmtId="0" fontId="36" fillId="18" borderId="0" xfId="0" applyFont="1" applyFill="1" applyAlignment="1">
      <alignment horizontal="center" vertical="center"/>
    </xf>
    <xf numFmtId="0" fontId="36" fillId="18" borderId="0" xfId="0" applyFont="1" applyFill="1" applyAlignment="1">
      <alignment vertical="center"/>
    </xf>
    <xf numFmtId="0" fontId="22" fillId="10" borderId="1" xfId="0" applyFont="1" applyFill="1" applyBorder="1" applyAlignment="1">
      <alignment horizontal="center" vertical="center"/>
    </xf>
    <xf numFmtId="17" fontId="22" fillId="10" borderId="2" xfId="0" applyNumberFormat="1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166" fontId="20" fillId="0" borderId="1" xfId="1" applyFont="1" applyBorder="1"/>
    <xf numFmtId="0" fontId="68" fillId="0" borderId="1" xfId="0" applyFont="1" applyBorder="1" applyAlignment="1">
      <alignment horizontal="center" vertical="center"/>
    </xf>
    <xf numFmtId="167" fontId="36" fillId="18" borderId="0" xfId="0" applyNumberFormat="1" applyFont="1" applyFill="1" applyAlignment="1">
      <alignment vertical="center"/>
    </xf>
    <xf numFmtId="0" fontId="63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/>
    </xf>
    <xf numFmtId="167" fontId="36" fillId="0" borderId="1" xfId="1" applyNumberFormat="1" applyFont="1" applyBorder="1" applyAlignment="1">
      <alignment vertical="center"/>
    </xf>
    <xf numFmtId="0" fontId="63" fillId="2" borderId="1" xfId="0" applyFont="1" applyFill="1" applyBorder="1" applyAlignment="1">
      <alignment vertical="center"/>
    </xf>
    <xf numFmtId="166" fontId="36" fillId="0" borderId="1" xfId="1" applyFont="1" applyBorder="1" applyAlignment="1">
      <alignment vertical="center"/>
    </xf>
    <xf numFmtId="0" fontId="70" fillId="2" borderId="1" xfId="0" applyFont="1" applyFill="1" applyBorder="1" applyAlignment="1">
      <alignment horizontal="center" vertical="center"/>
    </xf>
    <xf numFmtId="0" fontId="63" fillId="17" borderId="1" xfId="0" applyFont="1" applyFill="1" applyBorder="1" applyAlignment="1">
      <alignment horizontal="center" vertical="center"/>
    </xf>
    <xf numFmtId="0" fontId="69" fillId="17" borderId="1" xfId="0" applyFont="1" applyFill="1" applyBorder="1" applyAlignment="1">
      <alignment horizontal="center" vertical="center"/>
    </xf>
    <xf numFmtId="0" fontId="63" fillId="17" borderId="1" xfId="0" applyFont="1" applyFill="1" applyBorder="1" applyAlignment="1">
      <alignment vertical="center"/>
    </xf>
    <xf numFmtId="0" fontId="70" fillId="17" borderId="1" xfId="0" applyFont="1" applyFill="1" applyBorder="1" applyAlignment="1">
      <alignment horizontal="center" vertical="center"/>
    </xf>
    <xf numFmtId="0" fontId="63" fillId="19" borderId="1" xfId="0" applyFont="1" applyFill="1" applyBorder="1" applyAlignment="1">
      <alignment horizontal="center" vertical="center"/>
    </xf>
    <xf numFmtId="0" fontId="69" fillId="19" borderId="1" xfId="0" applyFont="1" applyFill="1" applyBorder="1" applyAlignment="1">
      <alignment horizontal="center" vertical="center"/>
    </xf>
    <xf numFmtId="0" fontId="63" fillId="19" borderId="1" xfId="0" applyFont="1" applyFill="1" applyBorder="1" applyAlignment="1">
      <alignment vertical="center"/>
    </xf>
    <xf numFmtId="0" fontId="70" fillId="19" borderId="1" xfId="0" applyFont="1" applyFill="1" applyBorder="1" applyAlignment="1">
      <alignment horizontal="center" vertical="center"/>
    </xf>
    <xf numFmtId="167" fontId="60" fillId="0" borderId="1" xfId="1" applyNumberFormat="1" applyFont="1" applyBorder="1" applyAlignment="1">
      <alignment vertical="center"/>
    </xf>
    <xf numFmtId="167" fontId="71" fillId="0" borderId="1" xfId="1" applyNumberFormat="1" applyFont="1" applyBorder="1" applyAlignment="1">
      <alignment vertical="center"/>
    </xf>
    <xf numFmtId="0" fontId="70" fillId="20" borderId="1" xfId="0" applyFont="1" applyFill="1" applyBorder="1" applyAlignment="1">
      <alignment horizontal="center" vertical="center"/>
    </xf>
    <xf numFmtId="0" fontId="69" fillId="20" borderId="1" xfId="0" applyFont="1" applyFill="1" applyBorder="1" applyAlignment="1">
      <alignment horizontal="center" vertical="center"/>
    </xf>
    <xf numFmtId="0" fontId="63" fillId="20" borderId="1" xfId="0" applyFont="1" applyFill="1" applyBorder="1" applyAlignment="1">
      <alignment horizontal="center" vertical="center"/>
    </xf>
    <xf numFmtId="0" fontId="67" fillId="20" borderId="1" xfId="0" applyFont="1" applyFill="1" applyBorder="1" applyAlignment="1">
      <alignment horizontal="left" vertical="center"/>
    </xf>
    <xf numFmtId="0" fontId="63" fillId="21" borderId="1" xfId="0" applyFont="1" applyFill="1" applyBorder="1" applyAlignment="1">
      <alignment horizontal="center" vertical="center"/>
    </xf>
    <xf numFmtId="0" fontId="72" fillId="21" borderId="1" xfId="0" applyFont="1" applyFill="1" applyBorder="1" applyAlignment="1">
      <alignment horizontal="center" vertical="center"/>
    </xf>
    <xf numFmtId="0" fontId="70" fillId="21" borderId="1" xfId="0" applyFont="1" applyFill="1" applyBorder="1" applyAlignment="1">
      <alignment horizontal="center" vertical="center"/>
    </xf>
    <xf numFmtId="0" fontId="63" fillId="21" borderId="5" xfId="0" applyFont="1" applyFill="1" applyBorder="1" applyAlignment="1">
      <alignment horizontal="center" vertical="center"/>
    </xf>
    <xf numFmtId="0" fontId="70" fillId="21" borderId="5" xfId="0" applyFont="1" applyFill="1" applyBorder="1" applyAlignment="1">
      <alignment horizontal="center" vertical="center"/>
    </xf>
    <xf numFmtId="17" fontId="22" fillId="10" borderId="1" xfId="0" applyNumberFormat="1" applyFont="1" applyFill="1" applyBorder="1" applyAlignment="1">
      <alignment horizontal="center" vertical="center"/>
    </xf>
    <xf numFmtId="0" fontId="63" fillId="7" borderId="1" xfId="0" applyFont="1" applyFill="1" applyBorder="1" applyAlignment="1">
      <alignment horizontal="center" vertical="center"/>
    </xf>
    <xf numFmtId="166" fontId="36" fillId="0" borderId="7" xfId="1" applyFont="1" applyBorder="1" applyAlignment="1">
      <alignment vertical="center"/>
    </xf>
    <xf numFmtId="166" fontId="73" fillId="0" borderId="7" xfId="1" applyFont="1" applyBorder="1" applyAlignment="1">
      <alignment vertical="center"/>
    </xf>
    <xf numFmtId="43" fontId="36" fillId="18" borderId="0" xfId="0" applyNumberFormat="1" applyFont="1" applyFill="1" applyAlignment="1">
      <alignment vertical="center"/>
    </xf>
    <xf numFmtId="166" fontId="71" fillId="0" borderId="1" xfId="1" applyFont="1" applyBorder="1" applyAlignment="1">
      <alignment vertical="center"/>
    </xf>
    <xf numFmtId="0" fontId="36" fillId="0" borderId="15" xfId="0" applyFont="1" applyBorder="1" applyAlignment="1">
      <alignment horizontal="center" vertical="center"/>
    </xf>
    <xf numFmtId="0" fontId="63" fillId="7" borderId="16" xfId="0" applyFont="1" applyFill="1" applyBorder="1" applyAlignment="1">
      <alignment horizontal="center" vertical="center"/>
    </xf>
    <xf numFmtId="0" fontId="63" fillId="7" borderId="17" xfId="0" applyFont="1" applyFill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63" fillId="7" borderId="19" xfId="0" applyFont="1" applyFill="1" applyBorder="1" applyAlignment="1">
      <alignment horizontal="center" vertical="center"/>
    </xf>
    <xf numFmtId="0" fontId="63" fillId="7" borderId="20" xfId="0" applyFont="1" applyFill="1" applyBorder="1" applyAlignment="1">
      <alignment horizontal="center" vertical="center"/>
    </xf>
    <xf numFmtId="0" fontId="63" fillId="7" borderId="3" xfId="0" applyFont="1" applyFill="1" applyBorder="1" applyAlignment="1">
      <alignment horizontal="center" vertical="center"/>
    </xf>
    <xf numFmtId="0" fontId="74" fillId="0" borderId="1" xfId="0" applyFont="1" applyBorder="1"/>
    <xf numFmtId="0" fontId="19" fillId="0" borderId="1" xfId="0" applyFont="1" applyBorder="1" applyAlignment="1">
      <alignment vertical="center"/>
    </xf>
    <xf numFmtId="0" fontId="0" fillId="0" borderId="21" xfId="0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34" fillId="0" borderId="0" xfId="3" applyFill="1" applyAlignment="1">
      <alignment horizontal="center" vertical="center"/>
    </xf>
    <xf numFmtId="0" fontId="19" fillId="0" borderId="1" xfId="0" applyFont="1" applyBorder="1"/>
    <xf numFmtId="0" fontId="19" fillId="0" borderId="1" xfId="0" applyFont="1" applyBorder="1" applyAlignment="1">
      <alignment vertical="center" wrapText="1"/>
    </xf>
    <xf numFmtId="170" fontId="74" fillId="0" borderId="1" xfId="0" applyNumberFormat="1" applyFont="1" applyBorder="1"/>
    <xf numFmtId="170" fontId="74" fillId="0" borderId="1" xfId="1" applyNumberFormat="1" applyFont="1" applyBorder="1"/>
    <xf numFmtId="170" fontId="0" fillId="0" borderId="0" xfId="0" applyNumberFormat="1"/>
    <xf numFmtId="0" fontId="43" fillId="0" borderId="1" xfId="0" applyFont="1" applyBorder="1" applyAlignment="1">
      <alignment vertical="center"/>
    </xf>
    <xf numFmtId="1" fontId="61" fillId="0" borderId="0" xfId="7" applyNumberFormat="1"/>
    <xf numFmtId="2" fontId="61" fillId="0" borderId="0" xfId="7" applyNumberFormat="1"/>
    <xf numFmtId="171" fontId="61" fillId="0" borderId="0" xfId="7" applyNumberFormat="1"/>
    <xf numFmtId="172" fontId="61" fillId="0" borderId="0" xfId="7" applyNumberFormat="1"/>
    <xf numFmtId="173" fontId="61" fillId="0" borderId="0" xfId="7" applyNumberFormat="1"/>
    <xf numFmtId="174" fontId="61" fillId="0" borderId="0" xfId="7" applyNumberFormat="1"/>
    <xf numFmtId="2" fontId="76" fillId="23" borderId="0" xfId="7" applyNumberFormat="1" applyFont="1" applyFill="1"/>
    <xf numFmtId="2" fontId="61" fillId="24" borderId="0" xfId="7" applyNumberFormat="1" applyFill="1"/>
    <xf numFmtId="2" fontId="77" fillId="0" borderId="0" xfId="7" applyNumberFormat="1" applyFont="1"/>
    <xf numFmtId="171" fontId="78" fillId="25" borderId="0" xfId="7" applyNumberFormat="1" applyFont="1" applyFill="1"/>
    <xf numFmtId="171" fontId="78" fillId="24" borderId="0" xfId="7" applyNumberFormat="1" applyFont="1" applyFill="1"/>
    <xf numFmtId="171" fontId="77" fillId="0" borderId="0" xfId="7" applyNumberFormat="1" applyFont="1"/>
    <xf numFmtId="173" fontId="61" fillId="25" borderId="0" xfId="7" applyNumberFormat="1" applyFill="1"/>
    <xf numFmtId="173" fontId="61" fillId="24" borderId="0" xfId="7" applyNumberFormat="1" applyFill="1"/>
    <xf numFmtId="2" fontId="76" fillId="24" borderId="0" xfId="7" applyNumberFormat="1" applyFont="1" applyFill="1"/>
    <xf numFmtId="171" fontId="78" fillId="17" borderId="0" xfId="7" applyNumberFormat="1" applyFont="1" applyFill="1"/>
    <xf numFmtId="2" fontId="79" fillId="25" borderId="6" xfId="7" applyNumberFormat="1" applyFont="1" applyFill="1" applyBorder="1" applyAlignment="1">
      <alignment horizontal="center" vertical="center"/>
    </xf>
    <xf numFmtId="2" fontId="79" fillId="24" borderId="6" xfId="7" applyNumberFormat="1" applyFont="1" applyFill="1" applyBorder="1" applyAlignment="1">
      <alignment horizontal="center" vertical="center"/>
    </xf>
    <xf numFmtId="2" fontId="79" fillId="0" borderId="6" xfId="7" applyNumberFormat="1" applyFont="1" applyBorder="1" applyAlignment="1">
      <alignment horizontal="center" vertical="center"/>
    </xf>
    <xf numFmtId="2" fontId="80" fillId="0" borderId="0" xfId="7" applyNumberFormat="1" applyFont="1" applyAlignment="1">
      <alignment vertical="center"/>
    </xf>
    <xf numFmtId="171" fontId="79" fillId="25" borderId="6" xfId="7" applyNumberFormat="1" applyFont="1" applyFill="1" applyBorder="1" applyAlignment="1">
      <alignment horizontal="center" vertical="center"/>
    </xf>
    <xf numFmtId="171" fontId="79" fillId="24" borderId="6" xfId="7" applyNumberFormat="1" applyFont="1" applyFill="1" applyBorder="1" applyAlignment="1">
      <alignment horizontal="center" vertical="center"/>
    </xf>
    <xf numFmtId="171" fontId="79" fillId="0" borderId="6" xfId="7" applyNumberFormat="1" applyFont="1" applyBorder="1" applyAlignment="1">
      <alignment horizontal="center" vertical="center"/>
    </xf>
    <xf numFmtId="172" fontId="79" fillId="0" borderId="6" xfId="7" applyNumberFormat="1" applyFont="1" applyBorder="1" applyAlignment="1">
      <alignment horizontal="center" vertical="center"/>
    </xf>
    <xf numFmtId="173" fontId="79" fillId="25" borderId="6" xfId="7" applyNumberFormat="1" applyFont="1" applyFill="1" applyBorder="1" applyAlignment="1">
      <alignment horizontal="center" vertical="center"/>
    </xf>
    <xf numFmtId="173" fontId="79" fillId="24" borderId="6" xfId="7" applyNumberFormat="1" applyFont="1" applyFill="1" applyBorder="1" applyAlignment="1">
      <alignment horizontal="center" vertical="center"/>
    </xf>
    <xf numFmtId="173" fontId="79" fillId="0" borderId="6" xfId="7" applyNumberFormat="1" applyFont="1" applyBorder="1" applyAlignment="1">
      <alignment horizontal="center" vertical="center"/>
    </xf>
    <xf numFmtId="174" fontId="79" fillId="0" borderId="6" xfId="7" applyNumberFormat="1" applyFont="1" applyBorder="1" applyAlignment="1">
      <alignment horizontal="center" vertical="center"/>
    </xf>
    <xf numFmtId="1" fontId="81" fillId="26" borderId="22" xfId="7" applyNumberFormat="1" applyFont="1" applyFill="1" applyBorder="1" applyAlignment="1">
      <alignment vertical="center"/>
    </xf>
    <xf numFmtId="2" fontId="82" fillId="24" borderId="23" xfId="7" applyNumberFormat="1" applyFont="1" applyFill="1" applyBorder="1" applyAlignment="1">
      <alignment horizontal="centerContinuous" vertical="center"/>
    </xf>
    <xf numFmtId="2" fontId="82" fillId="24" borderId="6" xfId="7" applyNumberFormat="1" applyFont="1" applyFill="1" applyBorder="1" applyAlignment="1">
      <alignment horizontal="centerContinuous" vertical="center"/>
    </xf>
    <xf numFmtId="171" fontId="82" fillId="24" borderId="23" xfId="7" applyNumberFormat="1" applyFont="1" applyFill="1" applyBorder="1" applyAlignment="1">
      <alignment horizontal="centerContinuous" vertical="center"/>
    </xf>
    <xf numFmtId="171" fontId="82" fillId="24" borderId="6" xfId="7" applyNumberFormat="1" applyFont="1" applyFill="1" applyBorder="1" applyAlignment="1">
      <alignment horizontal="centerContinuous" vertical="center"/>
    </xf>
    <xf numFmtId="172" fontId="82" fillId="24" borderId="6" xfId="7" applyNumberFormat="1" applyFont="1" applyFill="1" applyBorder="1" applyAlignment="1">
      <alignment horizontal="centerContinuous" vertical="center"/>
    </xf>
    <xf numFmtId="173" fontId="82" fillId="24" borderId="23" xfId="7" applyNumberFormat="1" applyFont="1" applyFill="1" applyBorder="1" applyAlignment="1">
      <alignment horizontal="centerContinuous" vertical="center"/>
    </xf>
    <xf numFmtId="173" fontId="82" fillId="24" borderId="6" xfId="7" applyNumberFormat="1" applyFont="1" applyFill="1" applyBorder="1" applyAlignment="1">
      <alignment horizontal="centerContinuous" vertical="center"/>
    </xf>
    <xf numFmtId="174" fontId="82" fillId="24" borderId="6" xfId="7" applyNumberFormat="1" applyFont="1" applyFill="1" applyBorder="1" applyAlignment="1">
      <alignment horizontal="centerContinuous" vertical="center"/>
    </xf>
    <xf numFmtId="1" fontId="84" fillId="0" borderId="0" xfId="7" applyNumberFormat="1" applyFont="1"/>
    <xf numFmtId="2" fontId="76" fillId="25" borderId="24" xfId="7" applyNumberFormat="1" applyFont="1" applyFill="1" applyBorder="1"/>
    <xf numFmtId="2" fontId="61" fillId="24" borderId="24" xfId="7" applyNumberFormat="1" applyFill="1" applyBorder="1"/>
    <xf numFmtId="2" fontId="61" fillId="0" borderId="24" xfId="7" applyNumberFormat="1" applyBorder="1"/>
    <xf numFmtId="2" fontId="76" fillId="24" borderId="24" xfId="7" applyNumberFormat="1" applyFont="1" applyFill="1" applyBorder="1"/>
    <xf numFmtId="171" fontId="61" fillId="23" borderId="24" xfId="7" applyNumberFormat="1" applyFill="1" applyBorder="1"/>
    <xf numFmtId="171" fontId="61" fillId="12" borderId="24" xfId="7" applyNumberFormat="1" applyFill="1" applyBorder="1"/>
    <xf numFmtId="171" fontId="61" fillId="0" borderId="24" xfId="7" applyNumberFormat="1" applyBorder="1"/>
    <xf numFmtId="2" fontId="61" fillId="12" borderId="24" xfId="7" applyNumberFormat="1" applyFill="1" applyBorder="1"/>
    <xf numFmtId="173" fontId="61" fillId="23" borderId="24" xfId="7" applyNumberFormat="1" applyFill="1" applyBorder="1"/>
    <xf numFmtId="173" fontId="61" fillId="12" borderId="24" xfId="7" applyNumberFormat="1" applyFill="1" applyBorder="1"/>
    <xf numFmtId="173" fontId="61" fillId="18" borderId="24" xfId="7" applyNumberFormat="1" applyFill="1" applyBorder="1"/>
    <xf numFmtId="2" fontId="76" fillId="25" borderId="0" xfId="7" applyNumberFormat="1" applyFont="1" applyFill="1"/>
    <xf numFmtId="2" fontId="77" fillId="18" borderId="0" xfId="7" applyNumberFormat="1" applyFont="1" applyFill="1"/>
    <xf numFmtId="2" fontId="85" fillId="24" borderId="0" xfId="7" applyNumberFormat="1" applyFont="1" applyFill="1"/>
    <xf numFmtId="2" fontId="86" fillId="0" borderId="0" xfId="7" applyNumberFormat="1" applyFont="1"/>
    <xf numFmtId="171" fontId="61" fillId="25" borderId="0" xfId="7" applyNumberFormat="1" applyFill="1"/>
    <xf numFmtId="171" fontId="61" fillId="24" borderId="0" xfId="7" applyNumberFormat="1" applyFill="1"/>
    <xf numFmtId="171" fontId="87" fillId="27" borderId="0" xfId="7" applyNumberFormat="1" applyFont="1" applyFill="1"/>
    <xf numFmtId="2" fontId="87" fillId="27" borderId="0" xfId="7" applyNumberFormat="1" applyFont="1" applyFill="1"/>
    <xf numFmtId="173" fontId="76" fillId="25" borderId="0" xfId="7" applyNumberFormat="1" applyFont="1" applyFill="1"/>
    <xf numFmtId="173" fontId="76" fillId="24" borderId="0" xfId="7" applyNumberFormat="1" applyFont="1" applyFill="1"/>
    <xf numFmtId="173" fontId="76" fillId="0" borderId="0" xfId="7" applyNumberFormat="1" applyFont="1"/>
    <xf numFmtId="2" fontId="87" fillId="18" borderId="0" xfId="7" applyNumberFormat="1" applyFont="1" applyFill="1"/>
    <xf numFmtId="1" fontId="82" fillId="0" borderId="0" xfId="7" applyNumberFormat="1" applyFont="1"/>
    <xf numFmtId="2" fontId="61" fillId="18" borderId="0" xfId="7" applyNumberFormat="1" applyFill="1"/>
    <xf numFmtId="2" fontId="61" fillId="0" borderId="0" xfId="7" applyNumberFormat="1" applyAlignment="1">
      <alignment horizontal="right"/>
    </xf>
    <xf numFmtId="1" fontId="88" fillId="18" borderId="0" xfId="7" applyNumberFormat="1" applyFont="1" applyFill="1" applyAlignment="1">
      <alignment horizontal="center"/>
    </xf>
    <xf numFmtId="2" fontId="61" fillId="16" borderId="0" xfId="7" applyNumberFormat="1" applyFill="1"/>
    <xf numFmtId="174" fontId="61" fillId="0" borderId="0" xfId="8" applyNumberFormat="1"/>
    <xf numFmtId="173" fontId="89" fillId="25" borderId="24" xfId="7" applyNumberFormat="1" applyFont="1" applyFill="1" applyBorder="1"/>
    <xf numFmtId="173" fontId="90" fillId="24" borderId="24" xfId="7" applyNumberFormat="1" applyFont="1" applyFill="1" applyBorder="1" applyAlignment="1">
      <alignment vertical="center"/>
    </xf>
    <xf numFmtId="173" fontId="61" fillId="0" borderId="24" xfId="7" applyNumberFormat="1" applyBorder="1"/>
    <xf numFmtId="1" fontId="61" fillId="0" borderId="24" xfId="7" applyNumberFormat="1" applyBorder="1"/>
    <xf numFmtId="172" fontId="61" fillId="0" borderId="0" xfId="8" applyNumberFormat="1" applyFont="1" applyBorder="1"/>
    <xf numFmtId="172" fontId="61" fillId="0" borderId="0" xfId="9" applyNumberFormat="1" applyFont="1" applyBorder="1" applyAlignment="1"/>
    <xf numFmtId="173" fontId="77" fillId="25" borderId="0" xfId="7" applyNumberFormat="1" applyFont="1" applyFill="1"/>
    <xf numFmtId="173" fontId="77" fillId="24" borderId="0" xfId="7" applyNumberFormat="1" applyFont="1" applyFill="1"/>
    <xf numFmtId="173" fontId="91" fillId="0" borderId="0" xfId="7" applyNumberFormat="1" applyFont="1" applyAlignment="1">
      <alignment vertical="center"/>
    </xf>
    <xf numFmtId="173" fontId="77" fillId="24" borderId="0" xfId="7" applyNumberFormat="1" applyFont="1" applyFill="1" applyAlignment="1">
      <alignment vertical="center"/>
    </xf>
    <xf numFmtId="2" fontId="61" fillId="23" borderId="24" xfId="7" applyNumberFormat="1" applyFill="1" applyBorder="1"/>
    <xf numFmtId="2" fontId="61" fillId="25" borderId="0" xfId="7" applyNumberFormat="1" applyFill="1"/>
    <xf numFmtId="2" fontId="84" fillId="0" borderId="0" xfId="7" applyNumberFormat="1" applyFont="1"/>
    <xf numFmtId="0" fontId="80" fillId="0" borderId="0" xfId="7" applyFont="1" applyAlignment="1">
      <alignment vertical="center"/>
    </xf>
    <xf numFmtId="173" fontId="92" fillId="0" borderId="0" xfId="7" applyNumberFormat="1" applyFont="1"/>
    <xf numFmtId="174" fontId="92" fillId="0" borderId="0" xfId="7" applyNumberFormat="1" applyFont="1"/>
    <xf numFmtId="0" fontId="93" fillId="0" borderId="0" xfId="7" applyFont="1" applyAlignment="1">
      <alignment horizontal="right" vertical="center"/>
    </xf>
    <xf numFmtId="173" fontId="80" fillId="25" borderId="24" xfId="7" applyNumberFormat="1" applyFont="1" applyFill="1" applyBorder="1" applyAlignment="1">
      <alignment vertical="center"/>
    </xf>
    <xf numFmtId="173" fontId="80" fillId="24" borderId="24" xfId="7" applyNumberFormat="1" applyFont="1" applyFill="1" applyBorder="1" applyAlignment="1">
      <alignment vertical="center"/>
    </xf>
    <xf numFmtId="173" fontId="80" fillId="0" borderId="24" xfId="7" applyNumberFormat="1" applyFont="1" applyBorder="1" applyAlignment="1">
      <alignment vertical="center"/>
    </xf>
    <xf numFmtId="0" fontId="94" fillId="0" borderId="0" xfId="7" applyFont="1" applyAlignment="1">
      <alignment horizontal="center"/>
    </xf>
    <xf numFmtId="172" fontId="61" fillId="22" borderId="0" xfId="7" applyNumberFormat="1" applyFill="1"/>
    <xf numFmtId="173" fontId="80" fillId="25" borderId="0" xfId="7" applyNumberFormat="1" applyFont="1" applyFill="1" applyAlignment="1">
      <alignment vertical="center"/>
    </xf>
    <xf numFmtId="173" fontId="85" fillId="24" borderId="0" xfId="7" applyNumberFormat="1" applyFont="1" applyFill="1" applyAlignment="1">
      <alignment vertical="center"/>
    </xf>
    <xf numFmtId="173" fontId="95" fillId="0" borderId="0" xfId="7" applyNumberFormat="1" applyFont="1" applyAlignment="1">
      <alignment vertical="center"/>
    </xf>
    <xf numFmtId="174" fontId="95" fillId="0" borderId="0" xfId="7" applyNumberFormat="1" applyFont="1" applyAlignment="1">
      <alignment vertical="center"/>
    </xf>
    <xf numFmtId="0" fontId="96" fillId="0" borderId="0" xfId="7" applyFont="1" applyAlignment="1">
      <alignment vertical="center"/>
    </xf>
    <xf numFmtId="0" fontId="97" fillId="18" borderId="0" xfId="7" applyFont="1" applyFill="1" applyAlignment="1">
      <alignment vertical="center"/>
    </xf>
    <xf numFmtId="172" fontId="98" fillId="18" borderId="0" xfId="7" applyNumberFormat="1" applyFont="1" applyFill="1"/>
    <xf numFmtId="173" fontId="90" fillId="24" borderId="0" xfId="7" applyNumberFormat="1" applyFont="1" applyFill="1" applyAlignment="1">
      <alignment vertical="center"/>
    </xf>
    <xf numFmtId="174" fontId="91" fillId="0" borderId="0" xfId="7" applyNumberFormat="1" applyFont="1" applyAlignment="1">
      <alignment vertical="center"/>
    </xf>
    <xf numFmtId="172" fontId="99" fillId="28" borderId="0" xfId="7" applyNumberFormat="1" applyFont="1" applyFill="1"/>
    <xf numFmtId="2" fontId="100" fillId="22" borderId="0" xfId="8" applyNumberFormat="1" applyFont="1" applyFill="1" applyBorder="1"/>
    <xf numFmtId="173" fontId="101" fillId="25" borderId="0" xfId="7" applyNumberFormat="1" applyFont="1" applyFill="1"/>
    <xf numFmtId="173" fontId="101" fillId="24" borderId="0" xfId="7" applyNumberFormat="1" applyFont="1" applyFill="1"/>
    <xf numFmtId="4" fontId="91" fillId="0" borderId="0" xfId="7" applyNumberFormat="1" applyFont="1" applyAlignment="1">
      <alignment vertical="center"/>
    </xf>
    <xf numFmtId="4" fontId="77" fillId="24" borderId="0" xfId="7" applyNumberFormat="1" applyFont="1" applyFill="1" applyAlignment="1">
      <alignment vertical="center"/>
    </xf>
    <xf numFmtId="172" fontId="95" fillId="0" borderId="0" xfId="7" applyNumberFormat="1" applyFont="1" applyAlignment="1">
      <alignment vertical="center"/>
    </xf>
    <xf numFmtId="0" fontId="102" fillId="0" borderId="0" xfId="7" applyFont="1" applyAlignment="1">
      <alignment vertical="center"/>
    </xf>
    <xf numFmtId="172" fontId="61" fillId="18" borderId="0" xfId="7" applyNumberFormat="1" applyFill="1"/>
    <xf numFmtId="173" fontId="61" fillId="25" borderId="24" xfId="7" applyNumberFormat="1" applyFill="1" applyBorder="1"/>
    <xf numFmtId="173" fontId="61" fillId="24" borderId="24" xfId="7" applyNumberFormat="1" applyFill="1" applyBorder="1"/>
    <xf numFmtId="173" fontId="78" fillId="25" borderId="0" xfId="7" applyNumberFormat="1" applyFont="1" applyFill="1"/>
    <xf numFmtId="173" fontId="78" fillId="24" borderId="0" xfId="7" applyNumberFormat="1" applyFont="1" applyFill="1"/>
    <xf numFmtId="173" fontId="77" fillId="0" borderId="0" xfId="7" applyNumberFormat="1" applyFont="1"/>
    <xf numFmtId="2" fontId="61" fillId="0" borderId="24" xfId="8" applyNumberFormat="1" applyFont="1" applyBorder="1"/>
    <xf numFmtId="0" fontId="96" fillId="0" borderId="0" xfId="7" applyFont="1"/>
    <xf numFmtId="2" fontId="103" fillId="0" borderId="0" xfId="8" applyNumberFormat="1" applyFont="1" applyBorder="1"/>
    <xf numFmtId="173" fontId="103" fillId="24" borderId="0" xfId="7" applyNumberFormat="1" applyFont="1" applyFill="1"/>
    <xf numFmtId="173" fontId="104" fillId="0" borderId="0" xfId="7" applyNumberFormat="1" applyFont="1" applyAlignment="1">
      <alignment vertical="center"/>
    </xf>
    <xf numFmtId="173" fontId="104" fillId="24" borderId="0" xfId="7" applyNumberFormat="1" applyFont="1" applyFill="1" applyAlignment="1">
      <alignment vertical="center"/>
    </xf>
    <xf numFmtId="174" fontId="104" fillId="0" borderId="0" xfId="7" applyNumberFormat="1" applyFont="1" applyAlignment="1">
      <alignment vertical="center"/>
    </xf>
    <xf numFmtId="174" fontId="105" fillId="0" borderId="0" xfId="7" applyNumberFormat="1" applyFont="1" applyAlignment="1">
      <alignment vertical="center"/>
    </xf>
    <xf numFmtId="2" fontId="77" fillId="0" borderId="0" xfId="8" applyNumberFormat="1" applyFont="1" applyBorder="1"/>
    <xf numFmtId="173" fontId="90" fillId="25" borderId="0" xfId="7" applyNumberFormat="1" applyFont="1" applyFill="1"/>
    <xf numFmtId="173" fontId="90" fillId="24" borderId="0" xfId="7" applyNumberFormat="1" applyFont="1" applyFill="1"/>
    <xf numFmtId="173" fontId="77" fillId="2" borderId="0" xfId="7" applyNumberFormat="1" applyFont="1" applyFill="1"/>
    <xf numFmtId="175" fontId="106" fillId="0" borderId="0" xfId="7" applyNumberFormat="1" applyFont="1" applyAlignment="1">
      <alignment horizontal="center"/>
    </xf>
    <xf numFmtId="173" fontId="107" fillId="0" borderId="0" xfId="7" applyNumberFormat="1" applyFont="1"/>
    <xf numFmtId="174" fontId="107" fillId="0" borderId="0" xfId="7" applyNumberFormat="1" applyFont="1"/>
    <xf numFmtId="173" fontId="87" fillId="25" borderId="0" xfId="7" applyNumberFormat="1" applyFont="1" applyFill="1"/>
    <xf numFmtId="173" fontId="87" fillId="24" borderId="0" xfId="7" applyNumberFormat="1" applyFont="1" applyFill="1"/>
    <xf numFmtId="173" fontId="106" fillId="0" borderId="0" xfId="7" applyNumberFormat="1" applyFont="1"/>
    <xf numFmtId="174" fontId="106" fillId="0" borderId="0" xfId="7" applyNumberFormat="1" applyFont="1"/>
    <xf numFmtId="174" fontId="84" fillId="0" borderId="0" xfId="7" applyNumberFormat="1" applyFont="1"/>
    <xf numFmtId="172" fontId="61" fillId="24" borderId="0" xfId="7" applyNumberFormat="1" applyFill="1"/>
    <xf numFmtId="172" fontId="85" fillId="0" borderId="0" xfId="7" applyNumberFormat="1" applyFont="1"/>
    <xf numFmtId="2" fontId="85" fillId="0" borderId="0" xfId="7" applyNumberFormat="1" applyFont="1"/>
    <xf numFmtId="173" fontId="85" fillId="25" borderId="0" xfId="7" applyNumberFormat="1" applyFont="1" applyFill="1"/>
    <xf numFmtId="173" fontId="85" fillId="24" borderId="0" xfId="7" applyNumberFormat="1" applyFont="1" applyFill="1"/>
    <xf numFmtId="173" fontId="77" fillId="18" borderId="0" xfId="7" applyNumberFormat="1" applyFont="1" applyFill="1"/>
    <xf numFmtId="1" fontId="61" fillId="29" borderId="0" xfId="7" applyNumberFormat="1" applyFill="1"/>
    <xf numFmtId="0" fontId="80" fillId="0" borderId="0" xfId="7" applyFont="1" applyAlignment="1">
      <alignment horizontal="right" vertical="center"/>
    </xf>
    <xf numFmtId="173" fontId="86" fillId="24" borderId="0" xfId="7" applyNumberFormat="1" applyFont="1" applyFill="1"/>
    <xf numFmtId="173" fontId="108" fillId="24" borderId="0" xfId="7" applyNumberFormat="1" applyFont="1" applyFill="1"/>
    <xf numFmtId="173" fontId="108" fillId="0" borderId="0" xfId="7" applyNumberFormat="1" applyFont="1"/>
    <xf numFmtId="174" fontId="108" fillId="0" borderId="0" xfId="7" applyNumberFormat="1" applyFont="1"/>
    <xf numFmtId="173" fontId="109" fillId="0" borderId="0" xfId="7" applyNumberFormat="1" applyFont="1"/>
    <xf numFmtId="173" fontId="110" fillId="25" borderId="0" xfId="7" applyNumberFormat="1" applyFont="1" applyFill="1"/>
    <xf numFmtId="173" fontId="111" fillId="24" borderId="0" xfId="7" applyNumberFormat="1" applyFont="1" applyFill="1"/>
    <xf numFmtId="173" fontId="111" fillId="0" borderId="0" xfId="7" applyNumberFormat="1" applyFont="1"/>
    <xf numFmtId="173" fontId="107" fillId="25" borderId="0" xfId="7" applyNumberFormat="1" applyFont="1" applyFill="1"/>
    <xf numFmtId="173" fontId="107" fillId="24" borderId="0" xfId="7" applyNumberFormat="1" applyFont="1" applyFill="1"/>
    <xf numFmtId="2" fontId="82" fillId="18" borderId="0" xfId="7" applyNumberFormat="1" applyFont="1" applyFill="1" applyAlignment="1">
      <alignment horizontal="center"/>
    </xf>
    <xf numFmtId="2" fontId="61" fillId="0" borderId="0" xfId="7" applyNumberFormat="1" applyAlignment="1">
      <alignment horizontal="center"/>
    </xf>
    <xf numFmtId="2" fontId="61" fillId="0" borderId="24" xfId="7" applyNumberFormat="1" applyBorder="1" applyAlignment="1">
      <alignment horizontal="center"/>
    </xf>
    <xf numFmtId="171" fontId="61" fillId="0" borderId="0" xfId="7" applyNumberFormat="1" applyAlignment="1">
      <alignment horizontal="right"/>
    </xf>
    <xf numFmtId="173" fontId="86" fillId="0" borderId="0" xfId="7" applyNumberFormat="1" applyFont="1"/>
    <xf numFmtId="174" fontId="86" fillId="0" borderId="0" xfId="7" applyNumberFormat="1" applyFont="1"/>
    <xf numFmtId="173" fontId="87" fillId="0" borderId="0" xfId="7" applyNumberFormat="1" applyFont="1"/>
    <xf numFmtId="174" fontId="87" fillId="0" borderId="0" xfId="7" applyNumberFormat="1" applyFont="1"/>
    <xf numFmtId="2" fontId="112" fillId="0" borderId="0" xfId="7" applyNumberFormat="1" applyFont="1" applyAlignment="1">
      <alignment horizontal="left"/>
    </xf>
    <xf numFmtId="2" fontId="61" fillId="0" borderId="0" xfId="8" applyNumberFormat="1" applyFont="1" applyBorder="1"/>
    <xf numFmtId="2" fontId="61" fillId="0" borderId="0" xfId="9" applyNumberFormat="1" applyFont="1" applyBorder="1" applyAlignment="1"/>
    <xf numFmtId="173" fontId="113" fillId="0" borderId="0" xfId="7" applyNumberFormat="1" applyFont="1" applyAlignment="1">
      <alignment vertical="center"/>
    </xf>
    <xf numFmtId="173" fontId="78" fillId="24" borderId="0" xfId="7" applyNumberFormat="1" applyFont="1" applyFill="1" applyAlignment="1">
      <alignment vertical="center"/>
    </xf>
    <xf numFmtId="171" fontId="61" fillId="22" borderId="0" xfId="7" applyNumberFormat="1" applyFill="1"/>
    <xf numFmtId="172" fontId="99" fillId="22" borderId="0" xfId="7" applyNumberFormat="1" applyFont="1" applyFill="1"/>
    <xf numFmtId="172" fontId="114" fillId="0" borderId="0" xfId="8" applyNumberFormat="1" applyFont="1" applyFill="1" applyBorder="1"/>
    <xf numFmtId="173" fontId="76" fillId="18" borderId="0" xfId="7" applyNumberFormat="1" applyFont="1" applyFill="1"/>
    <xf numFmtId="2" fontId="84" fillId="0" borderId="0" xfId="7" applyNumberFormat="1" applyFont="1" applyAlignment="1">
      <alignment horizontal="center"/>
    </xf>
    <xf numFmtId="172" fontId="89" fillId="0" borderId="0" xfId="7" applyNumberFormat="1" applyFont="1"/>
    <xf numFmtId="4" fontId="76" fillId="25" borderId="0" xfId="7" applyNumberFormat="1" applyFont="1" applyFill="1"/>
    <xf numFmtId="4" fontId="76" fillId="24" borderId="0" xfId="7" applyNumberFormat="1" applyFont="1" applyFill="1"/>
    <xf numFmtId="4" fontId="76" fillId="0" borderId="0" xfId="7" applyNumberFormat="1" applyFont="1"/>
    <xf numFmtId="2" fontId="77" fillId="0" borderId="0" xfId="8" applyNumberFormat="1" applyFont="1" applyFill="1" applyBorder="1"/>
    <xf numFmtId="4" fontId="115" fillId="0" borderId="0" xfId="7" applyNumberFormat="1" applyFont="1" applyAlignment="1">
      <alignment vertical="center"/>
    </xf>
    <xf numFmtId="1" fontId="61" fillId="30" borderId="0" xfId="7" applyNumberFormat="1" applyFill="1"/>
    <xf numFmtId="2" fontId="112" fillId="0" borderId="0" xfId="7" applyNumberFormat="1" applyFont="1" applyAlignment="1">
      <alignment horizontal="center"/>
    </xf>
    <xf numFmtId="171" fontId="112" fillId="0" borderId="0" xfId="7" applyNumberFormat="1" applyFont="1"/>
    <xf numFmtId="173" fontId="80" fillId="24" borderId="0" xfId="7" applyNumberFormat="1" applyFont="1" applyFill="1"/>
    <xf numFmtId="174" fontId="80" fillId="0" borderId="0" xfId="7" applyNumberFormat="1" applyFont="1"/>
    <xf numFmtId="0" fontId="80" fillId="24" borderId="0" xfId="7" applyFont="1" applyFill="1"/>
    <xf numFmtId="2" fontId="82" fillId="25" borderId="6" xfId="7" applyNumberFormat="1" applyFont="1" applyFill="1" applyBorder="1"/>
    <xf numFmtId="2" fontId="61" fillId="24" borderId="6" xfId="7" applyNumberFormat="1" applyFill="1" applyBorder="1"/>
    <xf numFmtId="2" fontId="82" fillId="0" borderId="6" xfId="7" applyNumberFormat="1" applyFont="1" applyBorder="1"/>
    <xf numFmtId="2" fontId="82" fillId="0" borderId="0" xfId="7" applyNumberFormat="1" applyFont="1"/>
    <xf numFmtId="171" fontId="82" fillId="25" borderId="6" xfId="7" applyNumberFormat="1" applyFont="1" applyFill="1" applyBorder="1"/>
    <xf numFmtId="171" fontId="82" fillId="24" borderId="6" xfId="7" applyNumberFormat="1" applyFont="1" applyFill="1" applyBorder="1"/>
    <xf numFmtId="171" fontId="82" fillId="0" borderId="6" xfId="7" applyNumberFormat="1" applyFont="1" applyBorder="1"/>
    <xf numFmtId="173" fontId="82" fillId="25" borderId="6" xfId="7" applyNumberFormat="1" applyFont="1" applyFill="1" applyBorder="1"/>
    <xf numFmtId="173" fontId="82" fillId="24" borderId="6" xfId="7" applyNumberFormat="1" applyFont="1" applyFill="1" applyBorder="1"/>
    <xf numFmtId="173" fontId="82" fillId="0" borderId="6" xfId="7" applyNumberFormat="1" applyFont="1" applyBorder="1"/>
    <xf numFmtId="1" fontId="82" fillId="0" borderId="6" xfId="7" applyNumberFormat="1" applyFont="1" applyBorder="1" applyAlignment="1">
      <alignment horizontal="center"/>
    </xf>
    <xf numFmtId="1" fontId="82" fillId="0" borderId="6" xfId="7" applyNumberFormat="1" applyFont="1" applyBorder="1" applyAlignment="1">
      <alignment horizontal="left"/>
    </xf>
    <xf numFmtId="170" fontId="82" fillId="0" borderId="0" xfId="8" applyNumberFormat="1" applyFont="1" applyFill="1"/>
    <xf numFmtId="2" fontId="61" fillId="25" borderId="6" xfId="7" applyNumberFormat="1" applyFill="1" applyBorder="1"/>
    <xf numFmtId="2" fontId="61" fillId="0" borderId="6" xfId="7" applyNumberFormat="1" applyBorder="1"/>
    <xf numFmtId="171" fontId="61" fillId="25" borderId="6" xfId="7" applyNumberFormat="1" applyFill="1" applyBorder="1"/>
    <xf numFmtId="171" fontId="61" fillId="24" borderId="6" xfId="7" applyNumberFormat="1" applyFill="1" applyBorder="1"/>
    <xf numFmtId="171" fontId="61" fillId="0" borderId="6" xfId="7" applyNumberFormat="1" applyBorder="1"/>
    <xf numFmtId="173" fontId="61" fillId="25" borderId="6" xfId="7" applyNumberFormat="1" applyFill="1" applyBorder="1"/>
    <xf numFmtId="173" fontId="61" fillId="24" borderId="6" xfId="7" applyNumberFormat="1" applyFill="1" applyBorder="1"/>
    <xf numFmtId="173" fontId="61" fillId="0" borderId="6" xfId="7" applyNumberFormat="1" applyBorder="1"/>
    <xf numFmtId="1" fontId="61" fillId="0" borderId="6" xfId="7" applyNumberFormat="1" applyBorder="1" applyAlignment="1">
      <alignment horizontal="center"/>
    </xf>
    <xf numFmtId="1" fontId="116" fillId="0" borderId="0" xfId="7" applyNumberFormat="1" applyFont="1" applyAlignment="1">
      <alignment horizontal="right"/>
    </xf>
    <xf numFmtId="1" fontId="82" fillId="31" borderId="0" xfId="7" applyNumberFormat="1" applyFont="1" applyFill="1" applyAlignment="1">
      <alignment horizontal="left"/>
    </xf>
    <xf numFmtId="170" fontId="82" fillId="31" borderId="0" xfId="8" applyNumberFormat="1" applyFont="1" applyFill="1"/>
    <xf numFmtId="2" fontId="117" fillId="32" borderId="0" xfId="7" applyNumberFormat="1" applyFont="1" applyFill="1"/>
    <xf numFmtId="171" fontId="117" fillId="32" borderId="0" xfId="7" applyNumberFormat="1" applyFont="1" applyFill="1"/>
    <xf numFmtId="172" fontId="117" fillId="32" borderId="0" xfId="7" applyNumberFormat="1" applyFont="1" applyFill="1"/>
    <xf numFmtId="173" fontId="118" fillId="32" borderId="0" xfId="7" applyNumberFormat="1" applyFont="1" applyFill="1"/>
    <xf numFmtId="174" fontId="118" fillId="32" borderId="0" xfId="7" applyNumberFormat="1" applyFont="1" applyFill="1"/>
    <xf numFmtId="1" fontId="82" fillId="32" borderId="0" xfId="7" applyNumberFormat="1" applyFont="1" applyFill="1" applyAlignment="1">
      <alignment horizontal="center"/>
    </xf>
    <xf numFmtId="1" fontId="118" fillId="32" borderId="0" xfId="7" applyNumberFormat="1" applyFont="1" applyFill="1"/>
    <xf numFmtId="2" fontId="61" fillId="23" borderId="6" xfId="7" applyNumberFormat="1" applyFill="1" applyBorder="1"/>
    <xf numFmtId="2" fontId="82" fillId="24" borderId="6" xfId="7" applyNumberFormat="1" applyFont="1" applyFill="1" applyBorder="1"/>
    <xf numFmtId="174" fontId="82" fillId="0" borderId="6" xfId="7" applyNumberFormat="1" applyFont="1" applyBorder="1"/>
    <xf numFmtId="174" fontId="61" fillId="0" borderId="6" xfId="7" applyNumberFormat="1" applyBorder="1"/>
    <xf numFmtId="1" fontId="116" fillId="33" borderId="0" xfId="7" applyNumberFormat="1" applyFont="1" applyFill="1" applyAlignment="1">
      <alignment horizontal="right"/>
    </xf>
    <xf numFmtId="173" fontId="61" fillId="34" borderId="0" xfId="7" applyNumberFormat="1" applyFill="1"/>
    <xf numFmtId="1" fontId="119" fillId="0" borderId="0" xfId="7" applyNumberFormat="1" applyFont="1"/>
    <xf numFmtId="171" fontId="87" fillId="0" borderId="0" xfId="7" applyNumberFormat="1" applyFont="1"/>
    <xf numFmtId="1" fontId="118" fillId="0" borderId="0" xfId="7" applyNumberFormat="1" applyFont="1"/>
    <xf numFmtId="2" fontId="118" fillId="0" borderId="0" xfId="7" applyNumberFormat="1" applyFont="1"/>
    <xf numFmtId="2" fontId="120" fillId="32" borderId="0" xfId="7" applyNumberFormat="1" applyFont="1" applyFill="1"/>
    <xf numFmtId="2" fontId="117" fillId="25" borderId="0" xfId="7" applyNumberFormat="1" applyFont="1" applyFill="1"/>
    <xf numFmtId="2" fontId="117" fillId="24" borderId="0" xfId="7" applyNumberFormat="1" applyFont="1" applyFill="1"/>
    <xf numFmtId="2" fontId="120" fillId="24" borderId="0" xfId="7" applyNumberFormat="1" applyFont="1" applyFill="1"/>
    <xf numFmtId="173" fontId="118" fillId="25" borderId="0" xfId="7" applyNumberFormat="1" applyFont="1" applyFill="1"/>
    <xf numFmtId="173" fontId="118" fillId="24" borderId="0" xfId="7" applyNumberFormat="1" applyFont="1" applyFill="1"/>
    <xf numFmtId="1" fontId="61" fillId="0" borderId="0" xfId="7" applyNumberFormat="1" applyAlignment="1">
      <alignment horizontal="left"/>
    </xf>
    <xf numFmtId="2" fontId="82" fillId="24" borderId="0" xfId="7" applyNumberFormat="1" applyFont="1" applyFill="1" applyAlignment="1">
      <alignment horizontal="right"/>
    </xf>
    <xf numFmtId="171" fontId="82" fillId="25" borderId="0" xfId="7" applyNumberFormat="1" applyFont="1" applyFill="1"/>
    <xf numFmtId="171" fontId="82" fillId="24" borderId="0" xfId="7" applyNumberFormat="1" applyFont="1" applyFill="1"/>
    <xf numFmtId="171" fontId="121" fillId="0" borderId="0" xfId="7" applyNumberFormat="1" applyFont="1"/>
    <xf numFmtId="172" fontId="121" fillId="0" borderId="0" xfId="7" applyNumberFormat="1" applyFont="1"/>
    <xf numFmtId="173" fontId="82" fillId="25" borderId="0" xfId="7" applyNumberFormat="1" applyFont="1" applyFill="1"/>
    <xf numFmtId="173" fontId="82" fillId="24" borderId="0" xfId="7" applyNumberFormat="1" applyFont="1" applyFill="1"/>
    <xf numFmtId="173" fontId="82" fillId="0" borderId="0" xfId="7" applyNumberFormat="1" applyFont="1"/>
    <xf numFmtId="174" fontId="82" fillId="0" borderId="0" xfId="7" applyNumberFormat="1" applyFont="1"/>
    <xf numFmtId="1" fontId="82" fillId="0" borderId="0" xfId="7" applyNumberFormat="1" applyFont="1" applyAlignment="1">
      <alignment horizontal="center"/>
    </xf>
    <xf numFmtId="1" fontId="82" fillId="0" borderId="0" xfId="7" applyNumberFormat="1" applyFont="1" applyAlignment="1">
      <alignment horizontal="left"/>
    </xf>
    <xf numFmtId="170" fontId="82" fillId="0" borderId="0" xfId="8" applyNumberFormat="1" applyFont="1"/>
    <xf numFmtId="1" fontId="82" fillId="24" borderId="6" xfId="7" applyNumberFormat="1" applyFont="1" applyFill="1" applyBorder="1"/>
    <xf numFmtId="1" fontId="82" fillId="0" borderId="6" xfId="7" applyNumberFormat="1" applyFont="1" applyBorder="1"/>
    <xf numFmtId="1" fontId="116" fillId="31" borderId="0" xfId="7" applyNumberFormat="1" applyFont="1" applyFill="1" applyAlignment="1">
      <alignment horizontal="right"/>
    </xf>
    <xf numFmtId="171" fontId="82" fillId="0" borderId="0" xfId="7" applyNumberFormat="1" applyFont="1"/>
    <xf numFmtId="172" fontId="82" fillId="0" borderId="0" xfId="7" applyNumberFormat="1" applyFont="1"/>
    <xf numFmtId="1" fontId="86" fillId="0" borderId="0" xfId="7" applyNumberFormat="1" applyFont="1"/>
    <xf numFmtId="1" fontId="122" fillId="0" borderId="0" xfId="7" applyNumberFormat="1" applyFont="1"/>
    <xf numFmtId="176" fontId="82" fillId="0" borderId="0" xfId="7" applyNumberFormat="1" applyFont="1"/>
    <xf numFmtId="176" fontId="82" fillId="24" borderId="6" xfId="7" applyNumberFormat="1" applyFont="1" applyFill="1" applyBorder="1"/>
    <xf numFmtId="172" fontId="82" fillId="0" borderId="6" xfId="7" applyNumberFormat="1" applyFont="1" applyBorder="1"/>
    <xf numFmtId="9" fontId="86" fillId="0" borderId="0" xfId="9" applyFont="1" applyBorder="1"/>
    <xf numFmtId="1" fontId="122" fillId="0" borderId="0" xfId="7" applyNumberFormat="1" applyFont="1" applyAlignment="1">
      <alignment horizontal="center"/>
    </xf>
    <xf numFmtId="171" fontId="77" fillId="35" borderId="0" xfId="7" applyNumberFormat="1" applyFont="1" applyFill="1"/>
    <xf numFmtId="2" fontId="77" fillId="36" borderId="0" xfId="7" applyNumberFormat="1" applyFont="1" applyFill="1"/>
    <xf numFmtId="9" fontId="61" fillId="0" borderId="0" xfId="9" applyFont="1"/>
    <xf numFmtId="2" fontId="77" fillId="19" borderId="0" xfId="7" applyNumberFormat="1" applyFont="1" applyFill="1"/>
    <xf numFmtId="1" fontId="61" fillId="19" borderId="0" xfId="7" applyNumberFormat="1" applyFill="1"/>
    <xf numFmtId="171" fontId="77" fillId="19" borderId="0" xfId="7" applyNumberFormat="1" applyFont="1" applyFill="1"/>
    <xf numFmtId="2" fontId="82" fillId="24" borderId="0" xfId="7" applyNumberFormat="1" applyFont="1" applyFill="1"/>
    <xf numFmtId="167" fontId="82" fillId="0" borderId="0" xfId="8" applyNumberFormat="1" applyFont="1" applyBorder="1"/>
    <xf numFmtId="2" fontId="82" fillId="0" borderId="0" xfId="7" applyNumberFormat="1" applyFont="1" applyAlignment="1">
      <alignment horizontal="center"/>
    </xf>
    <xf numFmtId="173" fontId="123" fillId="25" borderId="6" xfId="7" applyNumberFormat="1" applyFont="1" applyFill="1" applyBorder="1"/>
    <xf numFmtId="173" fontId="123" fillId="24" borderId="6" xfId="7" applyNumberFormat="1" applyFont="1" applyFill="1" applyBorder="1"/>
    <xf numFmtId="173" fontId="123" fillId="0" borderId="6" xfId="7" applyNumberFormat="1" applyFont="1" applyBorder="1"/>
    <xf numFmtId="174" fontId="123" fillId="0" borderId="6" xfId="7" applyNumberFormat="1" applyFont="1" applyBorder="1"/>
    <xf numFmtId="171" fontId="76" fillId="0" borderId="0" xfId="7" applyNumberFormat="1" applyFont="1"/>
    <xf numFmtId="1" fontId="76" fillId="0" borderId="0" xfId="7" applyNumberFormat="1" applyFont="1"/>
    <xf numFmtId="167" fontId="61" fillId="0" borderId="0" xfId="8" applyNumberFormat="1" applyFont="1"/>
    <xf numFmtId="1" fontId="116" fillId="0" borderId="0" xfId="7" applyNumberFormat="1" applyFont="1"/>
    <xf numFmtId="1" fontId="61" fillId="18" borderId="0" xfId="7" applyNumberFormat="1" applyFill="1"/>
    <xf numFmtId="170" fontId="77" fillId="0" borderId="0" xfId="1" applyNumberFormat="1" applyFont="1"/>
    <xf numFmtId="2" fontId="82" fillId="24" borderId="23" xfId="7" applyNumberFormat="1" applyFont="1" applyFill="1" applyBorder="1" applyAlignment="1">
      <alignment horizontal="center"/>
    </xf>
    <xf numFmtId="2" fontId="82" fillId="24" borderId="23" xfId="7" applyNumberFormat="1" applyFont="1" applyFill="1" applyBorder="1" applyAlignment="1">
      <alignment horizontal="right"/>
    </xf>
    <xf numFmtId="2" fontId="82" fillId="0" borderId="23" xfId="7" applyNumberFormat="1" applyFont="1" applyBorder="1" applyAlignment="1">
      <alignment horizontal="center"/>
    </xf>
    <xf numFmtId="0" fontId="82" fillId="0" borderId="23" xfId="7" applyFont="1" applyBorder="1" applyAlignment="1">
      <alignment horizontal="center"/>
    </xf>
    <xf numFmtId="171" fontId="82" fillId="25" borderId="0" xfId="7" applyNumberFormat="1" applyFont="1" applyFill="1" applyAlignment="1">
      <alignment horizontal="center"/>
    </xf>
    <xf numFmtId="171" fontId="82" fillId="24" borderId="0" xfId="7" applyNumberFormat="1" applyFont="1" applyFill="1" applyAlignment="1">
      <alignment horizontal="center"/>
    </xf>
    <xf numFmtId="171" fontId="82" fillId="0" borderId="0" xfId="7" applyNumberFormat="1" applyFont="1" applyAlignment="1">
      <alignment horizontal="center"/>
    </xf>
    <xf numFmtId="172" fontId="82" fillId="0" borderId="0" xfId="7" applyNumberFormat="1" applyFont="1" applyAlignment="1">
      <alignment horizontal="center"/>
    </xf>
    <xf numFmtId="173" fontId="82" fillId="25" borderId="0" xfId="7" applyNumberFormat="1" applyFont="1" applyFill="1" applyAlignment="1">
      <alignment horizontal="center"/>
    </xf>
    <xf numFmtId="173" fontId="82" fillId="24" borderId="0" xfId="7" applyNumberFormat="1" applyFont="1" applyFill="1" applyAlignment="1">
      <alignment horizontal="center"/>
    </xf>
    <xf numFmtId="173" fontId="82" fillId="0" borderId="0" xfId="7" applyNumberFormat="1" applyFont="1" applyAlignment="1">
      <alignment horizontal="center"/>
    </xf>
    <xf numFmtId="174" fontId="82" fillId="0" borderId="0" xfId="7" applyNumberFormat="1" applyFont="1" applyAlignment="1">
      <alignment horizontal="center"/>
    </xf>
    <xf numFmtId="1" fontId="61" fillId="24" borderId="0" xfId="7" applyNumberFormat="1" applyFill="1"/>
    <xf numFmtId="177" fontId="82" fillId="24" borderId="0" xfId="7" applyNumberFormat="1" applyFont="1" applyFill="1"/>
    <xf numFmtId="171" fontId="61" fillId="0" borderId="0" xfId="7" applyNumberFormat="1" applyAlignment="1">
      <alignment horizontal="center"/>
    </xf>
    <xf numFmtId="172" fontId="61" fillId="0" borderId="0" xfId="7" applyNumberFormat="1" applyAlignment="1">
      <alignment horizontal="center"/>
    </xf>
    <xf numFmtId="178" fontId="124" fillId="0" borderId="0" xfId="7" applyNumberFormat="1" applyFont="1"/>
    <xf numFmtId="1" fontId="61" fillId="0" borderId="0" xfId="7" applyNumberFormat="1" applyAlignment="1">
      <alignment horizontal="centerContinuous"/>
    </xf>
    <xf numFmtId="1" fontId="82" fillId="24" borderId="0" xfId="7" applyNumberFormat="1" applyFont="1" applyFill="1"/>
    <xf numFmtId="172" fontId="95" fillId="37" borderId="0" xfId="7" applyNumberFormat="1" applyFont="1" applyFill="1" applyAlignment="1">
      <alignment vertical="center"/>
    </xf>
    <xf numFmtId="0" fontId="52" fillId="0" borderId="0" xfId="0" applyFont="1"/>
    <xf numFmtId="17" fontId="53" fillId="5" borderId="1" xfId="0" applyNumberFormat="1" applyFont="1" applyFill="1" applyBorder="1" applyAlignment="1">
      <alignment horizontal="center" vertical="center"/>
    </xf>
    <xf numFmtId="0" fontId="52" fillId="0" borderId="1" xfId="0" applyFont="1" applyBorder="1"/>
    <xf numFmtId="166" fontId="52" fillId="0" borderId="1" xfId="0" applyNumberFormat="1" applyFont="1" applyBorder="1"/>
    <xf numFmtId="170" fontId="52" fillId="0" borderId="1" xfId="0" applyNumberFormat="1" applyFont="1" applyBorder="1"/>
    <xf numFmtId="166" fontId="57" fillId="0" borderId="1" xfId="0" applyNumberFormat="1" applyFont="1" applyBorder="1"/>
    <xf numFmtId="170" fontId="74" fillId="0" borderId="0" xfId="0" applyNumberFormat="1" applyFont="1"/>
    <xf numFmtId="0" fontId="128" fillId="38" borderId="0" xfId="7" applyFont="1" applyFill="1" applyAlignment="1">
      <alignment horizontal="center" vertical="center"/>
    </xf>
    <xf numFmtId="173" fontId="129" fillId="0" borderId="0" xfId="7" applyNumberFormat="1" applyFont="1" applyAlignment="1">
      <alignment vertical="center"/>
    </xf>
    <xf numFmtId="173" fontId="96" fillId="0" borderId="0" xfId="7" applyNumberFormat="1" applyFont="1" applyAlignment="1">
      <alignment vertical="center"/>
    </xf>
    <xf numFmtId="179" fontId="96" fillId="0" borderId="0" xfId="7" applyNumberFormat="1" applyFont="1" applyAlignment="1">
      <alignment vertical="center"/>
    </xf>
    <xf numFmtId="2" fontId="96" fillId="0" borderId="0" xfId="7" applyNumberFormat="1" applyFont="1" applyAlignment="1">
      <alignment vertical="center"/>
    </xf>
    <xf numFmtId="0" fontId="130" fillId="0" borderId="0" xfId="7" applyFont="1"/>
    <xf numFmtId="0" fontId="130" fillId="0" borderId="0" xfId="7" applyFont="1" applyAlignment="1">
      <alignment vertical="center"/>
    </xf>
    <xf numFmtId="2" fontId="96" fillId="0" borderId="0" xfId="7" applyNumberFormat="1" applyFont="1"/>
    <xf numFmtId="179" fontId="96" fillId="0" borderId="0" xfId="7" applyNumberFormat="1" applyFont="1" applyAlignment="1">
      <alignment horizontal="right" vertical="center"/>
    </xf>
    <xf numFmtId="0" fontId="131" fillId="0" borderId="23" xfId="7" applyFont="1" applyBorder="1" applyAlignment="1">
      <alignment vertical="center"/>
    </xf>
    <xf numFmtId="173" fontId="132" fillId="0" borderId="6" xfId="7" applyNumberFormat="1" applyFont="1" applyBorder="1" applyAlignment="1">
      <alignment horizontal="centerContinuous" vertical="center"/>
    </xf>
    <xf numFmtId="173" fontId="133" fillId="0" borderId="6" xfId="7" applyNumberFormat="1" applyFont="1" applyBorder="1" applyAlignment="1">
      <alignment horizontal="centerContinuous" vertical="center"/>
    </xf>
    <xf numFmtId="173" fontId="133" fillId="0" borderId="23" xfId="7" applyNumberFormat="1" applyFont="1" applyBorder="1" applyAlignment="1">
      <alignment horizontal="centerContinuous" vertical="center"/>
    </xf>
    <xf numFmtId="179" fontId="133" fillId="0" borderId="23" xfId="7" applyNumberFormat="1" applyFont="1" applyBorder="1" applyAlignment="1">
      <alignment horizontal="centerContinuous" vertical="center"/>
    </xf>
    <xf numFmtId="0" fontId="82" fillId="0" borderId="0" xfId="7" applyFont="1" applyAlignment="1">
      <alignment vertical="center"/>
    </xf>
    <xf numFmtId="0" fontId="82" fillId="0" borderId="22" xfId="7" applyFont="1" applyBorder="1" applyAlignment="1">
      <alignment vertical="center"/>
    </xf>
    <xf numFmtId="173" fontId="134" fillId="0" borderId="6" xfId="7" applyNumberFormat="1" applyFont="1" applyBorder="1" applyAlignment="1">
      <alignment horizontal="center" vertical="center"/>
    </xf>
    <xf numFmtId="173" fontId="123" fillId="0" borderId="6" xfId="7" applyNumberFormat="1" applyFont="1" applyBorder="1" applyAlignment="1">
      <alignment horizontal="center" vertical="center"/>
    </xf>
    <xf numFmtId="173" fontId="123" fillId="24" borderId="1" xfId="7" applyNumberFormat="1" applyFont="1" applyFill="1" applyBorder="1" applyAlignment="1">
      <alignment horizontal="center" vertical="center"/>
    </xf>
    <xf numFmtId="173" fontId="82" fillId="24" borderId="1" xfId="7" applyNumberFormat="1" applyFont="1" applyFill="1" applyBorder="1" applyAlignment="1">
      <alignment horizontal="center" vertical="center"/>
    </xf>
    <xf numFmtId="173" fontId="82" fillId="0" borderId="6" xfId="7" applyNumberFormat="1" applyFont="1" applyBorder="1" applyAlignment="1">
      <alignment horizontal="center" vertical="center"/>
    </xf>
    <xf numFmtId="179" fontId="82" fillId="25" borderId="1" xfId="7" applyNumberFormat="1" applyFont="1" applyFill="1" applyBorder="1" applyAlignment="1">
      <alignment horizontal="center" vertical="center"/>
    </xf>
    <xf numFmtId="173" fontId="129" fillId="24" borderId="4" xfId="7" applyNumberFormat="1" applyFont="1" applyFill="1" applyBorder="1" applyAlignment="1">
      <alignment vertical="center"/>
    </xf>
    <xf numFmtId="4" fontId="96" fillId="24" borderId="4" xfId="7" applyNumberFormat="1" applyFont="1" applyFill="1" applyBorder="1" applyAlignment="1">
      <alignment vertical="center"/>
    </xf>
    <xf numFmtId="4" fontId="135" fillId="0" borderId="0" xfId="7" applyNumberFormat="1" applyFont="1" applyAlignment="1">
      <alignment vertical="center"/>
    </xf>
    <xf numFmtId="4" fontId="96" fillId="0" borderId="0" xfId="7" applyNumberFormat="1" applyFont="1" applyAlignment="1">
      <alignment vertical="center"/>
    </xf>
    <xf numFmtId="179" fontId="133" fillId="25" borderId="4" xfId="7" applyNumberFormat="1" applyFont="1" applyFill="1" applyBorder="1" applyAlignment="1">
      <alignment vertical="center"/>
    </xf>
    <xf numFmtId="173" fontId="129" fillId="39" borderId="0" xfId="7" applyNumberFormat="1" applyFont="1" applyFill="1" applyAlignment="1">
      <alignment vertical="center"/>
    </xf>
    <xf numFmtId="4" fontId="129" fillId="39" borderId="0" xfId="7" applyNumberFormat="1" applyFont="1" applyFill="1" applyAlignment="1">
      <alignment vertical="center"/>
    </xf>
    <xf numFmtId="4" fontId="96" fillId="39" borderId="0" xfId="7" applyNumberFormat="1" applyFont="1" applyFill="1" applyAlignment="1">
      <alignment vertical="center"/>
    </xf>
    <xf numFmtId="0" fontId="136" fillId="12" borderId="0" xfId="7" applyFont="1" applyFill="1" applyAlignment="1">
      <alignment vertical="center"/>
    </xf>
    <xf numFmtId="173" fontId="129" fillId="12" borderId="0" xfId="7" applyNumberFormat="1" applyFont="1" applyFill="1" applyAlignment="1">
      <alignment vertical="center"/>
    </xf>
    <xf numFmtId="173" fontId="129" fillId="12" borderId="4" xfId="7" applyNumberFormat="1" applyFont="1" applyFill="1" applyBorder="1" applyAlignment="1">
      <alignment vertical="center"/>
    </xf>
    <xf numFmtId="4" fontId="96" fillId="12" borderId="4" xfId="7" applyNumberFormat="1" applyFont="1" applyFill="1" applyBorder="1" applyAlignment="1">
      <alignment vertical="center"/>
    </xf>
    <xf numFmtId="4" fontId="96" fillId="12" borderId="0" xfId="7" applyNumberFormat="1" applyFont="1" applyFill="1" applyAlignment="1">
      <alignment vertical="center"/>
    </xf>
    <xf numFmtId="0" fontId="96" fillId="0" borderId="6" xfId="7" applyFont="1" applyBorder="1" applyAlignment="1">
      <alignment vertical="center"/>
    </xf>
    <xf numFmtId="173" fontId="129" fillId="0" borderId="6" xfId="7" applyNumberFormat="1" applyFont="1" applyBorder="1" applyAlignment="1">
      <alignment vertical="center"/>
    </xf>
    <xf numFmtId="173" fontId="129" fillId="24" borderId="1" xfId="7" applyNumberFormat="1" applyFont="1" applyFill="1" applyBorder="1" applyAlignment="1">
      <alignment vertical="center"/>
    </xf>
    <xf numFmtId="4" fontId="96" fillId="24" borderId="1" xfId="7" applyNumberFormat="1" applyFont="1" applyFill="1" applyBorder="1" applyAlignment="1">
      <alignment vertical="center"/>
    </xf>
    <xf numFmtId="4" fontId="96" fillId="0" borderId="6" xfId="7" applyNumberFormat="1" applyFont="1" applyBorder="1" applyAlignment="1">
      <alignment vertical="center"/>
    </xf>
    <xf numFmtId="179" fontId="133" fillId="25" borderId="1" xfId="7" applyNumberFormat="1" applyFont="1" applyFill="1" applyBorder="1" applyAlignment="1">
      <alignment vertical="center"/>
    </xf>
    <xf numFmtId="180" fontId="96" fillId="0" borderId="0" xfId="7" applyNumberFormat="1" applyFont="1" applyAlignment="1">
      <alignment vertical="center"/>
    </xf>
    <xf numFmtId="1" fontId="96" fillId="0" borderId="0" xfId="7" applyNumberFormat="1" applyFont="1" applyAlignment="1">
      <alignment vertical="center"/>
    </xf>
    <xf numFmtId="4" fontId="129" fillId="0" borderId="0" xfId="7" applyNumberFormat="1" applyFont="1" applyAlignment="1">
      <alignment vertical="center"/>
    </xf>
    <xf numFmtId="0" fontId="96" fillId="12" borderId="0" xfId="7" applyFont="1" applyFill="1" applyAlignment="1">
      <alignment vertical="center"/>
    </xf>
    <xf numFmtId="0" fontId="96" fillId="18" borderId="0" xfId="7" applyFont="1" applyFill="1" applyAlignment="1">
      <alignment vertical="center"/>
    </xf>
    <xf numFmtId="173" fontId="129" fillId="18" borderId="0" xfId="7" applyNumberFormat="1" applyFont="1" applyFill="1" applyAlignment="1">
      <alignment vertical="center"/>
    </xf>
    <xf numFmtId="173" fontId="129" fillId="18" borderId="4" xfId="7" applyNumberFormat="1" applyFont="1" applyFill="1" applyBorder="1" applyAlignment="1">
      <alignment vertical="center"/>
    </xf>
    <xf numFmtId="4" fontId="96" fillId="18" borderId="4" xfId="7" applyNumberFormat="1" applyFont="1" applyFill="1" applyBorder="1" applyAlignment="1">
      <alignment vertical="center"/>
    </xf>
    <xf numFmtId="4" fontId="129" fillId="18" borderId="0" xfId="7" applyNumberFormat="1" applyFont="1" applyFill="1" applyAlignment="1">
      <alignment vertical="center"/>
    </xf>
    <xf numFmtId="179" fontId="133" fillId="18" borderId="4" xfId="7" applyNumberFormat="1" applyFont="1" applyFill="1" applyBorder="1" applyAlignment="1">
      <alignment vertical="center"/>
    </xf>
    <xf numFmtId="2" fontId="96" fillId="18" borderId="0" xfId="7" applyNumberFormat="1" applyFont="1" applyFill="1" applyAlignment="1">
      <alignment vertical="center"/>
    </xf>
    <xf numFmtId="0" fontId="82" fillId="18" borderId="0" xfId="7" applyFont="1" applyFill="1" applyAlignment="1">
      <alignment vertical="center"/>
    </xf>
    <xf numFmtId="0" fontId="82" fillId="29" borderId="0" xfId="7" applyFont="1" applyFill="1" applyAlignment="1">
      <alignment horizontal="center" vertical="center"/>
    </xf>
    <xf numFmtId="2" fontId="82" fillId="29" borderId="0" xfId="7" applyNumberFormat="1" applyFont="1" applyFill="1" applyAlignment="1">
      <alignment horizontal="center" vertical="center"/>
    </xf>
    <xf numFmtId="0" fontId="96" fillId="0" borderId="22" xfId="7" applyFont="1" applyBorder="1" applyAlignment="1">
      <alignment vertical="center"/>
    </xf>
    <xf numFmtId="173" fontId="129" fillId="0" borderId="22" xfId="7" applyNumberFormat="1" applyFont="1" applyBorder="1" applyAlignment="1">
      <alignment vertical="center"/>
    </xf>
    <xf numFmtId="4" fontId="96" fillId="0" borderId="22" xfId="7" applyNumberFormat="1" applyFont="1" applyBorder="1" applyAlignment="1">
      <alignment vertical="center"/>
    </xf>
    <xf numFmtId="179" fontId="133" fillId="25" borderId="3" xfId="7" applyNumberFormat="1" applyFont="1" applyFill="1" applyBorder="1" applyAlignment="1">
      <alignment vertical="center"/>
    </xf>
    <xf numFmtId="0" fontId="96" fillId="29" borderId="0" xfId="7" applyFont="1" applyFill="1" applyAlignment="1">
      <alignment horizontal="right" vertical="center"/>
    </xf>
    <xf numFmtId="0" fontId="96" fillId="29" borderId="0" xfId="7" applyFont="1" applyFill="1" applyAlignment="1">
      <alignment horizontal="center" vertical="center"/>
    </xf>
    <xf numFmtId="0" fontId="96" fillId="0" borderId="23" xfId="7" applyFont="1" applyBorder="1" applyAlignment="1">
      <alignment vertical="center"/>
    </xf>
    <xf numFmtId="173" fontId="129" fillId="0" borderId="23" xfId="7" applyNumberFormat="1" applyFont="1" applyBorder="1" applyAlignment="1">
      <alignment vertical="center"/>
    </xf>
    <xf numFmtId="173" fontId="129" fillId="24" borderId="2" xfId="7" applyNumberFormat="1" applyFont="1" applyFill="1" applyBorder="1" applyAlignment="1">
      <alignment vertical="center"/>
    </xf>
    <xf numFmtId="4" fontId="96" fillId="24" borderId="2" xfId="7" applyNumberFormat="1" applyFont="1" applyFill="1" applyBorder="1" applyAlignment="1">
      <alignment vertical="center"/>
    </xf>
    <xf numFmtId="4" fontId="96" fillId="0" borderId="23" xfId="7" applyNumberFormat="1" applyFont="1" applyBorder="1" applyAlignment="1">
      <alignment vertical="center"/>
    </xf>
    <xf numFmtId="179" fontId="133" fillId="25" borderId="2" xfId="7" applyNumberFormat="1" applyFont="1" applyFill="1" applyBorder="1" applyAlignment="1">
      <alignment vertical="center"/>
    </xf>
    <xf numFmtId="2" fontId="61" fillId="29" borderId="0" xfId="7" applyNumberFormat="1" applyFill="1" applyAlignment="1">
      <alignment horizontal="center" vertical="center"/>
    </xf>
    <xf numFmtId="0" fontId="96" fillId="29" borderId="0" xfId="7" applyFont="1" applyFill="1" applyAlignment="1">
      <alignment vertical="center"/>
    </xf>
    <xf numFmtId="2" fontId="61" fillId="29" borderId="24" xfId="7" applyNumberFormat="1" applyFill="1" applyBorder="1" applyAlignment="1">
      <alignment horizontal="center" vertical="center"/>
    </xf>
    <xf numFmtId="0" fontId="124" fillId="29" borderId="0" xfId="7" applyFont="1" applyFill="1" applyAlignment="1">
      <alignment horizontal="center" vertical="center"/>
    </xf>
    <xf numFmtId="2" fontId="124" fillId="29" borderId="0" xfId="7" applyNumberFormat="1" applyFont="1" applyFill="1" applyAlignment="1">
      <alignment horizontal="center" vertical="center"/>
    </xf>
    <xf numFmtId="0" fontId="133" fillId="0" borderId="6" xfId="7" applyFont="1" applyBorder="1" applyAlignment="1">
      <alignment vertical="center"/>
    </xf>
    <xf numFmtId="173" fontId="132" fillId="0" borderId="6" xfId="7" applyNumberFormat="1" applyFont="1" applyBorder="1" applyAlignment="1">
      <alignment vertical="center"/>
    </xf>
    <xf numFmtId="173" fontId="132" fillId="24" borderId="1" xfId="7" applyNumberFormat="1" applyFont="1" applyFill="1" applyBorder="1" applyAlignment="1">
      <alignment vertical="center"/>
    </xf>
    <xf numFmtId="4" fontId="133" fillId="24" borderId="1" xfId="7" applyNumberFormat="1" applyFont="1" applyFill="1" applyBorder="1" applyAlignment="1">
      <alignment vertical="center"/>
    </xf>
    <xf numFmtId="4" fontId="133" fillId="0" borderId="6" xfId="7" applyNumberFormat="1" applyFont="1" applyBorder="1" applyAlignment="1">
      <alignment vertical="center"/>
    </xf>
    <xf numFmtId="176" fontId="96" fillId="0" borderId="0" xfId="7" applyNumberFormat="1" applyFont="1" applyAlignment="1">
      <alignment vertical="center"/>
    </xf>
    <xf numFmtId="2" fontId="61" fillId="35" borderId="0" xfId="7" applyNumberFormat="1" applyFill="1" applyAlignment="1">
      <alignment horizontal="right" vertical="center"/>
    </xf>
    <xf numFmtId="2" fontId="96" fillId="35" borderId="0" xfId="7" applyNumberFormat="1" applyFont="1" applyFill="1" applyAlignment="1">
      <alignment vertical="center"/>
    </xf>
    <xf numFmtId="181" fontId="82" fillId="0" borderId="0" xfId="7" applyNumberFormat="1" applyFont="1" applyAlignment="1">
      <alignment vertical="center"/>
    </xf>
    <xf numFmtId="0" fontId="96" fillId="35" borderId="0" xfId="7" applyFont="1" applyFill="1" applyAlignment="1">
      <alignment horizontal="right" vertical="center"/>
    </xf>
    <xf numFmtId="176" fontId="96" fillId="35" borderId="0" xfId="7" applyNumberFormat="1" applyFont="1" applyFill="1" applyAlignment="1">
      <alignment vertical="center"/>
    </xf>
    <xf numFmtId="4" fontId="96" fillId="18" borderId="0" xfId="7" applyNumberFormat="1" applyFont="1" applyFill="1" applyAlignment="1">
      <alignment vertical="center"/>
    </xf>
    <xf numFmtId="0" fontId="96" fillId="40" borderId="0" xfId="7" applyFont="1" applyFill="1" applyAlignment="1">
      <alignment vertical="center"/>
    </xf>
    <xf numFmtId="173" fontId="129" fillId="40" borderId="0" xfId="7" applyNumberFormat="1" applyFont="1" applyFill="1" applyAlignment="1">
      <alignment vertical="center"/>
    </xf>
    <xf numFmtId="4" fontId="96" fillId="40" borderId="0" xfId="7" applyNumberFormat="1" applyFont="1" applyFill="1" applyAlignment="1">
      <alignment vertical="center"/>
    </xf>
    <xf numFmtId="176" fontId="96" fillId="40" borderId="0" xfId="7" applyNumberFormat="1" applyFont="1" applyFill="1" applyAlignment="1">
      <alignment vertical="center"/>
    </xf>
    <xf numFmtId="182" fontId="96" fillId="0" borderId="0" xfId="7" applyNumberFormat="1" applyFont="1" applyAlignment="1">
      <alignment vertical="center"/>
    </xf>
    <xf numFmtId="0" fontId="133" fillId="0" borderId="24" xfId="7" applyFont="1" applyBorder="1" applyAlignment="1">
      <alignment vertical="center"/>
    </xf>
    <xf numFmtId="173" fontId="132" fillId="0" borderId="24" xfId="7" applyNumberFormat="1" applyFont="1" applyBorder="1" applyAlignment="1">
      <alignment vertical="center"/>
    </xf>
    <xf numFmtId="173" fontId="132" fillId="24" borderId="25" xfId="7" applyNumberFormat="1" applyFont="1" applyFill="1" applyBorder="1" applyAlignment="1">
      <alignment vertical="center"/>
    </xf>
    <xf numFmtId="4" fontId="133" fillId="24" borderId="25" xfId="7" applyNumberFormat="1" applyFont="1" applyFill="1" applyBorder="1" applyAlignment="1">
      <alignment vertical="center"/>
    </xf>
    <xf numFmtId="4" fontId="133" fillId="0" borderId="24" xfId="7" applyNumberFormat="1" applyFont="1" applyBorder="1" applyAlignment="1">
      <alignment vertical="center"/>
    </xf>
    <xf numFmtId="179" fontId="133" fillId="25" borderId="25" xfId="7" applyNumberFormat="1" applyFont="1" applyFill="1" applyBorder="1" applyAlignment="1">
      <alignment vertical="center"/>
    </xf>
    <xf numFmtId="2" fontId="82" fillId="0" borderId="0" xfId="7" applyNumberFormat="1" applyFont="1" applyAlignment="1">
      <alignment vertical="center"/>
    </xf>
    <xf numFmtId="0" fontId="82" fillId="41" borderId="0" xfId="7" applyFont="1" applyFill="1" applyAlignment="1">
      <alignment vertical="center"/>
    </xf>
    <xf numFmtId="173" fontId="132" fillId="41" borderId="0" xfId="7" applyNumberFormat="1" applyFont="1" applyFill="1" applyAlignment="1">
      <alignment vertical="center"/>
    </xf>
    <xf numFmtId="173" fontId="132" fillId="24" borderId="4" xfId="7" applyNumberFormat="1" applyFont="1" applyFill="1" applyBorder="1" applyAlignment="1">
      <alignment vertical="center"/>
    </xf>
    <xf numFmtId="4" fontId="82" fillId="24" borderId="4" xfId="7" applyNumberFormat="1" applyFont="1" applyFill="1" applyBorder="1" applyAlignment="1">
      <alignment vertical="center"/>
    </xf>
    <xf numFmtId="4" fontId="132" fillId="41" borderId="0" xfId="7" applyNumberFormat="1" applyFont="1" applyFill="1" applyAlignment="1">
      <alignment vertical="center"/>
    </xf>
    <xf numFmtId="179" fontId="82" fillId="25" borderId="4" xfId="7" applyNumberFormat="1" applyFont="1" applyFill="1" applyBorder="1" applyAlignment="1">
      <alignment vertical="center"/>
    </xf>
    <xf numFmtId="183" fontId="96" fillId="0" borderId="0" xfId="7" applyNumberFormat="1" applyFont="1" applyAlignment="1">
      <alignment vertical="center"/>
    </xf>
    <xf numFmtId="172" fontId="137" fillId="0" borderId="0" xfId="7" applyNumberFormat="1" applyFont="1" applyAlignment="1">
      <alignment horizontal="center" vertical="center"/>
    </xf>
    <xf numFmtId="173" fontId="129" fillId="0" borderId="24" xfId="7" applyNumberFormat="1" applyFont="1" applyBorder="1" applyAlignment="1">
      <alignment vertical="center"/>
    </xf>
    <xf numFmtId="173" fontId="96" fillId="0" borderId="24" xfId="7" applyNumberFormat="1" applyFont="1" applyBorder="1" applyAlignment="1">
      <alignment vertical="center"/>
    </xf>
    <xf numFmtId="179" fontId="96" fillId="0" borderId="24" xfId="7" applyNumberFormat="1" applyFont="1" applyBorder="1" applyAlignment="1">
      <alignment vertical="center"/>
    </xf>
    <xf numFmtId="173" fontId="138" fillId="0" borderId="0" xfId="7" applyNumberFormat="1" applyFont="1" applyAlignment="1">
      <alignment vertical="center"/>
    </xf>
    <xf numFmtId="173" fontId="92" fillId="0" borderId="0" xfId="7" applyNumberFormat="1" applyFont="1" applyAlignment="1">
      <alignment vertical="center"/>
    </xf>
    <xf numFmtId="179" fontId="92" fillId="0" borderId="0" xfId="7" applyNumberFormat="1" applyFont="1" applyAlignment="1">
      <alignment vertical="center"/>
    </xf>
    <xf numFmtId="0" fontId="139" fillId="0" borderId="0" xfId="7" applyFont="1" applyAlignment="1">
      <alignment vertical="center"/>
    </xf>
    <xf numFmtId="179" fontId="129" fillId="0" borderId="0" xfId="7" applyNumberFormat="1" applyFont="1" applyAlignment="1">
      <alignment vertical="center"/>
    </xf>
    <xf numFmtId="179" fontId="129" fillId="0" borderId="24" xfId="7" applyNumberFormat="1" applyFont="1" applyBorder="1" applyAlignment="1">
      <alignment vertical="center"/>
    </xf>
    <xf numFmtId="173" fontId="140" fillId="0" borderId="0" xfId="7" applyNumberFormat="1" applyFont="1" applyAlignment="1">
      <alignment vertical="center"/>
    </xf>
    <xf numFmtId="179" fontId="140" fillId="0" borderId="0" xfId="7" applyNumberFormat="1" applyFont="1" applyAlignment="1">
      <alignment vertical="center"/>
    </xf>
    <xf numFmtId="173" fontId="129" fillId="0" borderId="0" xfId="9" applyNumberFormat="1" applyFont="1" applyFill="1" applyBorder="1" applyAlignment="1">
      <alignment vertical="center"/>
    </xf>
    <xf numFmtId="173" fontId="130" fillId="0" borderId="0" xfId="7" applyNumberFormat="1" applyFont="1" applyAlignment="1">
      <alignment vertical="center"/>
    </xf>
    <xf numFmtId="0" fontId="141" fillId="0" borderId="0" xfId="7" applyFont="1" applyAlignment="1">
      <alignment vertical="center"/>
    </xf>
    <xf numFmtId="173" fontId="96" fillId="12" borderId="0" xfId="7" applyNumberFormat="1" applyFont="1" applyFill="1" applyAlignment="1">
      <alignment vertical="center"/>
    </xf>
    <xf numFmtId="179" fontId="96" fillId="23" borderId="0" xfId="7" applyNumberFormat="1" applyFont="1" applyFill="1" applyAlignment="1">
      <alignment vertical="center"/>
    </xf>
    <xf numFmtId="0" fontId="142" fillId="18" borderId="0" xfId="7" applyFont="1" applyFill="1"/>
    <xf numFmtId="0" fontId="143" fillId="0" borderId="26" xfId="7" applyFont="1" applyBorder="1"/>
    <xf numFmtId="173" fontId="144" fillId="0" borderId="27" xfId="7" applyNumberFormat="1" applyFont="1" applyBorder="1"/>
    <xf numFmtId="173" fontId="144" fillId="12" borderId="27" xfId="7" applyNumberFormat="1" applyFont="1" applyFill="1" applyBorder="1"/>
    <xf numFmtId="173" fontId="143" fillId="12" borderId="27" xfId="7" applyNumberFormat="1" applyFont="1" applyFill="1" applyBorder="1"/>
    <xf numFmtId="173" fontId="143" fillId="0" borderId="27" xfId="7" applyNumberFormat="1" applyFont="1" applyBorder="1"/>
    <xf numFmtId="179" fontId="143" fillId="23" borderId="27" xfId="7" applyNumberFormat="1" applyFont="1" applyFill="1" applyBorder="1"/>
    <xf numFmtId="0" fontId="131" fillId="42" borderId="0" xfId="7" applyFont="1" applyFill="1" applyAlignment="1">
      <alignment vertical="center"/>
    </xf>
    <xf numFmtId="173" fontId="131" fillId="42" borderId="0" xfId="7" applyNumberFormat="1" applyFont="1" applyFill="1" applyAlignment="1">
      <alignment vertical="center"/>
    </xf>
    <xf numFmtId="173" fontId="129" fillId="0" borderId="22" xfId="7" applyNumberFormat="1" applyFont="1" applyBorder="1"/>
    <xf numFmtId="173" fontId="129" fillId="12" borderId="22" xfId="7" applyNumberFormat="1" applyFont="1" applyFill="1" applyBorder="1"/>
    <xf numFmtId="173" fontId="130" fillId="12" borderId="22" xfId="7" applyNumberFormat="1" applyFont="1" applyFill="1" applyBorder="1"/>
    <xf numFmtId="173" fontId="130" fillId="0" borderId="22" xfId="7" applyNumberFormat="1" applyFont="1" applyBorder="1"/>
    <xf numFmtId="179" fontId="130" fillId="23" borderId="22" xfId="7" applyNumberFormat="1" applyFont="1" applyFill="1" applyBorder="1"/>
    <xf numFmtId="0" fontId="145" fillId="0" borderId="0" xfId="7" applyFont="1" applyAlignment="1">
      <alignment horizontal="right"/>
    </xf>
    <xf numFmtId="173" fontId="146" fillId="0" borderId="0" xfId="7" applyNumberFormat="1" applyFont="1"/>
    <xf numFmtId="173" fontId="146" fillId="12" borderId="0" xfId="7" applyNumberFormat="1" applyFont="1" applyFill="1"/>
    <xf numFmtId="173" fontId="145" fillId="12" borderId="0" xfId="7" applyNumberFormat="1" applyFont="1" applyFill="1"/>
    <xf numFmtId="173" fontId="145" fillId="0" borderId="0" xfId="7" applyNumberFormat="1" applyFont="1"/>
    <xf numFmtId="179" fontId="145" fillId="23" borderId="0" xfId="7" applyNumberFormat="1" applyFont="1" applyFill="1"/>
    <xf numFmtId="43" fontId="129" fillId="0" borderId="0" xfId="8" applyFont="1" applyFill="1" applyBorder="1" applyAlignment="1">
      <alignment vertical="center"/>
    </xf>
    <xf numFmtId="0" fontId="61" fillId="0" borderId="0" xfId="7" applyAlignment="1">
      <alignment vertical="center"/>
    </xf>
    <xf numFmtId="179" fontId="96" fillId="35" borderId="0" xfId="7" applyNumberFormat="1" applyFont="1" applyFill="1" applyAlignment="1">
      <alignment vertical="center"/>
    </xf>
    <xf numFmtId="173" fontId="129" fillId="12" borderId="1" xfId="7" applyNumberFormat="1" applyFont="1" applyFill="1" applyBorder="1" applyAlignment="1">
      <alignment vertical="center"/>
    </xf>
    <xf numFmtId="173" fontId="96" fillId="12" borderId="1" xfId="7" applyNumberFormat="1" applyFont="1" applyFill="1" applyBorder="1" applyAlignment="1">
      <alignment vertical="center"/>
    </xf>
    <xf numFmtId="173" fontId="96" fillId="0" borderId="6" xfId="7" applyNumberFormat="1" applyFont="1" applyBorder="1" applyAlignment="1">
      <alignment vertical="center"/>
    </xf>
    <xf numFmtId="179" fontId="133" fillId="35" borderId="1" xfId="7" applyNumberFormat="1" applyFont="1" applyFill="1" applyBorder="1" applyAlignment="1">
      <alignment vertical="center"/>
    </xf>
    <xf numFmtId="173" fontId="132" fillId="12" borderId="25" xfId="7" applyNumberFormat="1" applyFont="1" applyFill="1" applyBorder="1" applyAlignment="1">
      <alignment vertical="center"/>
    </xf>
    <xf numFmtId="173" fontId="133" fillId="12" borderId="25" xfId="7" applyNumberFormat="1" applyFont="1" applyFill="1" applyBorder="1" applyAlignment="1">
      <alignment vertical="center"/>
    </xf>
    <xf numFmtId="173" fontId="133" fillId="0" borderId="24" xfId="7" applyNumberFormat="1" applyFont="1" applyBorder="1" applyAlignment="1">
      <alignment vertical="center"/>
    </xf>
    <xf numFmtId="179" fontId="133" fillId="35" borderId="25" xfId="7" applyNumberFormat="1" applyFont="1" applyFill="1" applyBorder="1" applyAlignment="1">
      <alignment vertical="center"/>
    </xf>
    <xf numFmtId="173" fontId="147" fillId="0" borderId="0" xfId="7" applyNumberFormat="1" applyFont="1" applyAlignment="1">
      <alignment vertical="center"/>
    </xf>
    <xf numFmtId="173" fontId="148" fillId="0" borderId="0" xfId="7" applyNumberFormat="1" applyFont="1" applyAlignment="1">
      <alignment vertical="center"/>
    </xf>
    <xf numFmtId="4" fontId="129" fillId="0" borderId="24" xfId="7" applyNumberFormat="1" applyFont="1" applyBorder="1" applyAlignment="1">
      <alignment vertical="center"/>
    </xf>
    <xf numFmtId="1" fontId="61" fillId="9" borderId="24" xfId="7" applyNumberFormat="1" applyFill="1" applyBorder="1"/>
    <xf numFmtId="173" fontId="129" fillId="9" borderId="24" xfId="7" applyNumberFormat="1" applyFont="1" applyFill="1" applyBorder="1" applyAlignment="1">
      <alignment vertical="center"/>
    </xf>
    <xf numFmtId="4" fontId="129" fillId="9" borderId="24" xfId="7" applyNumberFormat="1" applyFont="1" applyFill="1" applyBorder="1" applyAlignment="1">
      <alignment vertical="center"/>
    </xf>
    <xf numFmtId="166" fontId="0" fillId="0" borderId="1" xfId="1" applyFont="1" applyBorder="1"/>
    <xf numFmtId="1" fontId="74" fillId="0" borderId="1" xfId="0" applyNumberFormat="1" applyFont="1" applyBorder="1" applyAlignment="1">
      <alignment horizontal="center" vertical="center"/>
    </xf>
    <xf numFmtId="170" fontId="74" fillId="0" borderId="1" xfId="0" applyNumberFormat="1" applyFont="1" applyBorder="1" applyAlignment="1">
      <alignment horizontal="center" vertical="center"/>
    </xf>
    <xf numFmtId="167" fontId="19" fillId="0" borderId="1" xfId="1" applyNumberFormat="1" applyFont="1" applyBorder="1" applyAlignment="1">
      <alignment vertical="center"/>
    </xf>
    <xf numFmtId="0" fontId="0" fillId="0" borderId="0" xfId="0" applyAlignment="1">
      <alignment horizontal="left"/>
    </xf>
    <xf numFmtId="166" fontId="0" fillId="0" borderId="0" xfId="1" applyFont="1" applyAlignment="1">
      <alignment horizontal="center"/>
    </xf>
    <xf numFmtId="166" fontId="0" fillId="0" borderId="0" xfId="1" applyFont="1"/>
    <xf numFmtId="1" fontId="82" fillId="20" borderId="0" xfId="7" applyNumberFormat="1" applyFont="1" applyFill="1"/>
    <xf numFmtId="1" fontId="61" fillId="20" borderId="0" xfId="7" applyNumberFormat="1" applyFill="1"/>
    <xf numFmtId="166" fontId="52" fillId="0" borderId="1" xfId="1" applyFont="1" applyBorder="1"/>
    <xf numFmtId="166" fontId="0" fillId="0" borderId="1" xfId="1" applyFont="1" applyBorder="1" applyAlignment="1"/>
    <xf numFmtId="166" fontId="52" fillId="0" borderId="1" xfId="1" applyFont="1" applyBorder="1" applyAlignment="1"/>
    <xf numFmtId="17" fontId="22" fillId="5" borderId="5" xfId="0" applyNumberFormat="1" applyFont="1" applyFill="1" applyBorder="1" applyAlignment="1">
      <alignment horizontal="center" vertical="center"/>
    </xf>
    <xf numFmtId="0" fontId="32" fillId="3" borderId="0" xfId="0" applyFont="1" applyFill="1" applyAlignment="1">
      <alignment horizontal="left" vertical="center"/>
    </xf>
    <xf numFmtId="17" fontId="53" fillId="0" borderId="0" xfId="0" applyNumberFormat="1" applyFont="1" applyAlignment="1">
      <alignment horizontal="center" vertical="center"/>
    </xf>
    <xf numFmtId="17" fontId="22" fillId="0" borderId="0" xfId="0" applyNumberFormat="1" applyFont="1" applyAlignment="1">
      <alignment horizontal="center" vertical="center"/>
    </xf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50" fillId="0" borderId="0" xfId="0" applyNumberFormat="1" applyFont="1"/>
    <xf numFmtId="17" fontId="2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NumberFormat="1"/>
    <xf numFmtId="0" fontId="38" fillId="3" borderId="1" xfId="0" applyFont="1" applyFill="1" applyBorder="1" applyAlignment="1">
      <alignment horizontal="left" vertical="center"/>
    </xf>
    <xf numFmtId="17" fontId="151" fillId="0" borderId="0" xfId="0" applyNumberFormat="1" applyFont="1" applyAlignment="1">
      <alignment horizontal="left" vertical="center"/>
    </xf>
    <xf numFmtId="170" fontId="0" fillId="0" borderId="1" xfId="1" applyNumberFormat="1" applyFont="1" applyBorder="1"/>
    <xf numFmtId="170" fontId="52" fillId="0" borderId="1" xfId="1" applyNumberFormat="1" applyFont="1" applyBorder="1"/>
    <xf numFmtId="170" fontId="0" fillId="0" borderId="1" xfId="1" applyNumberFormat="1" applyFont="1" applyBorder="1" applyAlignment="1">
      <alignment vertical="center"/>
    </xf>
    <xf numFmtId="170" fontId="153" fillId="0" borderId="1" xfId="1" applyNumberFormat="1" applyFont="1" applyBorder="1"/>
    <xf numFmtId="170" fontId="0" fillId="6" borderId="1" xfId="1" applyNumberFormat="1" applyFont="1" applyFill="1" applyBorder="1"/>
    <xf numFmtId="170" fontId="74" fillId="0" borderId="0" xfId="1" applyNumberFormat="1" applyFont="1"/>
    <xf numFmtId="170" fontId="0" fillId="0" borderId="0" xfId="1" applyNumberFormat="1" applyFont="1"/>
    <xf numFmtId="170" fontId="57" fillId="0" borderId="1" xfId="1" applyNumberFormat="1" applyFont="1" applyBorder="1"/>
    <xf numFmtId="170" fontId="0" fillId="0" borderId="0" xfId="1" applyNumberFormat="1" applyFont="1" applyFill="1"/>
    <xf numFmtId="0" fontId="32" fillId="3" borderId="7" xfId="0" applyFont="1" applyFill="1" applyBorder="1" applyAlignment="1">
      <alignment horizontal="left" vertical="center"/>
    </xf>
    <xf numFmtId="17" fontId="22" fillId="0" borderId="0" xfId="0" applyNumberFormat="1" applyFont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/>
    </xf>
    <xf numFmtId="0" fontId="19" fillId="7" borderId="1" xfId="0" applyFont="1" applyFill="1" applyBorder="1" applyAlignment="1">
      <alignment horizontal="center" vertical="center"/>
    </xf>
    <xf numFmtId="0" fontId="19" fillId="6" borderId="1" xfId="0" applyFont="1" applyFill="1" applyBorder="1"/>
    <xf numFmtId="0" fontId="33" fillId="10" borderId="1" xfId="0" applyFont="1" applyFill="1" applyBorder="1" applyAlignment="1">
      <alignment horizontal="left" vertical="center"/>
    </xf>
    <xf numFmtId="0" fontId="19" fillId="10" borderId="1" xfId="0" applyFont="1" applyFill="1" applyBorder="1" applyAlignment="1">
      <alignment horizontal="center" vertical="center"/>
    </xf>
    <xf numFmtId="0" fontId="19" fillId="0" borderId="0" xfId="0" applyFont="1" applyBorder="1"/>
    <xf numFmtId="17" fontId="22" fillId="0" borderId="0" xfId="0" applyNumberFormat="1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left" vertical="center"/>
    </xf>
    <xf numFmtId="0" fontId="33" fillId="7" borderId="1" xfId="0" applyFont="1" applyFill="1" applyBorder="1" applyAlignment="1">
      <alignment horizontal="center" vertical="center"/>
    </xf>
    <xf numFmtId="0" fontId="75" fillId="0" borderId="0" xfId="0" applyFont="1"/>
    <xf numFmtId="170" fontId="0" fillId="0" borderId="0" xfId="1" applyNumberFormat="1" applyFont="1" applyAlignment="1">
      <alignment vertical="center"/>
    </xf>
    <xf numFmtId="170" fontId="0" fillId="0" borderId="0" xfId="0" applyNumberFormat="1" applyAlignment="1">
      <alignment vertical="center"/>
    </xf>
    <xf numFmtId="0" fontId="3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3" fontId="0" fillId="0" borderId="0" xfId="0" applyNumberFormat="1" applyFill="1" applyBorder="1"/>
    <xf numFmtId="0" fontId="38" fillId="0" borderId="0" xfId="0" applyFont="1" applyFill="1" applyBorder="1" applyAlignment="1">
      <alignment horizontal="left" vertical="center"/>
    </xf>
    <xf numFmtId="17" fontId="151" fillId="0" borderId="0" xfId="0" applyNumberFormat="1" applyFont="1" applyFill="1" applyBorder="1" applyAlignment="1">
      <alignment horizontal="left" vertical="center"/>
    </xf>
    <xf numFmtId="170" fontId="158" fillId="0" borderId="0" xfId="0" applyNumberFormat="1" applyFont="1" applyAlignment="1">
      <alignment vertical="center"/>
    </xf>
    <xf numFmtId="0" fontId="0" fillId="0" borderId="0" xfId="0" applyFont="1"/>
    <xf numFmtId="3" fontId="0" fillId="0" borderId="0" xfId="0" applyNumberFormat="1" applyAlignment="1">
      <alignment vertical="center"/>
    </xf>
    <xf numFmtId="0" fontId="157" fillId="0" borderId="0" xfId="0" applyFont="1" applyBorder="1" applyAlignment="1">
      <alignment vertical="center"/>
    </xf>
    <xf numFmtId="0" fontId="33" fillId="3" borderId="33" xfId="0" applyFont="1" applyFill="1" applyBorder="1" applyAlignment="1">
      <alignment horizontal="center" vertical="center"/>
    </xf>
    <xf numFmtId="0" fontId="0" fillId="0" borderId="0" xfId="0" pivotButton="1"/>
    <xf numFmtId="0" fontId="32" fillId="3" borderId="3" xfId="0" applyFont="1" applyFill="1" applyBorder="1" applyAlignment="1">
      <alignment horizontal="left" vertical="center"/>
    </xf>
    <xf numFmtId="0" fontId="32" fillId="3" borderId="15" xfId="0" applyFont="1" applyFill="1" applyBorder="1" applyAlignment="1">
      <alignment vertical="center"/>
    </xf>
    <xf numFmtId="0" fontId="32" fillId="3" borderId="34" xfId="0" applyFont="1" applyFill="1" applyBorder="1" applyAlignment="1">
      <alignment vertical="center"/>
    </xf>
    <xf numFmtId="184" fontId="22" fillId="5" borderId="16" xfId="0" applyNumberFormat="1" applyFont="1" applyFill="1" applyBorder="1" applyAlignment="1">
      <alignment horizontal="center" vertical="center"/>
    </xf>
    <xf numFmtId="3" fontId="0" fillId="0" borderId="0" xfId="0" applyNumberFormat="1" applyBorder="1"/>
    <xf numFmtId="0" fontId="0" fillId="0" borderId="35" xfId="0" applyBorder="1"/>
    <xf numFmtId="0" fontId="32" fillId="3" borderId="0" xfId="0" applyFont="1" applyFill="1" applyBorder="1" applyAlignment="1">
      <alignment horizontal="left" vertical="center"/>
    </xf>
    <xf numFmtId="17" fontId="53" fillId="5" borderId="38" xfId="0" applyNumberFormat="1" applyFont="1" applyFill="1" applyBorder="1" applyAlignment="1">
      <alignment horizontal="center" vertical="center"/>
    </xf>
    <xf numFmtId="184" fontId="53" fillId="5" borderId="17" xfId="0" applyNumberFormat="1" applyFont="1" applyFill="1" applyBorder="1" applyAlignment="1">
      <alignment horizontal="center" vertical="center"/>
    </xf>
    <xf numFmtId="17" fontId="22" fillId="5" borderId="17" xfId="0" applyNumberFormat="1" applyFont="1" applyFill="1" applyBorder="1" applyAlignment="1">
      <alignment horizontal="center" vertical="center"/>
    </xf>
    <xf numFmtId="170" fontId="0" fillId="0" borderId="0" xfId="0" applyNumberFormat="1" applyAlignment="1">
      <alignment horizontal="left"/>
    </xf>
    <xf numFmtId="0" fontId="0" fillId="44" borderId="35" xfId="0" applyFill="1" applyBorder="1" applyAlignment="1">
      <alignment vertical="center"/>
    </xf>
    <xf numFmtId="0" fontId="0" fillId="44" borderId="0" xfId="0" applyFill="1" applyBorder="1" applyAlignment="1">
      <alignment vertical="center"/>
    </xf>
    <xf numFmtId="3" fontId="0" fillId="44" borderId="0" xfId="0" applyNumberFormat="1" applyFill="1" applyBorder="1"/>
    <xf numFmtId="3" fontId="0" fillId="44" borderId="36" xfId="0" applyNumberFormat="1" applyFill="1" applyBorder="1"/>
    <xf numFmtId="0" fontId="0" fillId="44" borderId="18" xfId="0" applyFill="1" applyBorder="1" applyAlignment="1">
      <alignment vertical="center"/>
    </xf>
    <xf numFmtId="0" fontId="0" fillId="44" borderId="27" xfId="0" applyFill="1" applyBorder="1" applyAlignment="1">
      <alignment vertical="center"/>
    </xf>
    <xf numFmtId="3" fontId="0" fillId="44" borderId="27" xfId="0" applyNumberFormat="1" applyFill="1" applyBorder="1"/>
    <xf numFmtId="3" fontId="0" fillId="44" borderId="28" xfId="0" applyNumberFormat="1" applyFill="1" applyBorder="1"/>
    <xf numFmtId="184" fontId="22" fillId="5" borderId="9" xfId="0" applyNumberFormat="1" applyFont="1" applyFill="1" applyBorder="1" applyAlignment="1">
      <alignment horizontal="center" vertical="center"/>
    </xf>
    <xf numFmtId="0" fontId="38" fillId="3" borderId="39" xfId="0" applyFont="1" applyFill="1" applyBorder="1" applyAlignment="1">
      <alignment horizontal="left" vertical="center"/>
    </xf>
    <xf numFmtId="0" fontId="33" fillId="3" borderId="41" xfId="0" applyFont="1" applyFill="1" applyBorder="1" applyAlignment="1">
      <alignment horizontal="center" vertical="center"/>
    </xf>
    <xf numFmtId="0" fontId="0" fillId="44" borderId="35" xfId="0" applyFill="1" applyBorder="1"/>
    <xf numFmtId="0" fontId="0" fillId="44" borderId="0" xfId="0" applyFont="1" applyFill="1" applyBorder="1"/>
    <xf numFmtId="3" fontId="0" fillId="44" borderId="0" xfId="0" applyNumberFormat="1" applyFill="1" applyBorder="1" applyAlignment="1">
      <alignment vertical="center"/>
    </xf>
    <xf numFmtId="170" fontId="0" fillId="44" borderId="36" xfId="1" applyNumberFormat="1" applyFont="1" applyFill="1" applyBorder="1"/>
    <xf numFmtId="0" fontId="0" fillId="44" borderId="0" xfId="0" applyFill="1" applyBorder="1"/>
    <xf numFmtId="0" fontId="0" fillId="44" borderId="18" xfId="0" applyFill="1" applyBorder="1"/>
    <xf numFmtId="0" fontId="0" fillId="44" borderId="27" xfId="0" applyFill="1" applyBorder="1"/>
    <xf numFmtId="3" fontId="0" fillId="44" borderId="27" xfId="0" applyNumberFormat="1" applyFill="1" applyBorder="1" applyAlignment="1">
      <alignment vertical="center"/>
    </xf>
    <xf numFmtId="170" fontId="0" fillId="44" borderId="28" xfId="1" applyNumberFormat="1" applyFont="1" applyFill="1" applyBorder="1"/>
    <xf numFmtId="49" fontId="0" fillId="44" borderId="35" xfId="0" applyNumberFormat="1" applyFill="1" applyBorder="1" applyAlignment="1">
      <alignment vertical="center"/>
    </xf>
    <xf numFmtId="49" fontId="0" fillId="44" borderId="0" xfId="0" applyNumberFormat="1" applyFill="1" applyBorder="1" applyAlignment="1">
      <alignment vertical="center"/>
    </xf>
    <xf numFmtId="49" fontId="0" fillId="44" borderId="18" xfId="0" applyNumberFormat="1" applyFill="1" applyBorder="1" applyAlignment="1">
      <alignment vertical="center"/>
    </xf>
    <xf numFmtId="49" fontId="0" fillId="44" borderId="27" xfId="0" applyNumberFormat="1" applyFill="1" applyBorder="1" applyAlignment="1">
      <alignment vertical="center"/>
    </xf>
    <xf numFmtId="0" fontId="32" fillId="3" borderId="42" xfId="0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0" fontId="159" fillId="0" borderId="0" xfId="0" applyFont="1"/>
    <xf numFmtId="185" fontId="0" fillId="0" borderId="0" xfId="0" applyNumberFormat="1"/>
    <xf numFmtId="0" fontId="33" fillId="0" borderId="0" xfId="0" applyFont="1"/>
    <xf numFmtId="0" fontId="33" fillId="0" borderId="0" xfId="0" applyFont="1" applyAlignment="1">
      <alignment horizontal="left"/>
    </xf>
    <xf numFmtId="184" fontId="22" fillId="5" borderId="1" xfId="0" applyNumberFormat="1" applyFont="1" applyFill="1" applyBorder="1" applyAlignment="1">
      <alignment horizontal="center" vertical="center"/>
    </xf>
    <xf numFmtId="0" fontId="159" fillId="0" borderId="15" xfId="0" applyFont="1" applyBorder="1"/>
    <xf numFmtId="0" fontId="0" fillId="0" borderId="37" xfId="0" applyBorder="1"/>
    <xf numFmtId="0" fontId="0" fillId="0" borderId="38" xfId="0" applyBorder="1"/>
    <xf numFmtId="184" fontId="22" fillId="5" borderId="43" xfId="0" applyNumberFormat="1" applyFont="1" applyFill="1" applyBorder="1" applyAlignment="1">
      <alignment horizontal="center" vertical="center"/>
    </xf>
    <xf numFmtId="0" fontId="0" fillId="45" borderId="35" xfId="0" applyFill="1" applyBorder="1"/>
    <xf numFmtId="170" fontId="0" fillId="45" borderId="0" xfId="1" applyNumberFormat="1" applyFont="1" applyFill="1" applyBorder="1"/>
    <xf numFmtId="170" fontId="0" fillId="45" borderId="36" xfId="1" applyNumberFormat="1" applyFont="1" applyFill="1" applyBorder="1"/>
    <xf numFmtId="0" fontId="0" fillId="45" borderId="18" xfId="0" applyFill="1" applyBorder="1"/>
    <xf numFmtId="170" fontId="0" fillId="45" borderId="27" xfId="1" applyNumberFormat="1" applyFont="1" applyFill="1" applyBorder="1"/>
    <xf numFmtId="170" fontId="0" fillId="45" borderId="28" xfId="1" applyNumberFormat="1" applyFont="1" applyFill="1" applyBorder="1"/>
    <xf numFmtId="175" fontId="0" fillId="6" borderId="1" xfId="0" applyNumberFormat="1" applyFill="1" applyBorder="1"/>
    <xf numFmtId="175" fontId="0" fillId="0" borderId="1" xfId="0" applyNumberFormat="1" applyBorder="1"/>
    <xf numFmtId="166" fontId="33" fillId="0" borderId="1" xfId="1" applyFont="1" applyBorder="1"/>
    <xf numFmtId="170" fontId="160" fillId="0" borderId="1" xfId="0" applyNumberFormat="1" applyFont="1" applyBorder="1"/>
    <xf numFmtId="166" fontId="0" fillId="0" borderId="1" xfId="1" applyFont="1" applyFill="1" applyBorder="1"/>
    <xf numFmtId="166" fontId="33" fillId="0" borderId="1" xfId="1" applyFont="1" applyFill="1" applyBorder="1"/>
    <xf numFmtId="186" fontId="19" fillId="0" borderId="1" xfId="1" applyNumberFormat="1" applyFont="1" applyBorder="1"/>
    <xf numFmtId="186" fontId="19" fillId="0" borderId="1" xfId="0" applyNumberFormat="1" applyFont="1" applyBorder="1"/>
    <xf numFmtId="186" fontId="19" fillId="18" borderId="1" xfId="1" applyNumberFormat="1" applyFont="1" applyFill="1" applyBorder="1"/>
    <xf numFmtId="187" fontId="19" fillId="18" borderId="1" xfId="0" applyNumberFormat="1" applyFont="1" applyFill="1" applyBorder="1"/>
    <xf numFmtId="170" fontId="150" fillId="6" borderId="1" xfId="1" applyNumberFormat="1" applyFont="1" applyFill="1" applyBorder="1"/>
    <xf numFmtId="170" fontId="37" fillId="0" borderId="0" xfId="0" applyNumberFormat="1" applyFont="1" applyAlignment="1">
      <alignment horizontal="left"/>
    </xf>
    <xf numFmtId="0" fontId="152" fillId="0" borderId="1" xfId="0" applyFont="1" applyBorder="1"/>
    <xf numFmtId="170" fontId="152" fillId="0" borderId="1" xfId="0" applyNumberFormat="1" applyFont="1" applyBorder="1" applyAlignment="1">
      <alignment horizontal="center" vertical="center"/>
    </xf>
    <xf numFmtId="170" fontId="152" fillId="0" borderId="1" xfId="0" applyNumberFormat="1" applyFont="1" applyBorder="1"/>
    <xf numFmtId="167" fontId="23" fillId="2" borderId="1" xfId="1" applyNumberFormat="1" applyFont="1" applyFill="1" applyBorder="1" applyAlignment="1" applyProtection="1">
      <alignment horizontal="center"/>
    </xf>
    <xf numFmtId="167" fontId="23" fillId="0" borderId="1" xfId="1" applyNumberFormat="1" applyFont="1" applyFill="1" applyBorder="1" applyAlignment="1" applyProtection="1">
      <alignment horizontal="center"/>
    </xf>
    <xf numFmtId="166" fontId="23" fillId="2" borderId="1" xfId="1" applyFont="1" applyFill="1" applyBorder="1" applyAlignment="1" applyProtection="1">
      <alignment horizontal="center"/>
    </xf>
    <xf numFmtId="166" fontId="23" fillId="0" borderId="1" xfId="1" applyFont="1" applyFill="1" applyBorder="1" applyAlignment="1" applyProtection="1">
      <alignment horizontal="center"/>
    </xf>
    <xf numFmtId="170" fontId="18" fillId="0" borderId="1" xfId="1" applyNumberFormat="1" applyFont="1" applyBorder="1"/>
    <xf numFmtId="175" fontId="19" fillId="6" borderId="1" xfId="0" applyNumberFormat="1" applyFont="1" applyFill="1" applyBorder="1"/>
    <xf numFmtId="170" fontId="33" fillId="0" borderId="1" xfId="1" applyNumberFormat="1" applyFont="1" applyBorder="1"/>
    <xf numFmtId="170" fontId="18" fillId="0" borderId="1" xfId="1" applyNumberFormat="1" applyFont="1" applyBorder="1" applyAlignment="1">
      <alignment vertical="center"/>
    </xf>
    <xf numFmtId="0" fontId="18" fillId="0" borderId="0" xfId="0" applyFont="1"/>
    <xf numFmtId="170" fontId="18" fillId="0" borderId="1" xfId="0" applyNumberFormat="1" applyFont="1" applyBorder="1"/>
    <xf numFmtId="170" fontId="18" fillId="0" borderId="1" xfId="1" applyNumberFormat="1" applyFont="1" applyFill="1" applyBorder="1"/>
    <xf numFmtId="170" fontId="33" fillId="0" borderId="1" xfId="0" applyNumberFormat="1" applyFont="1" applyBorder="1"/>
    <xf numFmtId="170" fontId="33" fillId="0" borderId="1" xfId="1" applyNumberFormat="1" applyFont="1" applyFill="1" applyBorder="1"/>
    <xf numFmtId="0" fontId="0" fillId="0" borderId="7" xfId="0" applyBorder="1"/>
    <xf numFmtId="0" fontId="37" fillId="0" borderId="7" xfId="0" applyFont="1" applyBorder="1"/>
    <xf numFmtId="0" fontId="0" fillId="0" borderId="7" xfId="0" applyBorder="1" applyAlignment="1">
      <alignment vertical="center"/>
    </xf>
    <xf numFmtId="0" fontId="37" fillId="0" borderId="7" xfId="0" applyFont="1" applyBorder="1" applyAlignment="1">
      <alignment horizontal="center"/>
    </xf>
    <xf numFmtId="0" fontId="39" fillId="6" borderId="7" xfId="0" applyFont="1" applyFill="1" applyBorder="1" applyAlignment="1">
      <alignment horizontal="center"/>
    </xf>
    <xf numFmtId="0" fontId="57" fillId="0" borderId="7" xfId="0" applyFont="1" applyBorder="1"/>
    <xf numFmtId="0" fontId="0" fillId="0" borderId="30" xfId="0" applyBorder="1"/>
    <xf numFmtId="0" fontId="33" fillId="0" borderId="2" xfId="0" applyFont="1" applyBorder="1"/>
    <xf numFmtId="166" fontId="33" fillId="0" borderId="2" xfId="1" applyFont="1" applyBorder="1"/>
    <xf numFmtId="170" fontId="33" fillId="0" borderId="2" xfId="1" applyNumberFormat="1" applyFont="1" applyBorder="1"/>
    <xf numFmtId="170" fontId="153" fillId="0" borderId="2" xfId="1" applyNumberFormat="1" applyFont="1" applyBorder="1"/>
    <xf numFmtId="0" fontId="33" fillId="4" borderId="32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17" fontId="22" fillId="5" borderId="3" xfId="0" applyNumberFormat="1" applyFont="1" applyFill="1" applyBorder="1" applyAlignment="1">
      <alignment horizontal="center" vertical="center"/>
    </xf>
    <xf numFmtId="17" fontId="53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18" fillId="0" borderId="1" xfId="0" applyFont="1" applyBorder="1"/>
    <xf numFmtId="1" fontId="74" fillId="0" borderId="5" xfId="0" applyNumberFormat="1" applyFont="1" applyBorder="1" applyAlignment="1">
      <alignment horizontal="center" vertical="center"/>
    </xf>
    <xf numFmtId="17" fontId="22" fillId="5" borderId="31" xfId="0" applyNumberFormat="1" applyFont="1" applyFill="1" applyBorder="1" applyAlignment="1">
      <alignment horizontal="center" vertical="center"/>
    </xf>
    <xf numFmtId="0" fontId="0" fillId="0" borderId="2" xfId="0" applyBorder="1"/>
    <xf numFmtId="0" fontId="28" fillId="0" borderId="1" xfId="0" applyFont="1" applyFill="1" applyBorder="1"/>
    <xf numFmtId="1" fontId="152" fillId="0" borderId="1" xfId="0" applyNumberFormat="1" applyFont="1" applyBorder="1"/>
    <xf numFmtId="166" fontId="18" fillId="0" borderId="1" xfId="1" applyFont="1" applyBorder="1"/>
    <xf numFmtId="170" fontId="74" fillId="0" borderId="5" xfId="0" applyNumberFormat="1" applyFont="1" applyBorder="1" applyAlignment="1">
      <alignment horizontal="center" vertical="center"/>
    </xf>
    <xf numFmtId="170" fontId="74" fillId="0" borderId="5" xfId="0" applyNumberFormat="1" applyFont="1" applyBorder="1"/>
    <xf numFmtId="170" fontId="160" fillId="0" borderId="5" xfId="0" applyNumberFormat="1" applyFont="1" applyBorder="1"/>
    <xf numFmtId="170" fontId="153" fillId="0" borderId="5" xfId="1" applyNumberFormat="1" applyFont="1" applyBorder="1"/>
    <xf numFmtId="166" fontId="75" fillId="0" borderId="5" xfId="0" applyNumberFormat="1" applyFont="1" applyBorder="1"/>
    <xf numFmtId="166" fontId="74" fillId="0" borderId="5" xfId="0" applyNumberFormat="1" applyFont="1" applyBorder="1"/>
    <xf numFmtId="170" fontId="160" fillId="0" borderId="2" xfId="0" applyNumberFormat="1" applyFont="1" applyBorder="1"/>
    <xf numFmtId="170" fontId="160" fillId="0" borderId="29" xfId="0" applyNumberFormat="1" applyFont="1" applyBorder="1"/>
    <xf numFmtId="0" fontId="164" fillId="4" borderId="1" xfId="0" applyFont="1" applyFill="1" applyBorder="1" applyAlignment="1">
      <alignment horizontal="center" vertical="center"/>
    </xf>
    <xf numFmtId="0" fontId="163" fillId="3" borderId="1" xfId="0" applyFont="1" applyFill="1" applyBorder="1" applyAlignment="1">
      <alignment horizontal="left" vertical="center"/>
    </xf>
    <xf numFmtId="0" fontId="165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6" fontId="19" fillId="0" borderId="1" xfId="1" applyFont="1" applyBorder="1" applyAlignment="1">
      <alignment horizontal="center" vertical="center"/>
    </xf>
    <xf numFmtId="166" fontId="152" fillId="0" borderId="1" xfId="0" applyNumberFormat="1" applyFont="1" applyBorder="1" applyAlignment="1">
      <alignment horizontal="right" vertical="center"/>
    </xf>
    <xf numFmtId="0" fontId="163" fillId="3" borderId="6" xfId="0" applyFont="1" applyFill="1" applyBorder="1" applyAlignment="1">
      <alignment horizontal="left" vertical="center"/>
    </xf>
    <xf numFmtId="0" fontId="163" fillId="46" borderId="6" xfId="0" applyFont="1" applyFill="1" applyBorder="1" applyAlignment="1">
      <alignment horizontal="left" vertical="center"/>
    </xf>
    <xf numFmtId="0" fontId="165" fillId="3" borderId="6" xfId="0" applyFont="1" applyFill="1" applyBorder="1" applyAlignment="1">
      <alignment horizontal="left" vertical="center"/>
    </xf>
    <xf numFmtId="0" fontId="33" fillId="4" borderId="22" xfId="0" applyFont="1" applyFill="1" applyBorder="1" applyAlignment="1">
      <alignment horizontal="center" vertical="center"/>
    </xf>
    <xf numFmtId="0" fontId="163" fillId="46" borderId="23" xfId="0" applyFont="1" applyFill="1" applyBorder="1" applyAlignment="1">
      <alignment horizontal="left" vertical="center"/>
    </xf>
    <xf numFmtId="170" fontId="0" fillId="0" borderId="2" xfId="1" applyNumberFormat="1" applyFont="1" applyBorder="1"/>
    <xf numFmtId="170" fontId="52" fillId="0" borderId="5" xfId="1" applyNumberFormat="1" applyFont="1" applyBorder="1"/>
    <xf numFmtId="166" fontId="52" fillId="0" borderId="5" xfId="0" applyNumberFormat="1" applyFont="1" applyBorder="1"/>
    <xf numFmtId="166" fontId="57" fillId="0" borderId="5" xfId="0" applyNumberFormat="1" applyFont="1" applyBorder="1"/>
    <xf numFmtId="0" fontId="52" fillId="0" borderId="5" xfId="0" applyFont="1" applyBorder="1"/>
    <xf numFmtId="17" fontId="53" fillId="5" borderId="31" xfId="0" applyNumberFormat="1" applyFont="1" applyFill="1" applyBorder="1" applyAlignment="1">
      <alignment horizontal="center" vertical="center"/>
    </xf>
    <xf numFmtId="166" fontId="52" fillId="0" borderId="29" xfId="0" applyNumberFormat="1" applyFont="1" applyBorder="1"/>
    <xf numFmtId="170" fontId="0" fillId="0" borderId="1" xfId="1" applyNumberFormat="1" applyFont="1" applyFill="1" applyBorder="1"/>
    <xf numFmtId="17" fontId="22" fillId="5" borderId="7" xfId="0" applyNumberFormat="1" applyFont="1" applyFill="1" applyBorder="1" applyAlignment="1">
      <alignment horizontal="center" vertical="center"/>
    </xf>
    <xf numFmtId="165" fontId="22" fillId="5" borderId="5" xfId="2" applyFont="1" applyFill="1" applyBorder="1" applyAlignment="1">
      <alignment horizontal="center" vertical="center"/>
    </xf>
    <xf numFmtId="165" fontId="22" fillId="5" borderId="7" xfId="2" applyFont="1" applyFill="1" applyBorder="1" applyAlignment="1">
      <alignment horizontal="center" vertical="center"/>
    </xf>
    <xf numFmtId="166" fontId="40" fillId="7" borderId="11" xfId="1" applyFont="1" applyFill="1" applyBorder="1" applyAlignment="1">
      <alignment horizontal="right" vertical="center"/>
    </xf>
    <xf numFmtId="43" fontId="166" fillId="7" borderId="12" xfId="4" applyFont="1" applyFill="1" applyBorder="1" applyAlignment="1">
      <alignment horizontal="center" vertical="center"/>
    </xf>
    <xf numFmtId="43" fontId="166" fillId="7" borderId="11" xfId="4" applyFont="1" applyFill="1" applyBorder="1" applyAlignment="1">
      <alignment horizontal="center" vertical="center"/>
    </xf>
    <xf numFmtId="0" fontId="167" fillId="46" borderId="6" xfId="0" applyFont="1" applyFill="1" applyBorder="1" applyAlignment="1">
      <alignment horizontal="left" vertical="center"/>
    </xf>
    <xf numFmtId="166" fontId="169" fillId="0" borderId="5" xfId="1" applyNumberFormat="1" applyFont="1" applyBorder="1"/>
    <xf numFmtId="166" fontId="168" fillId="0" borderId="1" xfId="1" applyFont="1" applyBorder="1"/>
    <xf numFmtId="170" fontId="170" fillId="0" borderId="1" xfId="0" applyNumberFormat="1" applyFont="1" applyBorder="1"/>
    <xf numFmtId="170" fontId="170" fillId="0" borderId="5" xfId="0" applyNumberFormat="1" applyFont="1" applyBorder="1"/>
    <xf numFmtId="170" fontId="171" fillId="0" borderId="1" xfId="1" applyNumberFormat="1" applyFont="1" applyBorder="1"/>
    <xf numFmtId="170" fontId="0" fillId="0" borderId="1" xfId="0" applyNumberFormat="1" applyBorder="1"/>
    <xf numFmtId="170" fontId="0" fillId="0" borderId="0" xfId="1" applyNumberFormat="1" applyFont="1" applyAlignment="1">
      <alignment horizontal="center"/>
    </xf>
    <xf numFmtId="166" fontId="23" fillId="0" borderId="1" xfId="1" applyFont="1" applyBorder="1" applyAlignment="1">
      <alignment vertical="center"/>
    </xf>
    <xf numFmtId="1" fontId="23" fillId="0" borderId="1" xfId="0" applyNumberFormat="1" applyFont="1" applyBorder="1" applyAlignment="1">
      <alignment horizontal="right" vertical="center"/>
    </xf>
    <xf numFmtId="166" fontId="18" fillId="0" borderId="0" xfId="1" applyFont="1"/>
    <xf numFmtId="43" fontId="0" fillId="0" borderId="0" xfId="0" applyNumberFormat="1"/>
    <xf numFmtId="0" fontId="0" fillId="0" borderId="1" xfId="0" applyBorder="1" applyAlignment="1">
      <alignment horizontal="center"/>
    </xf>
    <xf numFmtId="0" fontId="60" fillId="6" borderId="1" xfId="0" applyFont="1" applyFill="1" applyBorder="1"/>
    <xf numFmtId="0" fontId="60" fillId="0" borderId="1" xfId="0" applyFont="1" applyBorder="1"/>
    <xf numFmtId="166" fontId="18" fillId="0" borderId="1" xfId="1" applyFont="1" applyBorder="1" applyAlignment="1">
      <alignment horizontal="center" vertical="center"/>
    </xf>
    <xf numFmtId="0" fontId="173" fillId="46" borderId="6" xfId="0" applyFont="1" applyFill="1" applyBorder="1" applyAlignment="1">
      <alignment horizontal="left" vertical="center"/>
    </xf>
    <xf numFmtId="166" fontId="174" fillId="0" borderId="1" xfId="1" applyFont="1" applyBorder="1"/>
    <xf numFmtId="170" fontId="175" fillId="0" borderId="1" xfId="0" applyNumberFormat="1" applyFont="1" applyBorder="1"/>
    <xf numFmtId="170" fontId="176" fillId="0" borderId="1" xfId="0" applyNumberFormat="1" applyFont="1" applyBorder="1"/>
    <xf numFmtId="170" fontId="176" fillId="0" borderId="5" xfId="0" applyNumberFormat="1" applyFont="1" applyBorder="1"/>
    <xf numFmtId="1" fontId="153" fillId="0" borderId="0" xfId="0" applyNumberFormat="1" applyFont="1"/>
    <xf numFmtId="0" fontId="18" fillId="17" borderId="0" xfId="0" applyFont="1" applyFill="1" applyAlignment="1">
      <alignment horizontal="right" vertical="center"/>
    </xf>
    <xf numFmtId="0" fontId="60" fillId="17" borderId="0" xfId="0" applyFont="1" applyFill="1" applyAlignment="1">
      <alignment horizontal="center" vertical="center"/>
    </xf>
    <xf numFmtId="0" fontId="63" fillId="22" borderId="1" xfId="0" applyFont="1" applyFill="1" applyBorder="1" applyAlignment="1">
      <alignment horizontal="center" vertical="center"/>
    </xf>
    <xf numFmtId="166" fontId="0" fillId="0" borderId="0" xfId="0" applyNumberFormat="1"/>
    <xf numFmtId="10" fontId="0" fillId="20" borderId="0" xfId="10" applyNumberFormat="1" applyFont="1" applyFill="1"/>
    <xf numFmtId="10" fontId="0" fillId="0" borderId="0" xfId="10" applyNumberFormat="1" applyFont="1"/>
    <xf numFmtId="0" fontId="0" fillId="7" borderId="0" xfId="0" applyFill="1"/>
    <xf numFmtId="0" fontId="0" fillId="7" borderId="1" xfId="0" applyFill="1" applyBorder="1"/>
    <xf numFmtId="170" fontId="0" fillId="7" borderId="1" xfId="0" applyNumberFormat="1" applyFill="1" applyBorder="1"/>
    <xf numFmtId="9" fontId="0" fillId="7" borderId="1" xfId="10" applyFont="1" applyFill="1" applyBorder="1"/>
    <xf numFmtId="0" fontId="0" fillId="47" borderId="1" xfId="0" applyFill="1" applyBorder="1"/>
    <xf numFmtId="0" fontId="0" fillId="47" borderId="1" xfId="0" applyFill="1" applyBorder="1" applyAlignment="1">
      <alignment horizontal="center"/>
    </xf>
    <xf numFmtId="170" fontId="0" fillId="20" borderId="1" xfId="0" applyNumberFormat="1" applyFill="1" applyBorder="1"/>
    <xf numFmtId="17" fontId="0" fillId="0" borderId="1" xfId="0" applyNumberFormat="1" applyBorder="1"/>
    <xf numFmtId="0" fontId="154" fillId="0" borderId="1" xfId="0" applyFont="1" applyBorder="1"/>
    <xf numFmtId="2" fontId="0" fillId="0" borderId="1" xfId="0" applyNumberFormat="1" applyBorder="1"/>
    <xf numFmtId="0" fontId="177" fillId="17" borderId="1" xfId="0" applyFont="1" applyFill="1" applyBorder="1"/>
    <xf numFmtId="166" fontId="0" fillId="17" borderId="1" xfId="1" applyFont="1" applyFill="1" applyBorder="1"/>
    <xf numFmtId="4" fontId="0" fillId="17" borderId="1" xfId="0" applyNumberFormat="1" applyFill="1" applyBorder="1"/>
    <xf numFmtId="166" fontId="52" fillId="17" borderId="1" xfId="1" applyFont="1" applyFill="1" applyBorder="1" applyAlignment="1"/>
    <xf numFmtId="2" fontId="0" fillId="17" borderId="1" xfId="0" applyNumberFormat="1" applyFill="1" applyBorder="1"/>
    <xf numFmtId="171" fontId="0" fillId="0" borderId="1" xfId="0" applyNumberFormat="1" applyBorder="1"/>
    <xf numFmtId="176" fontId="178" fillId="0" borderId="0" xfId="0" applyNumberFormat="1" applyFont="1"/>
    <xf numFmtId="169" fontId="23" fillId="0" borderId="0" xfId="7" applyNumberFormat="1" applyFont="1"/>
    <xf numFmtId="169" fontId="23" fillId="0" borderId="0" xfId="7" applyNumberFormat="1" applyFont="1" applyAlignment="1">
      <alignment horizontal="left"/>
    </xf>
    <xf numFmtId="170" fontId="53" fillId="0" borderId="5" xfId="1" applyNumberFormat="1" applyFont="1" applyBorder="1"/>
    <xf numFmtId="10" fontId="0" fillId="0" borderId="1" xfId="10" applyNumberFormat="1" applyFont="1" applyBorder="1"/>
    <xf numFmtId="0" fontId="0" fillId="0" borderId="21" xfId="0" applyFill="1" applyBorder="1"/>
    <xf numFmtId="0" fontId="0" fillId="0" borderId="1" xfId="0" applyBorder="1" applyAlignment="1">
      <alignment horizontal="center" vertical="center"/>
    </xf>
    <xf numFmtId="166" fontId="18" fillId="7" borderId="1" xfId="1" applyFont="1" applyFill="1" applyBorder="1"/>
    <xf numFmtId="166" fontId="18" fillId="7" borderId="2" xfId="1" applyFont="1" applyFill="1" applyBorder="1"/>
    <xf numFmtId="170" fontId="160" fillId="0" borderId="1" xfId="0" applyNumberFormat="1" applyFont="1" applyBorder="1" applyAlignment="1">
      <alignment horizontal="center" vertical="center"/>
    </xf>
    <xf numFmtId="170" fontId="160" fillId="0" borderId="5" xfId="0" applyNumberFormat="1" applyFont="1" applyBorder="1" applyAlignment="1">
      <alignment horizontal="center" vertical="center"/>
    </xf>
    <xf numFmtId="170" fontId="33" fillId="0" borderId="1" xfId="0" applyNumberFormat="1" applyFont="1" applyBorder="1" applyAlignment="1">
      <alignment horizontal="center" vertical="center"/>
    </xf>
    <xf numFmtId="10" fontId="0" fillId="0" borderId="1" xfId="10" applyNumberFormat="1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right"/>
    </xf>
    <xf numFmtId="170" fontId="0" fillId="0" borderId="1" xfId="1" applyNumberFormat="1" applyFont="1" applyBorder="1" applyAlignment="1">
      <alignment horizontal="center"/>
    </xf>
    <xf numFmtId="166" fontId="23" fillId="0" borderId="1" xfId="1" applyFont="1" applyBorder="1" applyAlignment="1">
      <alignment horizontal="right" vertical="center"/>
    </xf>
    <xf numFmtId="173" fontId="181" fillId="35" borderId="6" xfId="7" applyNumberFormat="1" applyFont="1" applyFill="1" applyBorder="1" applyAlignment="1">
      <alignment vertical="center"/>
    </xf>
    <xf numFmtId="173" fontId="129" fillId="35" borderId="6" xfId="7" applyNumberFormat="1" applyFont="1" applyFill="1" applyBorder="1" applyAlignment="1">
      <alignment vertical="center"/>
    </xf>
    <xf numFmtId="173" fontId="129" fillId="35" borderId="0" xfId="7" applyNumberFormat="1" applyFont="1" applyFill="1" applyAlignment="1">
      <alignment vertical="center"/>
    </xf>
    <xf numFmtId="173" fontId="182" fillId="0" borderId="0" xfId="7" applyNumberFormat="1" applyFont="1" applyAlignment="1">
      <alignment vertical="center"/>
    </xf>
    <xf numFmtId="170" fontId="33" fillId="2" borderId="1" xfId="1" applyNumberFormat="1" applyFont="1" applyFill="1" applyBorder="1"/>
    <xf numFmtId="170" fontId="33" fillId="46" borderId="1" xfId="1" applyNumberFormat="1" applyFont="1" applyFill="1" applyBorder="1"/>
    <xf numFmtId="170" fontId="33" fillId="46" borderId="1" xfId="0" applyNumberFormat="1" applyFont="1" applyFill="1" applyBorder="1"/>
    <xf numFmtId="170" fontId="18" fillId="46" borderId="1" xfId="1" applyNumberFormat="1" applyFont="1" applyFill="1" applyBorder="1"/>
    <xf numFmtId="170" fontId="183" fillId="0" borderId="0" xfId="1" applyNumberFormat="1" applyFont="1"/>
    <xf numFmtId="170" fontId="0" fillId="0" borderId="2" xfId="0" applyNumberFormat="1" applyBorder="1"/>
    <xf numFmtId="170" fontId="0" fillId="2" borderId="1" xfId="1" applyNumberFormat="1" applyFont="1" applyFill="1" applyBorder="1"/>
    <xf numFmtId="170" fontId="18" fillId="0" borderId="0" xfId="0" applyNumberFormat="1" applyFont="1"/>
    <xf numFmtId="10" fontId="18" fillId="0" borderId="0" xfId="0" applyNumberFormat="1" applyFont="1"/>
    <xf numFmtId="170" fontId="0" fillId="22" borderId="0" xfId="0" applyNumberFormat="1" applyFill="1"/>
    <xf numFmtId="10" fontId="18" fillId="0" borderId="0" xfId="10" applyNumberFormat="1" applyFont="1"/>
    <xf numFmtId="170" fontId="18" fillId="0" borderId="0" xfId="10" applyNumberFormat="1" applyFont="1"/>
    <xf numFmtId="166" fontId="163" fillId="0" borderId="1" xfId="1" applyFont="1" applyBorder="1"/>
    <xf numFmtId="166" fontId="163" fillId="0" borderId="1" xfId="1" applyFont="1" applyFill="1" applyBorder="1"/>
    <xf numFmtId="166" fontId="163" fillId="0" borderId="1" xfId="1" applyNumberFormat="1" applyFont="1" applyBorder="1"/>
    <xf numFmtId="166" fontId="163" fillId="0" borderId="1" xfId="0" applyNumberFormat="1" applyFont="1" applyBorder="1"/>
    <xf numFmtId="166" fontId="163" fillId="0" borderId="2" xfId="1" applyFont="1" applyBorder="1"/>
    <xf numFmtId="170" fontId="184" fillId="0" borderId="2" xfId="0" applyNumberFormat="1" applyFont="1" applyBorder="1"/>
    <xf numFmtId="166" fontId="163" fillId="7" borderId="1" xfId="1" applyFont="1" applyFill="1" applyBorder="1"/>
    <xf numFmtId="166" fontId="163" fillId="49" borderId="1" xfId="1" applyFont="1" applyFill="1" applyBorder="1"/>
    <xf numFmtId="2" fontId="0" fillId="0" borderId="0" xfId="0" applyNumberFormat="1"/>
    <xf numFmtId="166" fontId="33" fillId="0" borderId="1" xfId="1" applyNumberFormat="1" applyFont="1" applyBorder="1"/>
    <xf numFmtId="170" fontId="17" fillId="0" borderId="1" xfId="1" applyNumberFormat="1" applyFont="1" applyBorder="1"/>
    <xf numFmtId="170" fontId="17" fillId="0" borderId="1" xfId="0" applyNumberFormat="1" applyFont="1" applyBorder="1"/>
    <xf numFmtId="175" fontId="19" fillId="0" borderId="1" xfId="0" applyNumberFormat="1" applyFont="1" applyBorder="1"/>
    <xf numFmtId="1" fontId="0" fillId="50" borderId="0" xfId="0" applyNumberFormat="1" applyFill="1"/>
    <xf numFmtId="1" fontId="17" fillId="0" borderId="1" xfId="0" applyNumberFormat="1" applyFont="1" applyBorder="1" applyAlignment="1">
      <alignment horizontal="right" vertical="center"/>
    </xf>
    <xf numFmtId="170" fontId="16" fillId="0" borderId="1" xfId="0" applyNumberFormat="1" applyFont="1" applyBorder="1" applyAlignment="1">
      <alignment horizontal="center" vertical="center"/>
    </xf>
    <xf numFmtId="170" fontId="16" fillId="0" borderId="1" xfId="0" applyNumberFormat="1" applyFont="1" applyBorder="1"/>
    <xf numFmtId="170" fontId="33" fillId="0" borderId="2" xfId="0" applyNumberFormat="1" applyFont="1" applyBorder="1"/>
    <xf numFmtId="0" fontId="15" fillId="0" borderId="1" xfId="0" applyFont="1" applyBorder="1"/>
    <xf numFmtId="170" fontId="15" fillId="0" borderId="1" xfId="1" applyNumberFormat="1" applyFont="1" applyBorder="1"/>
    <xf numFmtId="0" fontId="15" fillId="6" borderId="1" xfId="0" applyFont="1" applyFill="1" applyBorder="1"/>
    <xf numFmtId="0" fontId="15" fillId="0" borderId="1" xfId="0" applyFont="1" applyFill="1" applyBorder="1"/>
    <xf numFmtId="170" fontId="23" fillId="0" borderId="1" xfId="1" applyNumberFormat="1" applyFont="1" applyBorder="1" applyAlignment="1">
      <alignment horizontal="center" vertical="center"/>
    </xf>
    <xf numFmtId="170" fontId="23" fillId="0" borderId="1" xfId="1" applyNumberFormat="1" applyFont="1" applyBorder="1" applyAlignment="1">
      <alignment horizontal="right" vertical="center"/>
    </xf>
    <xf numFmtId="170" fontId="20" fillId="6" borderId="1" xfId="1" applyNumberFormat="1" applyFont="1" applyFill="1" applyBorder="1"/>
    <xf numFmtId="0" fontId="0" fillId="0" borderId="1" xfId="0" applyFill="1" applyBorder="1" applyAlignment="1">
      <alignment vertical="center"/>
    </xf>
    <xf numFmtId="166" fontId="185" fillId="0" borderId="1" xfId="1" applyFont="1" applyBorder="1"/>
    <xf numFmtId="170" fontId="186" fillId="0" borderId="1" xfId="0" applyNumberFormat="1" applyFont="1" applyBorder="1"/>
    <xf numFmtId="170" fontId="187" fillId="0" borderId="1" xfId="0" applyNumberFormat="1" applyFont="1" applyBorder="1"/>
    <xf numFmtId="170" fontId="187" fillId="0" borderId="5" xfId="0" applyNumberFormat="1" applyFont="1" applyBorder="1"/>
    <xf numFmtId="170" fontId="13" fillId="0" borderId="1" xfId="0" applyNumberFormat="1" applyFont="1" applyBorder="1"/>
    <xf numFmtId="170" fontId="13" fillId="0" borderId="1" xfId="1" applyNumberFormat="1" applyFont="1" applyBorder="1"/>
    <xf numFmtId="0" fontId="163" fillId="11" borderId="6" xfId="0" applyFont="1" applyFill="1" applyBorder="1" applyAlignment="1">
      <alignment horizontal="left" vertical="center"/>
    </xf>
    <xf numFmtId="166" fontId="12" fillId="0" borderId="1" xfId="1" applyFont="1" applyFill="1" applyBorder="1"/>
    <xf numFmtId="170" fontId="74" fillId="0" borderId="5" xfId="1" applyNumberFormat="1" applyFont="1" applyBorder="1"/>
    <xf numFmtId="2" fontId="0" fillId="7" borderId="0" xfId="0" applyNumberFormat="1" applyFill="1"/>
    <xf numFmtId="0" fontId="0" fillId="7" borderId="0" xfId="0" applyFill="1" applyAlignment="1">
      <alignment horizontal="center"/>
    </xf>
    <xf numFmtId="0" fontId="37" fillId="7" borderId="0" xfId="0" applyFont="1" applyFill="1"/>
    <xf numFmtId="166" fontId="0" fillId="7" borderId="0" xfId="1" applyFont="1" applyFill="1"/>
    <xf numFmtId="170" fontId="0" fillId="7" borderId="0" xfId="1" applyNumberFormat="1" applyFont="1" applyFill="1"/>
    <xf numFmtId="0" fontId="11" fillId="0" borderId="1" xfId="0" applyFont="1" applyBorder="1"/>
    <xf numFmtId="1" fontId="11" fillId="0" borderId="1" xfId="0" applyNumberFormat="1" applyFont="1" applyBorder="1" applyAlignment="1">
      <alignment horizontal="center" vertical="center"/>
    </xf>
    <xf numFmtId="166" fontId="11" fillId="0" borderId="1" xfId="1" applyFont="1" applyBorder="1" applyAlignment="1">
      <alignment horizontal="center" vertical="center"/>
    </xf>
    <xf numFmtId="166" fontId="11" fillId="0" borderId="1" xfId="1" applyFont="1" applyBorder="1"/>
    <xf numFmtId="170" fontId="11" fillId="0" borderId="1" xfId="1" applyNumberFormat="1" applyFont="1" applyBorder="1" applyAlignment="1">
      <alignment horizontal="center" vertical="center"/>
    </xf>
    <xf numFmtId="170" fontId="11" fillId="0" borderId="1" xfId="1" applyNumberFormat="1" applyFont="1" applyBorder="1"/>
    <xf numFmtId="0" fontId="11" fillId="6" borderId="1" xfId="0" applyFont="1" applyFill="1" applyBorder="1"/>
    <xf numFmtId="175" fontId="11" fillId="6" borderId="1" xfId="0" applyNumberFormat="1" applyFont="1" applyFill="1" applyBorder="1"/>
    <xf numFmtId="170" fontId="11" fillId="0" borderId="1" xfId="0" applyNumberFormat="1" applyFont="1" applyBorder="1"/>
    <xf numFmtId="170" fontId="11" fillId="0" borderId="1" xfId="0" applyNumberFormat="1" applyFont="1" applyBorder="1" applyAlignment="1">
      <alignment horizontal="center" vertical="center"/>
    </xf>
    <xf numFmtId="170" fontId="10" fillId="0" borderId="1" xfId="1" applyNumberFormat="1" applyFont="1" applyBorder="1"/>
    <xf numFmtId="170" fontId="10" fillId="0" borderId="1" xfId="0" applyNumberFormat="1" applyFont="1" applyBorder="1"/>
    <xf numFmtId="166" fontId="10" fillId="0" borderId="1" xfId="1" applyFont="1" applyBorder="1" applyAlignment="1">
      <alignment horizontal="center" vertical="center"/>
    </xf>
    <xf numFmtId="170" fontId="11" fillId="0" borderId="1" xfId="0" applyNumberFormat="1" applyFont="1" applyFill="1" applyBorder="1" applyAlignment="1">
      <alignment horizontal="center" vertical="center"/>
    </xf>
    <xf numFmtId="0" fontId="28" fillId="0" borderId="0" xfId="0" applyFont="1" applyFill="1" applyBorder="1"/>
    <xf numFmtId="1" fontId="152" fillId="0" borderId="0" xfId="0" applyNumberFormat="1" applyFont="1" applyBorder="1"/>
    <xf numFmtId="0" fontId="34" fillId="0" borderId="4" xfId="3" applyFill="1" applyBorder="1" applyAlignment="1">
      <alignment horizontal="center" vertical="center"/>
    </xf>
    <xf numFmtId="0" fontId="34" fillId="13" borderId="4" xfId="3" applyFill="1" applyBorder="1" applyAlignment="1">
      <alignment horizontal="center" vertical="center"/>
    </xf>
    <xf numFmtId="0" fontId="154" fillId="0" borderId="1" xfId="0" applyFont="1" applyFill="1" applyBorder="1" applyAlignment="1">
      <alignment horizontal="center"/>
    </xf>
    <xf numFmtId="17" fontId="22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166" fontId="151" fillId="0" borderId="1" xfId="1" applyFont="1" applyFill="1" applyBorder="1" applyAlignment="1">
      <alignment horizontal="center"/>
    </xf>
    <xf numFmtId="166" fontId="9" fillId="0" borderId="1" xfId="1" applyFont="1" applyBorder="1" applyAlignment="1"/>
    <xf numFmtId="166" fontId="0" fillId="0" borderId="1" xfId="1" applyFont="1" applyBorder="1" applyAlignment="1">
      <alignment horizontal="right"/>
    </xf>
    <xf numFmtId="166" fontId="23" fillId="0" borderId="1" xfId="1" applyFont="1" applyFill="1" applyBorder="1" applyAlignment="1">
      <alignment horizontal="right" vertical="center"/>
    </xf>
    <xf numFmtId="170" fontId="177" fillId="0" borderId="1" xfId="1" applyNumberFormat="1" applyFont="1" applyBorder="1"/>
    <xf numFmtId="166" fontId="39" fillId="0" borderId="0" xfId="0" applyNumberFormat="1" applyFont="1" applyAlignment="1">
      <alignment horizontal="left"/>
    </xf>
    <xf numFmtId="166" fontId="152" fillId="20" borderId="1" xfId="1" applyNumberFormat="1" applyFont="1" applyFill="1" applyBorder="1"/>
    <xf numFmtId="166" fontId="16" fillId="20" borderId="1" xfId="1" applyNumberFormat="1" applyFont="1" applyFill="1" applyBorder="1"/>
    <xf numFmtId="170" fontId="10" fillId="20" borderId="1" xfId="1" applyNumberFormat="1" applyFont="1" applyFill="1" applyBorder="1"/>
    <xf numFmtId="170" fontId="152" fillId="20" borderId="1" xfId="1" applyNumberFormat="1" applyFont="1" applyFill="1" applyBorder="1"/>
    <xf numFmtId="170" fontId="74" fillId="20" borderId="1" xfId="1" applyNumberFormat="1" applyFont="1" applyFill="1" applyBorder="1"/>
    <xf numFmtId="166" fontId="18" fillId="20" borderId="1" xfId="1" applyNumberFormat="1" applyFont="1" applyFill="1" applyBorder="1"/>
    <xf numFmtId="166" fontId="14" fillId="20" borderId="1" xfId="1" applyNumberFormat="1" applyFont="1" applyFill="1" applyBorder="1"/>
    <xf numFmtId="166" fontId="0" fillId="0" borderId="0" xfId="0" applyNumberFormat="1" applyFill="1"/>
    <xf numFmtId="170" fontId="52" fillId="18" borderId="1" xfId="1" applyNumberFormat="1" applyFont="1" applyFill="1" applyBorder="1"/>
    <xf numFmtId="170" fontId="0" fillId="18" borderId="1" xfId="0" applyNumberFormat="1" applyFill="1" applyBorder="1"/>
    <xf numFmtId="166" fontId="0" fillId="19" borderId="0" xfId="0" applyNumberFormat="1" applyFill="1"/>
    <xf numFmtId="2" fontId="0" fillId="19" borderId="0" xfId="0" applyNumberFormat="1" applyFill="1"/>
    <xf numFmtId="166" fontId="151" fillId="0" borderId="0" xfId="0" applyNumberFormat="1" applyFont="1" applyFill="1" applyBorder="1" applyAlignment="1">
      <alignment horizontal="center" vertical="center"/>
    </xf>
    <xf numFmtId="170" fontId="53" fillId="0" borderId="1" xfId="0" applyNumberFormat="1" applyFont="1" applyBorder="1" applyAlignment="1">
      <alignment horizontal="center" vertical="center"/>
    </xf>
    <xf numFmtId="170" fontId="53" fillId="0" borderId="1" xfId="0" applyNumberFormat="1" applyFont="1" applyBorder="1"/>
    <xf numFmtId="167" fontId="28" fillId="2" borderId="1" xfId="1" applyNumberFormat="1" applyFont="1" applyFill="1" applyBorder="1" applyAlignment="1" applyProtection="1"/>
    <xf numFmtId="167" fontId="28" fillId="2" borderId="1" xfId="1" applyNumberFormat="1" applyFont="1" applyFill="1" applyBorder="1" applyAlignment="1" applyProtection="1">
      <alignment horizontal="center"/>
    </xf>
    <xf numFmtId="166" fontId="28" fillId="2" borderId="1" xfId="1" applyFont="1" applyFill="1" applyBorder="1" applyAlignment="1" applyProtection="1">
      <alignment horizontal="center"/>
    </xf>
    <xf numFmtId="166" fontId="28" fillId="2" borderId="1" xfId="1" applyFont="1" applyFill="1" applyBorder="1" applyAlignment="1" applyProtection="1"/>
    <xf numFmtId="166" fontId="28" fillId="0" borderId="1" xfId="1" applyFont="1" applyFill="1" applyBorder="1" applyAlignment="1" applyProtection="1"/>
    <xf numFmtId="1" fontId="189" fillId="0" borderId="1" xfId="0" applyNumberFormat="1" applyFont="1" applyBorder="1"/>
    <xf numFmtId="170" fontId="53" fillId="0" borderId="1" xfId="1" applyNumberFormat="1" applyFont="1" applyBorder="1"/>
    <xf numFmtId="4" fontId="53" fillId="0" borderId="1" xfId="0" applyNumberFormat="1" applyFont="1" applyBorder="1"/>
    <xf numFmtId="166" fontId="8" fillId="0" borderId="1" xfId="0" applyNumberFormat="1" applyFont="1" applyBorder="1"/>
    <xf numFmtId="166" fontId="8" fillId="0" borderId="1" xfId="1" applyNumberFormat="1" applyFont="1" applyBorder="1" applyAlignment="1">
      <alignment vertical="center"/>
    </xf>
    <xf numFmtId="0" fontId="33" fillId="0" borderId="0" xfId="0" applyFont="1" applyAlignment="1">
      <alignment horizontal="center"/>
    </xf>
    <xf numFmtId="170" fontId="53" fillId="4" borderId="1" xfId="0" applyNumberFormat="1" applyFont="1" applyFill="1" applyBorder="1" applyAlignment="1">
      <alignment horizontal="center" vertical="center"/>
    </xf>
    <xf numFmtId="170" fontId="53" fillId="4" borderId="1" xfId="0" applyNumberFormat="1" applyFont="1" applyFill="1" applyBorder="1"/>
    <xf numFmtId="170" fontId="11" fillId="4" borderId="1" xfId="0" applyNumberFormat="1" applyFont="1" applyFill="1" applyBorder="1"/>
    <xf numFmtId="17" fontId="22" fillId="5" borderId="4" xfId="0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157" fillId="0" borderId="0" xfId="0" applyFont="1"/>
    <xf numFmtId="1" fontId="191" fillId="0" borderId="0" xfId="0" applyNumberFormat="1" applyFont="1" applyFill="1" applyBorder="1" applyAlignment="1">
      <alignment horizontal="right" vertical="center"/>
    </xf>
    <xf numFmtId="0" fontId="0" fillId="0" borderId="35" xfId="0" applyBorder="1" applyAlignment="1">
      <alignment horizontal="left"/>
    </xf>
    <xf numFmtId="166" fontId="0" fillId="0" borderId="36" xfId="1" applyFont="1" applyBorder="1" applyAlignment="1">
      <alignment horizontal="center"/>
    </xf>
    <xf numFmtId="166" fontId="0" fillId="0" borderId="36" xfId="1" applyFont="1" applyBorder="1"/>
    <xf numFmtId="0" fontId="0" fillId="0" borderId="18" xfId="0" applyBorder="1" applyAlignment="1">
      <alignment horizontal="left"/>
    </xf>
    <xf numFmtId="166" fontId="0" fillId="0" borderId="28" xfId="1" applyFont="1" applyBorder="1" applyAlignment="1">
      <alignment horizontal="center"/>
    </xf>
    <xf numFmtId="0" fontId="191" fillId="0" borderId="15" xfId="0" applyFont="1" applyBorder="1"/>
    <xf numFmtId="0" fontId="192" fillId="0" borderId="37" xfId="0" applyFont="1" applyBorder="1"/>
    <xf numFmtId="0" fontId="191" fillId="0" borderId="37" xfId="0" applyFont="1" applyBorder="1" applyAlignment="1">
      <alignment horizontal="center"/>
    </xf>
    <xf numFmtId="185" fontId="163" fillId="0" borderId="37" xfId="0" applyNumberFormat="1" applyFont="1" applyBorder="1"/>
    <xf numFmtId="185" fontId="163" fillId="0" borderId="38" xfId="0" applyNumberFormat="1" applyFont="1" applyBorder="1"/>
    <xf numFmtId="0" fontId="191" fillId="0" borderId="35" xfId="0" applyFont="1" applyBorder="1"/>
    <xf numFmtId="0" fontId="191" fillId="0" borderId="0" xfId="0" applyFont="1" applyBorder="1"/>
    <xf numFmtId="0" fontId="191" fillId="0" borderId="0" xfId="0" applyFont="1" applyBorder="1" applyAlignment="1">
      <alignment horizontal="center"/>
    </xf>
    <xf numFmtId="1" fontId="193" fillId="20" borderId="0" xfId="0" applyNumberFormat="1" applyFont="1" applyFill="1" applyBorder="1"/>
    <xf numFmtId="1" fontId="193" fillId="20" borderId="36" xfId="0" applyNumberFormat="1" applyFont="1" applyFill="1" applyBorder="1"/>
    <xf numFmtId="1" fontId="191" fillId="0" borderId="36" xfId="0" applyNumberFormat="1" applyFont="1" applyFill="1" applyBorder="1" applyAlignment="1">
      <alignment horizontal="right" vertical="center"/>
    </xf>
    <xf numFmtId="1" fontId="194" fillId="2" borderId="0" xfId="0" applyNumberFormat="1" applyFont="1" applyFill="1" applyBorder="1"/>
    <xf numFmtId="1" fontId="194" fillId="2" borderId="36" xfId="0" applyNumberFormat="1" applyFont="1" applyFill="1" applyBorder="1"/>
    <xf numFmtId="0" fontId="191" fillId="0" borderId="36" xfId="0" applyFont="1" applyBorder="1"/>
    <xf numFmtId="0" fontId="192" fillId="0" borderId="0" xfId="0" applyFont="1" applyBorder="1"/>
    <xf numFmtId="185" fontId="163" fillId="0" borderId="0" xfId="0" applyNumberFormat="1" applyFont="1" applyBorder="1"/>
    <xf numFmtId="185" fontId="163" fillId="0" borderId="36" xfId="0" applyNumberFormat="1" applyFont="1" applyBorder="1"/>
    <xf numFmtId="170" fontId="193" fillId="20" borderId="0" xfId="1" applyNumberFormat="1" applyFont="1" applyFill="1" applyBorder="1"/>
    <xf numFmtId="170" fontId="193" fillId="20" borderId="36" xfId="1" applyNumberFormat="1" applyFont="1" applyFill="1" applyBorder="1"/>
    <xf numFmtId="1" fontId="191" fillId="0" borderId="0" xfId="0" applyNumberFormat="1" applyFont="1" applyBorder="1"/>
    <xf numFmtId="1" fontId="191" fillId="0" borderId="36" xfId="0" applyNumberFormat="1" applyFont="1" applyBorder="1"/>
    <xf numFmtId="170" fontId="194" fillId="2" borderId="0" xfId="1" applyNumberFormat="1" applyFont="1" applyFill="1" applyBorder="1"/>
    <xf numFmtId="170" fontId="194" fillId="2" borderId="36" xfId="1" applyNumberFormat="1" applyFont="1" applyFill="1" applyBorder="1"/>
    <xf numFmtId="0" fontId="191" fillId="0" borderId="18" xfId="0" applyFont="1" applyBorder="1"/>
    <xf numFmtId="0" fontId="191" fillId="0" borderId="27" xfId="0" applyFont="1" applyBorder="1"/>
    <xf numFmtId="0" fontId="191" fillId="0" borderId="27" xfId="0" applyFont="1" applyBorder="1" applyAlignment="1">
      <alignment horizontal="center"/>
    </xf>
    <xf numFmtId="0" fontId="0" fillId="0" borderId="15" xfId="0" applyBorder="1"/>
    <xf numFmtId="0" fontId="0" fillId="0" borderId="37" xfId="0" applyBorder="1" applyAlignment="1">
      <alignment horizontal="center"/>
    </xf>
    <xf numFmtId="170" fontId="194" fillId="2" borderId="27" xfId="1" applyNumberFormat="1" applyFont="1" applyFill="1" applyBorder="1"/>
    <xf numFmtId="170" fontId="194" fillId="2" borderId="28" xfId="1" applyNumberFormat="1" applyFont="1" applyFill="1" applyBorder="1"/>
    <xf numFmtId="0" fontId="190" fillId="0" borderId="0" xfId="0" applyFont="1" applyBorder="1"/>
    <xf numFmtId="0" fontId="196" fillId="0" borderId="0" xfId="0" applyFont="1" applyBorder="1" applyAlignment="1">
      <alignment horizontal="center"/>
    </xf>
    <xf numFmtId="0" fontId="196" fillId="0" borderId="0" xfId="0" applyFont="1" applyBorder="1"/>
    <xf numFmtId="1" fontId="196" fillId="0" borderId="0" xfId="0" applyNumberFormat="1" applyFont="1" applyBorder="1"/>
    <xf numFmtId="170" fontId="196" fillId="0" borderId="0" xfId="0" applyNumberFormat="1" applyFont="1" applyBorder="1"/>
    <xf numFmtId="0" fontId="196" fillId="0" borderId="37" xfId="0" applyFont="1" applyBorder="1" applyAlignment="1">
      <alignment horizontal="center"/>
    </xf>
    <xf numFmtId="0" fontId="196" fillId="0" borderId="35" xfId="0" applyFont="1" applyBorder="1"/>
    <xf numFmtId="1" fontId="196" fillId="0" borderId="36" xfId="0" applyNumberFormat="1" applyFont="1" applyBorder="1"/>
    <xf numFmtId="170" fontId="196" fillId="0" borderId="36" xfId="0" applyNumberFormat="1" applyFont="1" applyBorder="1"/>
    <xf numFmtId="0" fontId="196" fillId="0" borderId="18" xfId="0" applyFont="1" applyFill="1" applyBorder="1"/>
    <xf numFmtId="0" fontId="196" fillId="0" borderId="27" xfId="0" applyFont="1" applyFill="1" applyBorder="1"/>
    <xf numFmtId="0" fontId="196" fillId="0" borderId="27" xfId="0" applyFont="1" applyBorder="1" applyAlignment="1">
      <alignment horizontal="center"/>
    </xf>
    <xf numFmtId="170" fontId="196" fillId="0" borderId="27" xfId="0" applyNumberFormat="1" applyFont="1" applyBorder="1"/>
    <xf numFmtId="170" fontId="196" fillId="0" borderId="28" xfId="0" applyNumberFormat="1" applyFont="1" applyBorder="1"/>
    <xf numFmtId="0" fontId="190" fillId="0" borderId="37" xfId="0" applyFont="1" applyBorder="1"/>
    <xf numFmtId="0" fontId="196" fillId="20" borderId="35" xfId="0" applyFont="1" applyFill="1" applyBorder="1"/>
    <xf numFmtId="0" fontId="196" fillId="20" borderId="0" xfId="0" applyFont="1" applyFill="1" applyBorder="1"/>
    <xf numFmtId="0" fontId="196" fillId="20" borderId="0" xfId="0" applyFont="1" applyFill="1" applyBorder="1" applyAlignment="1">
      <alignment horizontal="center"/>
    </xf>
    <xf numFmtId="1" fontId="196" fillId="20" borderId="0" xfId="0" applyNumberFormat="1" applyFont="1" applyFill="1" applyBorder="1"/>
    <xf numFmtId="1" fontId="196" fillId="20" borderId="36" xfId="0" applyNumberFormat="1" applyFont="1" applyFill="1" applyBorder="1"/>
    <xf numFmtId="0" fontId="196" fillId="2" borderId="35" xfId="0" applyFont="1" applyFill="1" applyBorder="1"/>
    <xf numFmtId="0" fontId="196" fillId="2" borderId="0" xfId="0" applyFont="1" applyFill="1" applyBorder="1"/>
    <xf numFmtId="0" fontId="196" fillId="2" borderId="0" xfId="0" applyFont="1" applyFill="1" applyBorder="1" applyAlignment="1">
      <alignment horizontal="center"/>
    </xf>
    <xf numFmtId="1" fontId="196" fillId="2" borderId="0" xfId="0" applyNumberFormat="1" applyFont="1" applyFill="1" applyBorder="1"/>
    <xf numFmtId="1" fontId="196" fillId="2" borderId="36" xfId="0" applyNumberFormat="1" applyFont="1" applyFill="1" applyBorder="1"/>
    <xf numFmtId="0" fontId="195" fillId="0" borderId="15" xfId="0" applyFont="1" applyFill="1" applyBorder="1"/>
    <xf numFmtId="170" fontId="196" fillId="20" borderId="0" xfId="0" applyNumberFormat="1" applyFont="1" applyFill="1" applyBorder="1"/>
    <xf numFmtId="170" fontId="196" fillId="20" borderId="36" xfId="0" applyNumberFormat="1" applyFont="1" applyFill="1" applyBorder="1"/>
    <xf numFmtId="170" fontId="196" fillId="2" borderId="0" xfId="0" applyNumberFormat="1" applyFont="1" applyFill="1" applyBorder="1"/>
    <xf numFmtId="170" fontId="196" fillId="2" borderId="36" xfId="0" applyNumberFormat="1" applyFont="1" applyFill="1" applyBorder="1"/>
    <xf numFmtId="185" fontId="197" fillId="0" borderId="37" xfId="0" applyNumberFormat="1" applyFont="1" applyBorder="1"/>
    <xf numFmtId="185" fontId="197" fillId="0" borderId="38" xfId="0" applyNumberFormat="1" applyFont="1" applyBorder="1"/>
    <xf numFmtId="185" fontId="197" fillId="0" borderId="0" xfId="0" applyNumberFormat="1" applyFont="1" applyBorder="1"/>
    <xf numFmtId="185" fontId="197" fillId="0" borderId="36" xfId="0" applyNumberFormat="1" applyFont="1" applyBorder="1"/>
    <xf numFmtId="170" fontId="7" fillId="0" borderId="1" xfId="1" applyNumberFormat="1" applyFont="1" applyBorder="1"/>
    <xf numFmtId="170" fontId="7" fillId="0" borderId="1" xfId="0" applyNumberFormat="1" applyFont="1" applyBorder="1"/>
    <xf numFmtId="1" fontId="7" fillId="0" borderId="1" xfId="0" applyNumberFormat="1" applyFont="1" applyBorder="1" applyAlignment="1">
      <alignment horizontal="center" vertical="center"/>
    </xf>
    <xf numFmtId="0" fontId="7" fillId="6" borderId="1" xfId="0" applyFont="1" applyFill="1" applyBorder="1"/>
    <xf numFmtId="170" fontId="152" fillId="0" borderId="1" xfId="1" applyNumberFormat="1" applyFont="1" applyBorder="1"/>
    <xf numFmtId="170" fontId="7" fillId="4" borderId="1" xfId="0" applyNumberFormat="1" applyFont="1" applyFill="1" applyBorder="1"/>
    <xf numFmtId="170" fontId="6" fillId="0" borderId="1" xfId="1" applyNumberFormat="1" applyFont="1" applyBorder="1"/>
    <xf numFmtId="1" fontId="6" fillId="0" borderId="1" xfId="0" applyNumberFormat="1" applyFont="1" applyBorder="1" applyAlignment="1">
      <alignment horizontal="center" vertical="center"/>
    </xf>
    <xf numFmtId="170" fontId="6" fillId="0" borderId="1" xfId="0" applyNumberFormat="1" applyFont="1" applyBorder="1"/>
    <xf numFmtId="170" fontId="6" fillId="0" borderId="1" xfId="0" applyNumberFormat="1" applyFont="1" applyBorder="1" applyAlignment="1">
      <alignment horizontal="center" vertical="center"/>
    </xf>
    <xf numFmtId="0" fontId="6" fillId="6" borderId="1" xfId="0" applyFont="1" applyFill="1" applyBorder="1"/>
    <xf numFmtId="167" fontId="23" fillId="2" borderId="1" xfId="1" applyNumberFormat="1" applyFont="1" applyFill="1" applyBorder="1" applyAlignment="1" applyProtection="1"/>
    <xf numFmtId="167" fontId="23" fillId="0" borderId="1" xfId="1" applyNumberFormat="1" applyFont="1" applyFill="1" applyBorder="1" applyAlignment="1" applyProtection="1"/>
    <xf numFmtId="166" fontId="23" fillId="0" borderId="1" xfId="1" applyFont="1" applyFill="1" applyBorder="1" applyAlignment="1" applyProtection="1"/>
    <xf numFmtId="166" fontId="151" fillId="0" borderId="1" xfId="1" applyFont="1" applyFill="1" applyBorder="1" applyAlignment="1">
      <alignment horizontal="center" vertical="center"/>
    </xf>
    <xf numFmtId="166" fontId="6" fillId="0" borderId="1" xfId="1" applyFont="1" applyBorder="1"/>
    <xf numFmtId="170" fontId="5" fillId="0" borderId="1" xfId="0" applyNumberFormat="1" applyFont="1" applyBorder="1"/>
    <xf numFmtId="170" fontId="198" fillId="48" borderId="2" xfId="0" applyNumberFormat="1" applyFont="1" applyFill="1" applyBorder="1"/>
    <xf numFmtId="0" fontId="0" fillId="0" borderId="0" xfId="0" applyFill="1" applyAlignment="1">
      <alignment vertical="center"/>
    </xf>
    <xf numFmtId="170" fontId="199" fillId="0" borderId="0" xfId="1" applyNumberFormat="1" applyFont="1"/>
    <xf numFmtId="170" fontId="196" fillId="45" borderId="0" xfId="1" applyNumberFormat="1" applyFont="1" applyFill="1"/>
    <xf numFmtId="0" fontId="37" fillId="0" borderId="0" xfId="0" applyFont="1" applyFill="1"/>
    <xf numFmtId="170" fontId="196" fillId="0" borderId="0" xfId="1" applyNumberFormat="1" applyFont="1" applyFill="1"/>
    <xf numFmtId="170" fontId="202" fillId="0" borderId="0" xfId="1" applyNumberFormat="1" applyFont="1" applyFill="1"/>
    <xf numFmtId="0" fontId="37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200" fillId="0" borderId="0" xfId="0" applyFont="1" applyAlignment="1">
      <alignment vertical="center"/>
    </xf>
    <xf numFmtId="0" fontId="201" fillId="0" borderId="0" xfId="0" applyFont="1" applyAlignment="1">
      <alignment vertical="center"/>
    </xf>
    <xf numFmtId="170" fontId="188" fillId="0" borderId="0" xfId="1" applyNumberFormat="1" applyFont="1"/>
    <xf numFmtId="170" fontId="199" fillId="0" borderId="0" xfId="1" applyNumberFormat="1" applyFont="1" applyFill="1"/>
    <xf numFmtId="170" fontId="188" fillId="0" borderId="0" xfId="1" applyNumberFormat="1" applyFont="1" applyFill="1"/>
    <xf numFmtId="170" fontId="191" fillId="0" borderId="0" xfId="1" applyNumberFormat="1" applyFont="1" applyFill="1"/>
    <xf numFmtId="170" fontId="5" fillId="0" borderId="0" xfId="1" applyNumberFormat="1" applyFont="1" applyFill="1"/>
    <xf numFmtId="0" fontId="204" fillId="51" borderId="46" xfId="7" applyFont="1" applyFill="1" applyBorder="1" applyAlignment="1">
      <alignment horizontal="center" vertical="center"/>
    </xf>
    <xf numFmtId="17" fontId="204" fillId="5" borderId="46" xfId="7" applyNumberFormat="1" applyFont="1" applyFill="1" applyBorder="1" applyAlignment="1">
      <alignment horizontal="center" vertical="center"/>
    </xf>
    <xf numFmtId="17" fontId="204" fillId="51" borderId="46" xfId="7" applyNumberFormat="1" applyFont="1" applyFill="1" applyBorder="1" applyAlignment="1">
      <alignment horizontal="center" vertical="center"/>
    </xf>
    <xf numFmtId="0" fontId="205" fillId="0" borderId="0" xfId="7" applyFont="1"/>
    <xf numFmtId="0" fontId="206" fillId="0" borderId="46" xfId="7" applyFont="1" applyBorder="1" applyAlignment="1">
      <alignment horizontal="center" vertical="center"/>
    </xf>
    <xf numFmtId="1" fontId="206" fillId="5" borderId="46" xfId="7" applyNumberFormat="1" applyFont="1" applyFill="1" applyBorder="1" applyAlignment="1">
      <alignment horizontal="center" vertical="center"/>
    </xf>
    <xf numFmtId="0" fontId="204" fillId="0" borderId="0" xfId="7" applyFont="1" applyAlignment="1">
      <alignment horizontal="center" vertical="center"/>
    </xf>
    <xf numFmtId="1" fontId="205" fillId="5" borderId="46" xfId="7" applyNumberFormat="1" applyFont="1" applyFill="1" applyBorder="1"/>
    <xf numFmtId="17" fontId="63" fillId="5" borderId="47" xfId="0" applyNumberFormat="1" applyFont="1" applyFill="1" applyBorder="1" applyAlignment="1">
      <alignment horizontal="center" vertical="center"/>
    </xf>
    <xf numFmtId="0" fontId="205" fillId="0" borderId="47" xfId="0" applyFont="1" applyBorder="1" applyAlignment="1">
      <alignment vertical="center"/>
    </xf>
    <xf numFmtId="0" fontId="205" fillId="0" borderId="47" xfId="0" applyFont="1" applyBorder="1" applyAlignment="1">
      <alignment horizontal="center" vertical="center"/>
    </xf>
    <xf numFmtId="167" fontId="63" fillId="20" borderId="47" xfId="1" applyNumberFormat="1" applyFont="1" applyFill="1" applyBorder="1" applyAlignment="1" applyProtection="1">
      <alignment horizontal="center"/>
    </xf>
    <xf numFmtId="0" fontId="206" fillId="0" borderId="47" xfId="0" applyFont="1" applyBorder="1" applyAlignment="1">
      <alignment vertical="center"/>
    </xf>
    <xf numFmtId="0" fontId="206" fillId="0" borderId="47" xfId="0" applyFont="1" applyBorder="1" applyAlignment="1">
      <alignment horizontal="center" vertical="center"/>
    </xf>
    <xf numFmtId="0" fontId="64" fillId="0" borderId="47" xfId="0" applyFont="1" applyBorder="1"/>
    <xf numFmtId="0" fontId="205" fillId="0" borderId="47" xfId="0" applyFont="1" applyBorder="1" applyAlignment="1">
      <alignment horizontal="center"/>
    </xf>
    <xf numFmtId="166" fontId="63" fillId="20" borderId="47" xfId="1" applyFont="1" applyFill="1" applyBorder="1" applyAlignment="1" applyProtection="1">
      <alignment horizontal="center"/>
    </xf>
    <xf numFmtId="1" fontId="206" fillId="0" borderId="46" xfId="7" applyNumberFormat="1" applyFont="1" applyFill="1" applyBorder="1" applyAlignment="1">
      <alignment horizontal="center" vertical="center"/>
    </xf>
    <xf numFmtId="1" fontId="205" fillId="0" borderId="46" xfId="7" applyNumberFormat="1" applyFont="1" applyFill="1" applyBorder="1"/>
    <xf numFmtId="166" fontId="0" fillId="0" borderId="1" xfId="1" applyNumberFormat="1" applyFont="1" applyBorder="1" applyAlignment="1">
      <alignment horizontal="right" vertical="center"/>
    </xf>
    <xf numFmtId="1" fontId="33" fillId="0" borderId="1" xfId="0" applyNumberFormat="1" applyFont="1" applyBorder="1" applyAlignment="1">
      <alignment horizontal="right" vertical="center"/>
    </xf>
    <xf numFmtId="1" fontId="33" fillId="0" borderId="1" xfId="0" applyNumberFormat="1" applyFont="1" applyBorder="1" applyAlignment="1">
      <alignment horizontal="center" vertical="center"/>
    </xf>
    <xf numFmtId="1" fontId="161" fillId="0" borderId="1" xfId="0" applyNumberFormat="1" applyFont="1" applyBorder="1" applyAlignment="1">
      <alignment horizontal="right" vertical="center"/>
    </xf>
    <xf numFmtId="166" fontId="177" fillId="0" borderId="1" xfId="0" applyNumberFormat="1" applyFont="1" applyBorder="1" applyAlignment="1">
      <alignment horizontal="right" vertical="center"/>
    </xf>
    <xf numFmtId="1" fontId="177" fillId="0" borderId="1" xfId="0" applyNumberFormat="1" applyFont="1" applyBorder="1" applyAlignment="1">
      <alignment horizontal="center" vertical="center"/>
    </xf>
    <xf numFmtId="1" fontId="160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/>
    </xf>
    <xf numFmtId="170" fontId="11" fillId="0" borderId="1" xfId="1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166" fontId="11" fillId="0" borderId="1" xfId="1" applyFont="1" applyBorder="1" applyAlignment="1">
      <alignment vertical="center"/>
    </xf>
    <xf numFmtId="166" fontId="18" fillId="0" borderId="1" xfId="1" applyNumberFormat="1" applyFont="1" applyBorder="1" applyAlignment="1">
      <alignment horizontal="center" vertical="center"/>
    </xf>
    <xf numFmtId="166" fontId="33" fillId="0" borderId="1" xfId="0" applyNumberFormat="1" applyFont="1" applyBorder="1" applyAlignment="1">
      <alignment horizontal="right" vertical="center"/>
    </xf>
    <xf numFmtId="166" fontId="161" fillId="0" borderId="1" xfId="0" applyNumberFormat="1" applyFont="1" applyBorder="1" applyAlignment="1">
      <alignment horizontal="right" vertical="center"/>
    </xf>
    <xf numFmtId="170" fontId="33" fillId="0" borderId="1" xfId="0" applyNumberFormat="1" applyFont="1" applyBorder="1" applyAlignment="1">
      <alignment vertical="center"/>
    </xf>
    <xf numFmtId="166" fontId="0" fillId="0" borderId="1" xfId="1" applyFont="1" applyBorder="1" applyAlignment="1">
      <alignment horizontal="center" vertical="center"/>
    </xf>
    <xf numFmtId="166" fontId="168" fillId="0" borderId="1" xfId="1" applyFont="1" applyBorder="1" applyAlignment="1">
      <alignment horizontal="center" vertical="center"/>
    </xf>
    <xf numFmtId="166" fontId="168" fillId="0" borderId="1" xfId="1" applyNumberFormat="1" applyFont="1" applyBorder="1" applyAlignment="1">
      <alignment horizontal="center" vertical="center"/>
    </xf>
    <xf numFmtId="2" fontId="161" fillId="0" borderId="1" xfId="0" applyNumberFormat="1" applyFont="1" applyBorder="1" applyAlignment="1">
      <alignment horizontal="right" vertical="center"/>
    </xf>
    <xf numFmtId="2" fontId="33" fillId="0" borderId="1" xfId="0" applyNumberFormat="1" applyFont="1" applyBorder="1" applyAlignment="1">
      <alignment horizontal="center" vertical="center"/>
    </xf>
    <xf numFmtId="166" fontId="185" fillId="0" borderId="1" xfId="1" applyFont="1" applyBorder="1" applyAlignment="1">
      <alignment horizontal="center" vertical="center"/>
    </xf>
    <xf numFmtId="166" fontId="185" fillId="0" borderId="1" xfId="1" applyNumberFormat="1" applyFont="1" applyBorder="1" applyAlignment="1">
      <alignment horizontal="center" vertical="center"/>
    </xf>
    <xf numFmtId="170" fontId="7" fillId="0" borderId="1" xfId="0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5" xfId="0" applyNumberFormat="1" applyBorder="1" applyAlignment="1">
      <alignment horizontal="center" vertical="center"/>
    </xf>
    <xf numFmtId="2" fontId="33" fillId="0" borderId="1" xfId="0" applyNumberFormat="1" applyFont="1" applyBorder="1" applyAlignment="1">
      <alignment horizontal="right" vertical="center"/>
    </xf>
    <xf numFmtId="166" fontId="0" fillId="0" borderId="1" xfId="1" applyFont="1" applyFill="1" applyBorder="1" applyAlignment="1">
      <alignment horizontal="center" vertical="center"/>
    </xf>
    <xf numFmtId="166" fontId="13" fillId="0" borderId="1" xfId="1" applyFont="1" applyFill="1" applyBorder="1" applyAlignment="1">
      <alignment horizontal="center" vertical="center"/>
    </xf>
    <xf numFmtId="166" fontId="13" fillId="0" borderId="1" xfId="1" applyNumberFormat="1" applyFont="1" applyFill="1" applyBorder="1" applyAlignment="1">
      <alignment horizontal="center" vertical="center"/>
    </xf>
    <xf numFmtId="166" fontId="33" fillId="0" borderId="1" xfId="0" applyNumberFormat="1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vertical="center"/>
    </xf>
    <xf numFmtId="0" fontId="57" fillId="0" borderId="5" xfId="0" applyFont="1" applyBorder="1" applyAlignment="1">
      <alignment vertical="center"/>
    </xf>
    <xf numFmtId="166" fontId="33" fillId="0" borderId="1" xfId="0" applyNumberFormat="1" applyFont="1" applyFill="1" applyBorder="1" applyAlignment="1">
      <alignment horizontal="center" vertical="center"/>
    </xf>
    <xf numFmtId="166" fontId="161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66" fontId="0" fillId="0" borderId="1" xfId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8" fontId="53" fillId="0" borderId="1" xfId="0" applyNumberFormat="1" applyFont="1" applyBorder="1" applyAlignment="1">
      <alignment horizontal="center" vertical="center"/>
    </xf>
    <xf numFmtId="188" fontId="172" fillId="0" borderId="1" xfId="0" applyNumberFormat="1" applyFont="1" applyBorder="1" applyAlignment="1">
      <alignment horizontal="center" vertical="center"/>
    </xf>
    <xf numFmtId="166" fontId="33" fillId="0" borderId="2" xfId="0" applyNumberFormat="1" applyFont="1" applyBorder="1" applyAlignment="1">
      <alignment horizontal="right" vertical="center"/>
    </xf>
    <xf numFmtId="166" fontId="161" fillId="0" borderId="2" xfId="0" applyNumberFormat="1" applyFont="1" applyBorder="1" applyAlignment="1">
      <alignment horizontal="right" vertical="center"/>
    </xf>
    <xf numFmtId="166" fontId="0" fillId="0" borderId="0" xfId="0" applyNumberFormat="1" applyAlignment="1">
      <alignment horizontal="center" vertical="center"/>
    </xf>
    <xf numFmtId="10" fontId="0" fillId="0" borderId="1" xfId="10" applyNumberFormat="1" applyFont="1" applyBorder="1" applyAlignment="1">
      <alignment vertical="center"/>
    </xf>
    <xf numFmtId="9" fontId="183" fillId="0" borderId="0" xfId="10" applyFont="1"/>
    <xf numFmtId="9" fontId="0" fillId="0" borderId="0" xfId="10" applyFont="1"/>
    <xf numFmtId="0" fontId="231" fillId="0" borderId="1" xfId="0" applyFont="1" applyBorder="1"/>
    <xf numFmtId="0" fontId="4" fillId="0" borderId="1" xfId="0" applyFont="1" applyBorder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0" fontId="4" fillId="0" borderId="1" xfId="1" applyNumberFormat="1" applyFont="1" applyBorder="1"/>
    <xf numFmtId="170" fontId="4" fillId="0" borderId="1" xfId="0" applyNumberFormat="1" applyFont="1" applyBorder="1"/>
    <xf numFmtId="0" fontId="4" fillId="6" borderId="1" xfId="0" applyFont="1" applyFill="1" applyBorder="1"/>
    <xf numFmtId="0" fontId="4" fillId="0" borderId="1" xfId="0" applyFont="1" applyFill="1" applyBorder="1"/>
    <xf numFmtId="175" fontId="4" fillId="6" borderId="1" xfId="0" applyNumberFormat="1" applyFont="1" applyFill="1" applyBorder="1"/>
    <xf numFmtId="0" fontId="232" fillId="0" borderId="1" xfId="0" applyFont="1" applyBorder="1"/>
    <xf numFmtId="170" fontId="4" fillId="0" borderId="1" xfId="0" applyNumberFormat="1" applyFont="1" applyBorder="1" applyAlignment="1">
      <alignment horizontal="center" vertical="center"/>
    </xf>
    <xf numFmtId="188" fontId="33" fillId="0" borderId="1" xfId="0" applyNumberFormat="1" applyFont="1" applyBorder="1" applyAlignment="1">
      <alignment horizontal="center" vertical="center"/>
    </xf>
    <xf numFmtId="1" fontId="4" fillId="18" borderId="1" xfId="0" applyNumberFormat="1" applyFont="1" applyFill="1" applyBorder="1" applyAlignment="1">
      <alignment horizontal="center" vertical="center"/>
    </xf>
    <xf numFmtId="170" fontId="0" fillId="0" borderId="0" xfId="0" applyNumberFormat="1" applyFill="1"/>
    <xf numFmtId="170" fontId="3" fillId="0" borderId="1" xfId="1" applyNumberFormat="1" applyFont="1" applyBorder="1"/>
    <xf numFmtId="170" fontId="3" fillId="0" borderId="1" xfId="0" applyNumberFormat="1" applyFont="1" applyBorder="1"/>
    <xf numFmtId="1" fontId="3" fillId="0" borderId="1" xfId="0" applyNumberFormat="1" applyFont="1" applyBorder="1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166" fontId="4" fillId="0" borderId="1" xfId="1" applyFont="1" applyBorder="1"/>
    <xf numFmtId="0" fontId="0" fillId="0" borderId="5" xfId="0" applyBorder="1"/>
    <xf numFmtId="166" fontId="0" fillId="0" borderId="7" xfId="1" applyNumberFormat="1" applyFont="1" applyBorder="1" applyAlignment="1">
      <alignment horizontal="right" vertical="center"/>
    </xf>
    <xf numFmtId="0" fontId="33" fillId="4" borderId="4" xfId="0" applyFont="1" applyFill="1" applyBorder="1" applyAlignment="1">
      <alignment horizontal="center" vertical="center"/>
    </xf>
    <xf numFmtId="0" fontId="36" fillId="0" borderId="3" xfId="0" applyFont="1" applyBorder="1"/>
    <xf numFmtId="0" fontId="35" fillId="0" borderId="61" xfId="3" applyFont="1" applyBorder="1" applyAlignment="1">
      <alignment horizontal="left" vertical="center"/>
    </xf>
    <xf numFmtId="0" fontId="35" fillId="0" borderId="62" xfId="3" applyFont="1" applyBorder="1" applyAlignment="1">
      <alignment horizontal="left" vertical="center"/>
    </xf>
    <xf numFmtId="0" fontId="36" fillId="0" borderId="62" xfId="0" applyFont="1" applyBorder="1" applyAlignment="1">
      <alignment vertical="center"/>
    </xf>
    <xf numFmtId="0" fontId="36" fillId="0" borderId="62" xfId="0" applyFont="1" applyBorder="1" applyAlignment="1">
      <alignment vertical="center" wrapText="1"/>
    </xf>
    <xf numFmtId="0" fontId="36" fillId="0" borderId="63" xfId="0" applyFont="1" applyBorder="1"/>
    <xf numFmtId="0" fontId="0" fillId="0" borderId="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60" xfId="0" applyFill="1" applyBorder="1" applyAlignment="1">
      <alignment horizontal="left"/>
    </xf>
    <xf numFmtId="166" fontId="152" fillId="0" borderId="7" xfId="0" applyNumberFormat="1" applyFont="1" applyBorder="1" applyAlignment="1">
      <alignment horizontal="right" vertical="center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60" xfId="0" applyBorder="1"/>
    <xf numFmtId="166" fontId="19" fillId="0" borderId="7" xfId="1" applyFont="1" applyBorder="1" applyAlignment="1">
      <alignment horizontal="center" vertical="center"/>
    </xf>
    <xf numFmtId="0" fontId="58" fillId="0" borderId="2" xfId="0" applyFont="1" applyBorder="1"/>
    <xf numFmtId="0" fontId="0" fillId="46" borderId="0" xfId="0" applyFill="1" applyAlignment="1">
      <alignment vertical="center"/>
    </xf>
    <xf numFmtId="170" fontId="203" fillId="46" borderId="0" xfId="1" applyNumberFormat="1" applyFont="1" applyFill="1"/>
    <xf numFmtId="170" fontId="183" fillId="0" borderId="2" xfId="0" applyNumberFormat="1" applyFont="1" applyFill="1" applyBorder="1"/>
    <xf numFmtId="170" fontId="183" fillId="0" borderId="0" xfId="1" applyNumberFormat="1" applyFont="1" applyFill="1"/>
    <xf numFmtId="170" fontId="33" fillId="101" borderId="1" xfId="0" applyNumberFormat="1" applyFont="1" applyFill="1" applyBorder="1" applyAlignment="1">
      <alignment horizontal="center" vertical="center"/>
    </xf>
    <xf numFmtId="166" fontId="163" fillId="101" borderId="1" xfId="1" applyFont="1" applyFill="1" applyBorder="1"/>
    <xf numFmtId="170" fontId="184" fillId="101" borderId="1" xfId="0" applyNumberFormat="1" applyFont="1" applyFill="1" applyBorder="1"/>
    <xf numFmtId="170" fontId="152" fillId="101" borderId="1" xfId="0" applyNumberFormat="1" applyFont="1" applyFill="1" applyBorder="1"/>
    <xf numFmtId="186" fontId="178" fillId="0" borderId="0" xfId="0" applyNumberFormat="1" applyFont="1"/>
    <xf numFmtId="0" fontId="2" fillId="0" borderId="1" xfId="0" applyFont="1" applyBorder="1"/>
    <xf numFmtId="170" fontId="2" fillId="0" borderId="1" xfId="1" applyNumberFormat="1" applyFont="1" applyBorder="1"/>
    <xf numFmtId="170" fontId="2" fillId="0" borderId="1" xfId="0" applyNumberFormat="1" applyFont="1" applyBorder="1"/>
    <xf numFmtId="0" fontId="2" fillId="6" borderId="1" xfId="0" applyFont="1" applyFill="1" applyBorder="1"/>
    <xf numFmtId="175" fontId="2" fillId="6" borderId="1" xfId="0" applyNumberFormat="1" applyFont="1" applyFill="1" applyBorder="1"/>
    <xf numFmtId="17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33" fillId="0" borderId="1" xfId="0" applyNumberFormat="1" applyFont="1" applyFill="1" applyBorder="1" applyAlignment="1">
      <alignment vertical="center"/>
    </xf>
    <xf numFmtId="167" fontId="28" fillId="0" borderId="1" xfId="1" applyNumberFormat="1" applyFont="1" applyFill="1" applyBorder="1" applyAlignment="1" applyProtection="1">
      <alignment horizontal="center"/>
    </xf>
    <xf numFmtId="167" fontId="28" fillId="2" borderId="1" xfId="1" applyNumberFormat="1" applyFont="1" applyFill="1" applyBorder="1"/>
    <xf numFmtId="166" fontId="28" fillId="0" borderId="1" xfId="1" applyFont="1" applyFill="1" applyBorder="1"/>
    <xf numFmtId="167" fontId="24" fillId="0" borderId="1" xfId="1" applyNumberFormat="1" applyFont="1" applyFill="1" applyBorder="1"/>
    <xf numFmtId="166" fontId="24" fillId="0" borderId="1" xfId="1" applyFont="1" applyFill="1" applyBorder="1" applyAlignment="1" applyProtection="1">
      <alignment horizontal="center"/>
    </xf>
    <xf numFmtId="167" fontId="63" fillId="0" borderId="47" xfId="1" applyNumberFormat="1" applyFont="1" applyFill="1" applyBorder="1" applyAlignment="1" applyProtection="1">
      <alignment horizontal="center"/>
    </xf>
    <xf numFmtId="166" fontId="63" fillId="0" borderId="47" xfId="1" applyFont="1" applyFill="1" applyBorder="1" applyAlignment="1" applyProtection="1">
      <alignment horizontal="center"/>
    </xf>
    <xf numFmtId="1" fontId="1" fillId="0" borderId="1" xfId="0" applyNumberFormat="1" applyFont="1" applyBorder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  <xf numFmtId="170" fontId="1" fillId="0" borderId="1" xfId="1" applyNumberFormat="1" applyFont="1" applyBorder="1"/>
    <xf numFmtId="170" fontId="1" fillId="0" borderId="1" xfId="0" applyNumberFormat="1" applyFont="1" applyBorder="1"/>
    <xf numFmtId="166" fontId="1" fillId="0" borderId="1" xfId="1" applyFont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166" fontId="0" fillId="4" borderId="1" xfId="1" applyNumberFormat="1" applyFont="1" applyFill="1" applyBorder="1" applyAlignment="1">
      <alignment horizontal="right" vertical="center"/>
    </xf>
    <xf numFmtId="1" fontId="17" fillId="4" borderId="1" xfId="0" applyNumberFormat="1" applyFont="1" applyFill="1" applyBorder="1" applyAlignment="1">
      <alignment horizontal="right" vertical="center"/>
    </xf>
    <xf numFmtId="170" fontId="11" fillId="4" borderId="1" xfId="1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74" fillId="4" borderId="1" xfId="0" applyNumberFormat="1" applyFont="1" applyFill="1" applyBorder="1" applyAlignment="1">
      <alignment horizontal="center" vertical="center"/>
    </xf>
    <xf numFmtId="1" fontId="74" fillId="4" borderId="5" xfId="0" applyNumberFormat="1" applyFont="1" applyFill="1" applyBorder="1" applyAlignment="1">
      <alignment horizontal="center" vertical="center"/>
    </xf>
    <xf numFmtId="166" fontId="0" fillId="4" borderId="1" xfId="1" applyFont="1" applyFill="1" applyBorder="1"/>
    <xf numFmtId="170" fontId="152" fillId="4" borderId="1" xfId="0" applyNumberFormat="1" applyFont="1" applyFill="1" applyBorder="1"/>
    <xf numFmtId="170" fontId="16" fillId="4" borderId="1" xfId="0" applyNumberFormat="1" applyFont="1" applyFill="1" applyBorder="1"/>
    <xf numFmtId="170" fontId="6" fillId="4" borderId="1" xfId="0" applyNumberFormat="1" applyFont="1" applyFill="1" applyBorder="1"/>
    <xf numFmtId="170" fontId="4" fillId="4" borderId="1" xfId="0" applyNumberFormat="1" applyFont="1" applyFill="1" applyBorder="1"/>
    <xf numFmtId="170" fontId="2" fillId="4" borderId="1" xfId="0" applyNumberFormat="1" applyFont="1" applyFill="1" applyBorder="1"/>
    <xf numFmtId="170" fontId="74" fillId="4" borderId="1" xfId="0" applyNumberFormat="1" applyFont="1" applyFill="1" applyBorder="1"/>
    <xf numFmtId="170" fontId="74" fillId="4" borderId="5" xfId="0" applyNumberFormat="1" applyFont="1" applyFill="1" applyBorder="1"/>
    <xf numFmtId="170" fontId="18" fillId="4" borderId="1" xfId="0" applyNumberFormat="1" applyFont="1" applyFill="1" applyBorder="1"/>
    <xf numFmtId="170" fontId="17" fillId="4" borderId="1" xfId="0" applyNumberFormat="1" applyFont="1" applyFill="1" applyBorder="1"/>
    <xf numFmtId="0" fontId="0" fillId="0" borderId="4" xfId="0" applyFill="1" applyBorder="1"/>
    <xf numFmtId="170" fontId="178" fillId="0" borderId="0" xfId="0" applyNumberFormat="1" applyFont="1"/>
    <xf numFmtId="166" fontId="22" fillId="0" borderId="1" xfId="1" applyFont="1" applyFill="1" applyBorder="1" applyAlignment="1">
      <alignment horizontal="center" vertical="center"/>
    </xf>
    <xf numFmtId="170" fontId="234" fillId="0" borderId="0" xfId="1" applyNumberFormat="1" applyFont="1" applyFill="1"/>
    <xf numFmtId="0" fontId="149" fillId="0" borderId="44" xfId="0" applyFont="1" applyBorder="1" applyAlignment="1">
      <alignment horizontal="center" vertical="center"/>
    </xf>
    <xf numFmtId="0" fontId="149" fillId="0" borderId="17" xfId="0" applyFont="1" applyBorder="1" applyAlignment="1">
      <alignment horizontal="center" vertical="center"/>
    </xf>
    <xf numFmtId="0" fontId="149" fillId="0" borderId="45" xfId="0" applyFont="1" applyBorder="1" applyAlignment="1">
      <alignment horizontal="center" vertical="center"/>
    </xf>
    <xf numFmtId="0" fontId="149" fillId="0" borderId="43" xfId="0" applyFont="1" applyBorder="1" applyAlignment="1">
      <alignment horizontal="center" vertical="center"/>
    </xf>
    <xf numFmtId="0" fontId="32" fillId="3" borderId="5" xfId="0" applyFont="1" applyFill="1" applyBorder="1" applyAlignment="1">
      <alignment horizontal="left" vertical="center"/>
    </xf>
    <xf numFmtId="0" fontId="32" fillId="3" borderId="7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7" fillId="3" borderId="47" xfId="0" applyFont="1" applyFill="1" applyBorder="1" applyAlignment="1">
      <alignment horizontal="center" vertical="center"/>
    </xf>
    <xf numFmtId="0" fontId="207" fillId="5" borderId="47" xfId="0" applyFont="1" applyFill="1" applyBorder="1" applyAlignment="1">
      <alignment horizontal="center" vertical="center"/>
    </xf>
    <xf numFmtId="0" fontId="204" fillId="5" borderId="4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54" fillId="8" borderId="1" xfId="3" applyFont="1" applyFill="1" applyBorder="1" applyAlignment="1">
      <alignment horizontal="center" vertical="center"/>
    </xf>
    <xf numFmtId="0" fontId="154" fillId="43" borderId="1" xfId="0" applyFont="1" applyFill="1" applyBorder="1" applyAlignment="1">
      <alignment horizontal="center"/>
    </xf>
    <xf numFmtId="0" fontId="157" fillId="0" borderId="1" xfId="0" applyFont="1" applyBorder="1" applyAlignment="1">
      <alignment horizontal="center" vertical="center"/>
    </xf>
    <xf numFmtId="0" fontId="33" fillId="0" borderId="0" xfId="0" applyFont="1" applyAlignment="1">
      <alignment horizontal="center"/>
    </xf>
    <xf numFmtId="17" fontId="22" fillId="5" borderId="5" xfId="0" applyNumberFormat="1" applyFont="1" applyFill="1" applyBorder="1" applyAlignment="1">
      <alignment horizontal="center" vertical="center"/>
    </xf>
    <xf numFmtId="17" fontId="22" fillId="5" borderId="7" xfId="0" applyNumberFormat="1" applyFont="1" applyFill="1" applyBorder="1" applyAlignment="1">
      <alignment horizontal="center" vertical="center"/>
    </xf>
    <xf numFmtId="0" fontId="42" fillId="7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57" fillId="0" borderId="29" xfId="0" applyFont="1" applyBorder="1" applyAlignment="1">
      <alignment horizontal="center" vertical="center"/>
    </xf>
    <xf numFmtId="0" fontId="157" fillId="0" borderId="23" xfId="0" applyFont="1" applyBorder="1" applyAlignment="1">
      <alignment horizontal="center" vertical="center"/>
    </xf>
    <xf numFmtId="0" fontId="157" fillId="0" borderId="30" xfId="0" applyFont="1" applyBorder="1" applyAlignment="1">
      <alignment horizontal="center" vertical="center"/>
    </xf>
    <xf numFmtId="0" fontId="157" fillId="0" borderId="31" xfId="0" applyFont="1" applyBorder="1" applyAlignment="1">
      <alignment horizontal="center" vertical="center"/>
    </xf>
    <xf numFmtId="0" fontId="157" fillId="0" borderId="22" xfId="0" applyFont="1" applyBorder="1" applyAlignment="1">
      <alignment horizontal="center" vertical="center"/>
    </xf>
    <xf numFmtId="0" fontId="157" fillId="0" borderId="32" xfId="0" applyFont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157" fillId="19" borderId="1" xfId="0" applyFont="1" applyFill="1" applyBorder="1" applyAlignment="1">
      <alignment horizontal="center" vertical="center"/>
    </xf>
    <xf numFmtId="0" fontId="154" fillId="43" borderId="4" xfId="0" applyFont="1" applyFill="1" applyBorder="1" applyAlignment="1">
      <alignment horizontal="center" vertical="center" wrapText="1"/>
    </xf>
    <xf numFmtId="0" fontId="154" fillId="43" borderId="4" xfId="0" applyFont="1" applyFill="1" applyBorder="1" applyAlignment="1">
      <alignment horizontal="center" vertical="center"/>
    </xf>
    <xf numFmtId="0" fontId="154" fillId="43" borderId="3" xfId="0" applyFont="1" applyFill="1" applyBorder="1" applyAlignment="1">
      <alignment horizontal="center" vertical="center"/>
    </xf>
    <xf numFmtId="0" fontId="33" fillId="5" borderId="5" xfId="0" applyFont="1" applyFill="1" applyBorder="1" applyAlignment="1">
      <alignment horizontal="center" vertical="center"/>
    </xf>
    <xf numFmtId="0" fontId="33" fillId="5" borderId="6" xfId="0" applyFont="1" applyFill="1" applyBorder="1" applyAlignment="1">
      <alignment horizontal="center" vertical="center"/>
    </xf>
    <xf numFmtId="0" fontId="33" fillId="5" borderId="7" xfId="0" applyFont="1" applyFill="1" applyBorder="1" applyAlignment="1">
      <alignment horizontal="center" vertical="center"/>
    </xf>
    <xf numFmtId="0" fontId="38" fillId="0" borderId="39" xfId="0" applyFont="1" applyBorder="1" applyAlignment="1">
      <alignment horizontal="center" vertical="center"/>
    </xf>
    <xf numFmtId="0" fontId="38" fillId="0" borderId="40" xfId="0" applyFont="1" applyBorder="1" applyAlignment="1">
      <alignment horizontal="center" vertical="center"/>
    </xf>
    <xf numFmtId="0" fontId="38" fillId="0" borderId="41" xfId="0" applyFont="1" applyBorder="1" applyAlignment="1">
      <alignment horizontal="center" vertical="center"/>
    </xf>
    <xf numFmtId="0" fontId="42" fillId="7" borderId="2" xfId="0" applyFont="1" applyFill="1" applyBorder="1" applyAlignment="1">
      <alignment horizontal="center" vertical="center" wrapText="1"/>
    </xf>
    <xf numFmtId="0" fontId="42" fillId="7" borderId="4" xfId="0" applyFont="1" applyFill="1" applyBorder="1" applyAlignment="1">
      <alignment horizontal="center" vertical="center" wrapText="1"/>
    </xf>
    <xf numFmtId="0" fontId="42" fillId="7" borderId="3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3" fillId="10" borderId="2" xfId="0" applyFont="1" applyFill="1" applyBorder="1" applyAlignment="1">
      <alignment horizontal="center" vertical="center"/>
    </xf>
    <xf numFmtId="0" fontId="33" fillId="10" borderId="3" xfId="0" applyFont="1" applyFill="1" applyBorder="1" applyAlignment="1">
      <alignment horizontal="center" vertical="center"/>
    </xf>
    <xf numFmtId="0" fontId="53" fillId="10" borderId="2" xfId="0" applyFont="1" applyFill="1" applyBorder="1" applyAlignment="1">
      <alignment horizontal="center" vertical="center"/>
    </xf>
    <xf numFmtId="0" fontId="53" fillId="10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41" fillId="8" borderId="8" xfId="3" applyFont="1" applyFill="1" applyBorder="1" applyAlignment="1">
      <alignment horizontal="center" vertical="center"/>
    </xf>
    <xf numFmtId="0" fontId="41" fillId="8" borderId="9" xfId="3" applyFont="1" applyFill="1" applyBorder="1" applyAlignment="1">
      <alignment horizontal="center" vertical="center"/>
    </xf>
    <xf numFmtId="0" fontId="82" fillId="0" borderId="0" xfId="7" applyFont="1" applyAlignment="1">
      <alignment horizontal="center" vertical="center"/>
    </xf>
    <xf numFmtId="1" fontId="83" fillId="26" borderId="23" xfId="7" applyNumberFormat="1" applyFont="1" applyFill="1" applyBorder="1" applyAlignment="1">
      <alignment horizontal="center"/>
    </xf>
    <xf numFmtId="0" fontId="0" fillId="102" borderId="1" xfId="0" applyFill="1" applyBorder="1" applyAlignment="1">
      <alignment horizontal="center"/>
    </xf>
    <xf numFmtId="0" fontId="21" fillId="102" borderId="31" xfId="0" applyFont="1" applyFill="1" applyBorder="1" applyAlignment="1">
      <alignment horizontal="center" vertical="center"/>
    </xf>
    <xf numFmtId="0" fontId="21" fillId="102" borderId="32" xfId="0" applyFont="1" applyFill="1" applyBorder="1" applyAlignment="1">
      <alignment horizontal="center" vertical="center"/>
    </xf>
  </cellXfs>
  <cellStyles count="154">
    <cellStyle name="Accent1 - 20%" xfId="13" xr:uid="{00000000-0005-0000-0000-000000000000}"/>
    <cellStyle name="Accent1 - 40%" xfId="14" xr:uid="{00000000-0005-0000-0000-000001000000}"/>
    <cellStyle name="Accent1 - 60%" xfId="15" xr:uid="{00000000-0005-0000-0000-000002000000}"/>
    <cellStyle name="Accent1 2" xfId="12" xr:uid="{00000000-0005-0000-0000-000003000000}"/>
    <cellStyle name="Accent1 3" xfId="148" xr:uid="{00000000-0005-0000-0000-000004000000}"/>
    <cellStyle name="Accent2 - 20%" xfId="17" xr:uid="{00000000-0005-0000-0000-000005000000}"/>
    <cellStyle name="Accent2 - 40%" xfId="18" xr:uid="{00000000-0005-0000-0000-000006000000}"/>
    <cellStyle name="Accent2 - 60%" xfId="19" xr:uid="{00000000-0005-0000-0000-000007000000}"/>
    <cellStyle name="Accent2 2" xfId="16" xr:uid="{00000000-0005-0000-0000-000008000000}"/>
    <cellStyle name="Accent2 3" xfId="149" xr:uid="{00000000-0005-0000-0000-000009000000}"/>
    <cellStyle name="Accent3 - 20%" xfId="21" xr:uid="{00000000-0005-0000-0000-00000A000000}"/>
    <cellStyle name="Accent3 - 40%" xfId="22" xr:uid="{00000000-0005-0000-0000-00000B000000}"/>
    <cellStyle name="Accent3 - 60%" xfId="23" xr:uid="{00000000-0005-0000-0000-00000C000000}"/>
    <cellStyle name="Accent3 2" xfId="20" xr:uid="{00000000-0005-0000-0000-00000D000000}"/>
    <cellStyle name="Accent3 3" xfId="150" xr:uid="{00000000-0005-0000-0000-00000E000000}"/>
    <cellStyle name="Accent4 - 20%" xfId="25" xr:uid="{00000000-0005-0000-0000-00000F000000}"/>
    <cellStyle name="Accent4 - 40%" xfId="26" xr:uid="{00000000-0005-0000-0000-000010000000}"/>
    <cellStyle name="Accent4 - 60%" xfId="27" xr:uid="{00000000-0005-0000-0000-000011000000}"/>
    <cellStyle name="Accent4 2" xfId="24" xr:uid="{00000000-0005-0000-0000-000012000000}"/>
    <cellStyle name="Accent4 3" xfId="151" xr:uid="{00000000-0005-0000-0000-000013000000}"/>
    <cellStyle name="Accent5 - 20%" xfId="29" xr:uid="{00000000-0005-0000-0000-000014000000}"/>
    <cellStyle name="Accent5 - 40%" xfId="30" xr:uid="{00000000-0005-0000-0000-000015000000}"/>
    <cellStyle name="Accent5 - 60%" xfId="31" xr:uid="{00000000-0005-0000-0000-000016000000}"/>
    <cellStyle name="Accent5 2" xfId="28" xr:uid="{00000000-0005-0000-0000-000017000000}"/>
    <cellStyle name="Accent5 3" xfId="152" xr:uid="{00000000-0005-0000-0000-000018000000}"/>
    <cellStyle name="Accent6 - 20%" xfId="33" xr:uid="{00000000-0005-0000-0000-000019000000}"/>
    <cellStyle name="Accent6 - 40%" xfId="34" xr:uid="{00000000-0005-0000-0000-00001A000000}"/>
    <cellStyle name="Accent6 - 60%" xfId="35" xr:uid="{00000000-0005-0000-0000-00001B000000}"/>
    <cellStyle name="Accent6 2" xfId="32" xr:uid="{00000000-0005-0000-0000-00001C000000}"/>
    <cellStyle name="Accent6 3" xfId="153" xr:uid="{00000000-0005-0000-0000-00001D000000}"/>
    <cellStyle name="Bad 2" xfId="36" xr:uid="{00000000-0005-0000-0000-00001E000000}"/>
    <cellStyle name="Calculation 2" xfId="37" xr:uid="{00000000-0005-0000-0000-00001F000000}"/>
    <cellStyle name="Check Cell 2" xfId="38" xr:uid="{00000000-0005-0000-0000-000020000000}"/>
    <cellStyle name="Comma" xfId="1" builtinId="3"/>
    <cellStyle name="Comma 2" xfId="4" xr:uid="{00000000-0005-0000-0000-000022000000}"/>
    <cellStyle name="Comma 3" xfId="8" xr:uid="{00000000-0005-0000-0000-000023000000}"/>
    <cellStyle name="Currency" xfId="2" builtinId="4"/>
    <cellStyle name="Emphasis 1" xfId="39" xr:uid="{00000000-0005-0000-0000-000025000000}"/>
    <cellStyle name="Emphasis 2" xfId="40" xr:uid="{00000000-0005-0000-0000-000026000000}"/>
    <cellStyle name="Emphasis 3" xfId="41" xr:uid="{00000000-0005-0000-0000-000027000000}"/>
    <cellStyle name="Good 2" xfId="43" xr:uid="{00000000-0005-0000-0000-000028000000}"/>
    <cellStyle name="Good 3" xfId="44" xr:uid="{00000000-0005-0000-0000-000029000000}"/>
    <cellStyle name="Good 4" xfId="42" xr:uid="{00000000-0005-0000-0000-00002A000000}"/>
    <cellStyle name="Heading 1 2" xfId="45" xr:uid="{00000000-0005-0000-0000-00002B000000}"/>
    <cellStyle name="Heading 2 2" xfId="46" xr:uid="{00000000-0005-0000-0000-00002C000000}"/>
    <cellStyle name="Heading 3 2" xfId="47" xr:uid="{00000000-0005-0000-0000-00002D000000}"/>
    <cellStyle name="Heading 4 2" xfId="48" xr:uid="{00000000-0005-0000-0000-00002E000000}"/>
    <cellStyle name="Hyperlink" xfId="6" builtinId="8"/>
    <cellStyle name="Input 2" xfId="49" xr:uid="{00000000-0005-0000-0000-000030000000}"/>
    <cellStyle name="Linked Cell 2" xfId="50" xr:uid="{00000000-0005-0000-0000-000031000000}"/>
    <cellStyle name="Neutral 2" xfId="52" xr:uid="{00000000-0005-0000-0000-000032000000}"/>
    <cellStyle name="Neutral 3" xfId="53" xr:uid="{00000000-0005-0000-0000-000033000000}"/>
    <cellStyle name="Neutral 4" xfId="51" xr:uid="{00000000-0005-0000-0000-000034000000}"/>
    <cellStyle name="Normal" xfId="0" builtinId="0"/>
    <cellStyle name="Normal 2" xfId="3" xr:uid="{00000000-0005-0000-0000-000036000000}"/>
    <cellStyle name="Normal 2 2" xfId="54" xr:uid="{00000000-0005-0000-0000-000037000000}"/>
    <cellStyle name="Normal 3" xfId="7" xr:uid="{00000000-0005-0000-0000-000038000000}"/>
    <cellStyle name="Normal 3 2" xfId="55" xr:uid="{00000000-0005-0000-0000-000039000000}"/>
    <cellStyle name="Normal 4" xfId="11" xr:uid="{00000000-0005-0000-0000-00003A000000}"/>
    <cellStyle name="Note 2" xfId="56" xr:uid="{00000000-0005-0000-0000-00003B000000}"/>
    <cellStyle name="Output 2" xfId="57" xr:uid="{00000000-0005-0000-0000-00003C000000}"/>
    <cellStyle name="Percent" xfId="10" builtinId="5"/>
    <cellStyle name="Percent 2" xfId="5" xr:uid="{00000000-0005-0000-0000-00003E000000}"/>
    <cellStyle name="Percent 3" xfId="9" xr:uid="{00000000-0005-0000-0000-00003F000000}"/>
    <cellStyle name="SAPBEXaggData" xfId="58" xr:uid="{00000000-0005-0000-0000-000040000000}"/>
    <cellStyle name="SAPBEXaggData 2" xfId="59" xr:uid="{00000000-0005-0000-0000-000041000000}"/>
    <cellStyle name="SAPBEXaggData 3" xfId="60" xr:uid="{00000000-0005-0000-0000-000042000000}"/>
    <cellStyle name="SAPBEXaggDataEmph" xfId="61" xr:uid="{00000000-0005-0000-0000-000043000000}"/>
    <cellStyle name="SAPBEXaggItem" xfId="62" xr:uid="{00000000-0005-0000-0000-000044000000}"/>
    <cellStyle name="SAPBEXaggItem 2" xfId="63" xr:uid="{00000000-0005-0000-0000-000045000000}"/>
    <cellStyle name="SAPBEXaggItem 3" xfId="64" xr:uid="{00000000-0005-0000-0000-000046000000}"/>
    <cellStyle name="SAPBEXaggItemX" xfId="65" xr:uid="{00000000-0005-0000-0000-000047000000}"/>
    <cellStyle name="SAPBEXchaText" xfId="66" xr:uid="{00000000-0005-0000-0000-000048000000}"/>
    <cellStyle name="SAPBEXchaText 2" xfId="67" xr:uid="{00000000-0005-0000-0000-000049000000}"/>
    <cellStyle name="SAPBEXchaText 3" xfId="68" xr:uid="{00000000-0005-0000-0000-00004A000000}"/>
    <cellStyle name="SAPBEXexcBad7" xfId="69" xr:uid="{00000000-0005-0000-0000-00004B000000}"/>
    <cellStyle name="SAPBEXexcBad7 2" xfId="70" xr:uid="{00000000-0005-0000-0000-00004C000000}"/>
    <cellStyle name="SAPBEXexcBad7 3" xfId="71" xr:uid="{00000000-0005-0000-0000-00004D000000}"/>
    <cellStyle name="SAPBEXexcBad8" xfId="72" xr:uid="{00000000-0005-0000-0000-00004E000000}"/>
    <cellStyle name="SAPBEXexcBad8 2" xfId="73" xr:uid="{00000000-0005-0000-0000-00004F000000}"/>
    <cellStyle name="SAPBEXexcBad8 3" xfId="74" xr:uid="{00000000-0005-0000-0000-000050000000}"/>
    <cellStyle name="SAPBEXexcBad9" xfId="75" xr:uid="{00000000-0005-0000-0000-000051000000}"/>
    <cellStyle name="SAPBEXexcBad9 2" xfId="76" xr:uid="{00000000-0005-0000-0000-000052000000}"/>
    <cellStyle name="SAPBEXexcBad9 3" xfId="77" xr:uid="{00000000-0005-0000-0000-000053000000}"/>
    <cellStyle name="SAPBEXexcCritical4" xfId="78" xr:uid="{00000000-0005-0000-0000-000054000000}"/>
    <cellStyle name="SAPBEXexcCritical4 2" xfId="79" xr:uid="{00000000-0005-0000-0000-000055000000}"/>
    <cellStyle name="SAPBEXexcCritical4 3" xfId="80" xr:uid="{00000000-0005-0000-0000-000056000000}"/>
    <cellStyle name="SAPBEXexcCritical5" xfId="81" xr:uid="{00000000-0005-0000-0000-000057000000}"/>
    <cellStyle name="SAPBEXexcCritical5 2" xfId="82" xr:uid="{00000000-0005-0000-0000-000058000000}"/>
    <cellStyle name="SAPBEXexcCritical5 3" xfId="83" xr:uid="{00000000-0005-0000-0000-000059000000}"/>
    <cellStyle name="SAPBEXexcCritical6" xfId="84" xr:uid="{00000000-0005-0000-0000-00005A000000}"/>
    <cellStyle name="SAPBEXexcCritical6 2" xfId="85" xr:uid="{00000000-0005-0000-0000-00005B000000}"/>
    <cellStyle name="SAPBEXexcCritical6 3" xfId="86" xr:uid="{00000000-0005-0000-0000-00005C000000}"/>
    <cellStyle name="SAPBEXexcGood1" xfId="87" xr:uid="{00000000-0005-0000-0000-00005D000000}"/>
    <cellStyle name="SAPBEXexcGood1 2" xfId="88" xr:uid="{00000000-0005-0000-0000-00005E000000}"/>
    <cellStyle name="SAPBEXexcGood1 3" xfId="89" xr:uid="{00000000-0005-0000-0000-00005F000000}"/>
    <cellStyle name="SAPBEXexcGood2" xfId="90" xr:uid="{00000000-0005-0000-0000-000060000000}"/>
    <cellStyle name="SAPBEXexcGood2 2" xfId="91" xr:uid="{00000000-0005-0000-0000-000061000000}"/>
    <cellStyle name="SAPBEXexcGood2 3" xfId="92" xr:uid="{00000000-0005-0000-0000-000062000000}"/>
    <cellStyle name="SAPBEXexcGood3" xfId="93" xr:uid="{00000000-0005-0000-0000-000063000000}"/>
    <cellStyle name="SAPBEXexcGood3 2" xfId="94" xr:uid="{00000000-0005-0000-0000-000064000000}"/>
    <cellStyle name="SAPBEXexcGood3 3" xfId="95" xr:uid="{00000000-0005-0000-0000-000065000000}"/>
    <cellStyle name="SAPBEXfilterDrill" xfId="96" xr:uid="{00000000-0005-0000-0000-000066000000}"/>
    <cellStyle name="SAPBEXfilterDrill 2" xfId="97" xr:uid="{00000000-0005-0000-0000-000067000000}"/>
    <cellStyle name="SAPBEXfilterDrill 3" xfId="98" xr:uid="{00000000-0005-0000-0000-000068000000}"/>
    <cellStyle name="SAPBEXfilterItem" xfId="99" xr:uid="{00000000-0005-0000-0000-000069000000}"/>
    <cellStyle name="SAPBEXfilterText" xfId="100" xr:uid="{00000000-0005-0000-0000-00006A000000}"/>
    <cellStyle name="SAPBEXformats" xfId="101" xr:uid="{00000000-0005-0000-0000-00006B000000}"/>
    <cellStyle name="SAPBEXformats 2" xfId="102" xr:uid="{00000000-0005-0000-0000-00006C000000}"/>
    <cellStyle name="SAPBEXformats 3" xfId="103" xr:uid="{00000000-0005-0000-0000-00006D000000}"/>
    <cellStyle name="SAPBEXheaderItem" xfId="104" xr:uid="{00000000-0005-0000-0000-00006E000000}"/>
    <cellStyle name="SAPBEXheaderItem 2" xfId="105" xr:uid="{00000000-0005-0000-0000-00006F000000}"/>
    <cellStyle name="SAPBEXheaderItem 3" xfId="106" xr:uid="{00000000-0005-0000-0000-000070000000}"/>
    <cellStyle name="SAPBEXheaderText" xfId="107" xr:uid="{00000000-0005-0000-0000-000071000000}"/>
    <cellStyle name="SAPBEXheaderText 2" xfId="108" xr:uid="{00000000-0005-0000-0000-000072000000}"/>
    <cellStyle name="SAPBEXheaderText 3" xfId="109" xr:uid="{00000000-0005-0000-0000-000073000000}"/>
    <cellStyle name="SAPBEXHLevel0" xfId="110" xr:uid="{00000000-0005-0000-0000-000074000000}"/>
    <cellStyle name="SAPBEXHLevel0 2" xfId="111" xr:uid="{00000000-0005-0000-0000-000075000000}"/>
    <cellStyle name="SAPBEXHLevel0 3" xfId="112" xr:uid="{00000000-0005-0000-0000-000076000000}"/>
    <cellStyle name="SAPBEXHLevel0X" xfId="113" xr:uid="{00000000-0005-0000-0000-000077000000}"/>
    <cellStyle name="SAPBEXHLevel1" xfId="114" xr:uid="{00000000-0005-0000-0000-000078000000}"/>
    <cellStyle name="SAPBEXHLevel1 2" xfId="115" xr:uid="{00000000-0005-0000-0000-000079000000}"/>
    <cellStyle name="SAPBEXHLevel1 3" xfId="116" xr:uid="{00000000-0005-0000-0000-00007A000000}"/>
    <cellStyle name="SAPBEXHLevel1X" xfId="117" xr:uid="{00000000-0005-0000-0000-00007B000000}"/>
    <cellStyle name="SAPBEXHLevel2" xfId="118" xr:uid="{00000000-0005-0000-0000-00007C000000}"/>
    <cellStyle name="SAPBEXHLevel2 2" xfId="119" xr:uid="{00000000-0005-0000-0000-00007D000000}"/>
    <cellStyle name="SAPBEXHLevel2 3" xfId="120" xr:uid="{00000000-0005-0000-0000-00007E000000}"/>
    <cellStyle name="SAPBEXHLevel2X" xfId="121" xr:uid="{00000000-0005-0000-0000-00007F000000}"/>
    <cellStyle name="SAPBEXHLevel3" xfId="122" xr:uid="{00000000-0005-0000-0000-000080000000}"/>
    <cellStyle name="SAPBEXHLevel3 2" xfId="123" xr:uid="{00000000-0005-0000-0000-000081000000}"/>
    <cellStyle name="SAPBEXHLevel3 3" xfId="124" xr:uid="{00000000-0005-0000-0000-000082000000}"/>
    <cellStyle name="SAPBEXHLevel3X" xfId="125" xr:uid="{00000000-0005-0000-0000-000083000000}"/>
    <cellStyle name="SAPBEXinputData" xfId="126" xr:uid="{00000000-0005-0000-0000-000084000000}"/>
    <cellStyle name="SAPBEXItemHeader" xfId="127" xr:uid="{00000000-0005-0000-0000-000085000000}"/>
    <cellStyle name="SAPBEXresData" xfId="128" xr:uid="{00000000-0005-0000-0000-000086000000}"/>
    <cellStyle name="SAPBEXresDataEmph" xfId="129" xr:uid="{00000000-0005-0000-0000-000087000000}"/>
    <cellStyle name="SAPBEXresItem" xfId="130" xr:uid="{00000000-0005-0000-0000-000088000000}"/>
    <cellStyle name="SAPBEXresItemX" xfId="131" xr:uid="{00000000-0005-0000-0000-000089000000}"/>
    <cellStyle name="SAPBEXstdData" xfId="132" xr:uid="{00000000-0005-0000-0000-00008A000000}"/>
    <cellStyle name="SAPBEXstdData 2" xfId="133" xr:uid="{00000000-0005-0000-0000-00008B000000}"/>
    <cellStyle name="SAPBEXstdData 3" xfId="134" xr:uid="{00000000-0005-0000-0000-00008C000000}"/>
    <cellStyle name="SAPBEXstdDataEmph" xfId="135" xr:uid="{00000000-0005-0000-0000-00008D000000}"/>
    <cellStyle name="SAPBEXstdItem" xfId="136" xr:uid="{00000000-0005-0000-0000-00008E000000}"/>
    <cellStyle name="SAPBEXstdItem 2" xfId="137" xr:uid="{00000000-0005-0000-0000-00008F000000}"/>
    <cellStyle name="SAPBEXstdItem 3" xfId="138" xr:uid="{00000000-0005-0000-0000-000090000000}"/>
    <cellStyle name="SAPBEXstdItemX" xfId="139" xr:uid="{00000000-0005-0000-0000-000091000000}"/>
    <cellStyle name="SAPBEXtitle" xfId="140" xr:uid="{00000000-0005-0000-0000-000092000000}"/>
    <cellStyle name="SAPBEXunassignedItem" xfId="141" xr:uid="{00000000-0005-0000-0000-000093000000}"/>
    <cellStyle name="SAPBEXunassignedItem 2" xfId="142" xr:uid="{00000000-0005-0000-0000-000094000000}"/>
    <cellStyle name="SAPBEXunassignedItem 3" xfId="143" xr:uid="{00000000-0005-0000-0000-000095000000}"/>
    <cellStyle name="SAPBEXundefined" xfId="144" xr:uid="{00000000-0005-0000-0000-000096000000}"/>
    <cellStyle name="Sheet Title" xfId="145" xr:uid="{00000000-0005-0000-0000-000097000000}"/>
    <cellStyle name="Total 2" xfId="146" xr:uid="{00000000-0005-0000-0000-000098000000}"/>
    <cellStyle name="Warning Text 2" xfId="147" xr:uid="{00000000-0005-0000-0000-000099000000}"/>
  </cellStyles>
  <dxfs count="1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70" formatCode="_-* #,##0_-;\-* #,##0_-;_-* &quot;-&quot;??_-;_-@_-"/>
    </dxf>
    <dxf>
      <numFmt numFmtId="170" formatCode="_-* #,##0_-;\-* #,##0_-;_-* &quot;-&quot;??_-;_-@_-"/>
    </dxf>
    <dxf>
      <numFmt numFmtId="170" formatCode="_-* #,##0_-;\-* #,##0_-;_-* &quot;-&quot;??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minor"/>
      </font>
      <numFmt numFmtId="166" formatCode="_-* #,##0.00_-;\-* #,##0.0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0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minor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minor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ahoma"/>
        <scheme val="minor"/>
      </font>
      <numFmt numFmtId="170" formatCode="_-* #,##0_-;\-* #,##0_-;_-* &quot;-&quot;??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minor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minor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minor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minor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outline val="0"/>
        <shadow val="0"/>
        <u val="none"/>
        <vertAlign val="baseline"/>
        <sz val="11"/>
        <color rgb="FF0070C0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minor"/>
      </font>
      <numFmt numFmtId="170" formatCode="_-* #,##0_-;\-* #,##0_-;_-* &quot;-&quot;??_-;_-@_-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70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minor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4"/>
        <name val="Tahoma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numFmt numFmtId="166" formatCode="_-* #,##0.00_-;\-* #,##0.00_-;_-* &quot;-&quot;??_-;_-@_-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minor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le Style 1" pivot="0" count="0" xr9:uid="{00000000-0011-0000-FFFF-FFFF00000000}"/>
  </tableStyles>
  <colors>
    <mruColors>
      <color rgb="FF0033CC"/>
      <color rgb="FFFFCCCC"/>
      <color rgb="FFFF3399"/>
      <color rgb="FF996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9" Type="http://schemas.openxmlformats.org/officeDocument/2006/relationships/externalLink" Target="externalLinks/externalLink18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3.xml"/><Relationship Id="rId42" Type="http://schemas.openxmlformats.org/officeDocument/2006/relationships/pivotCacheDefinition" Target="pivotCache/pivotCacheDefinition2.xml"/><Relationship Id="rId47" Type="http://schemas.openxmlformats.org/officeDocument/2006/relationships/pivotCacheDefinition" Target="pivotCache/pivotCacheDefinition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8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19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36" Type="http://schemas.openxmlformats.org/officeDocument/2006/relationships/externalLink" Target="externalLinks/externalLink15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0.xml"/><Relationship Id="rId44" Type="http://schemas.openxmlformats.org/officeDocument/2006/relationships/pivotCacheDefinition" Target="pivotCache/pivotCacheDefinition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Relationship Id="rId35" Type="http://schemas.openxmlformats.org/officeDocument/2006/relationships/externalLink" Target="externalLinks/externalLink14.xml"/><Relationship Id="rId43" Type="http://schemas.openxmlformats.org/officeDocument/2006/relationships/pivotCacheDefinition" Target="pivotCache/pivotCacheDefinition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33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17.xml"/><Relationship Id="rId46" Type="http://schemas.openxmlformats.org/officeDocument/2006/relationships/pivotCacheDefinition" Target="pivotCache/pivotCacheDefinition6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Selling Price ($/Ton)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Price!$G$25</c:f>
              <c:strCache>
                <c:ptCount val="1"/>
                <c:pt idx="0">
                  <c:v>มี.ค.-64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Price!$T$3:$T$10</c:f>
              <c:strCache>
                <c:ptCount val="8"/>
                <c:pt idx="0">
                  <c:v>Ethane</c:v>
                </c:pt>
                <c:pt idx="1">
                  <c:v>Propane CP Link</c:v>
                </c:pt>
                <c:pt idx="2">
                  <c:v>Propane PP-Link</c:v>
                </c:pt>
                <c:pt idx="3">
                  <c:v>Avg Propane</c:v>
                </c:pt>
                <c:pt idx="4">
                  <c:v>LPG - P</c:v>
                </c:pt>
                <c:pt idx="5">
                  <c:v>LPG - D</c:v>
                </c:pt>
                <c:pt idx="6">
                  <c:v>NGL</c:v>
                </c:pt>
                <c:pt idx="7">
                  <c:v>Pentane</c:v>
                </c:pt>
              </c:strCache>
            </c:strRef>
          </c:cat>
          <c:val>
            <c:numRef>
              <c:f>Price!$W$3:$W$10</c:f>
              <c:numCache>
                <c:formatCode>0</c:formatCode>
                <c:ptCount val="8"/>
                <c:pt idx="0">
                  <c:v>433.47271036470164</c:v>
                </c:pt>
                <c:pt idx="1">
                  <c:v>675.55614486909644</c:v>
                </c:pt>
                <c:pt idx="2">
                  <c:v>467.20780000000002</c:v>
                </c:pt>
                <c:pt idx="3">
                  <c:v>609.00122851419621</c:v>
                </c:pt>
                <c:pt idx="4">
                  <c:v>630.86746537756903</c:v>
                </c:pt>
                <c:pt idx="5">
                  <c:v>418.59281127110165</c:v>
                </c:pt>
                <c:pt idx="6">
                  <c:v>578.06406251941507</c:v>
                </c:pt>
                <c:pt idx="7">
                  <c:v>493.39670000000001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C-4EA8-9EB3-718DDD66577F}"/>
            </c:ext>
          </c:extLst>
        </c:ser>
        <c:ser>
          <c:idx val="1"/>
          <c:order val="1"/>
          <c:tx>
            <c:strRef>
              <c:f>Price!$H$25</c:f>
              <c:strCache>
                <c:ptCount val="1"/>
                <c:pt idx="0">
                  <c:v>เม.ย.-64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Price!$X$3:$X$10</c:f>
              <c:numCache>
                <c:formatCode>0</c:formatCode>
                <c:ptCount val="8"/>
                <c:pt idx="0">
                  <c:v>498.5860558738612</c:v>
                </c:pt>
                <c:pt idx="1">
                  <c:v>608.85152953630654</c:v>
                </c:pt>
                <c:pt idx="2">
                  <c:v>520.4</c:v>
                </c:pt>
                <c:pt idx="3">
                  <c:v>579.30723329140585</c:v>
                </c:pt>
                <c:pt idx="4">
                  <c:v>525.60176774942533</c:v>
                </c:pt>
                <c:pt idx="5">
                  <c:v>442.47837407906258</c:v>
                </c:pt>
                <c:pt idx="6">
                  <c:v>558.0893579802713</c:v>
                </c:pt>
                <c:pt idx="7">
                  <c:v>471.10709999999995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1-4E8F-8D2D-31EA686DC67D}"/>
            </c:ext>
          </c:extLst>
        </c:ser>
        <c:ser>
          <c:idx val="2"/>
          <c:order val="2"/>
          <c:tx>
            <c:strRef>
              <c:f>Price!$I$25</c:f>
              <c:strCache>
                <c:ptCount val="1"/>
                <c:pt idx="0">
                  <c:v>พ.ค.-64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Price!$Y$3:$Y$10</c:f>
              <c:numCache>
                <c:formatCode>0</c:formatCode>
                <c:ptCount val="8"/>
                <c:pt idx="0">
                  <c:v>497.18655986401052</c:v>
                </c:pt>
                <c:pt idx="1">
                  <c:v>554.84493770371125</c:v>
                </c:pt>
                <c:pt idx="2">
                  <c:v>493.11250000000001</c:v>
                </c:pt>
                <c:pt idx="3">
                  <c:v>542.12053138621729</c:v>
                </c:pt>
                <c:pt idx="4">
                  <c:v>527.97993421401225</c:v>
                </c:pt>
                <c:pt idx="5">
                  <c:v>440.71164807778246</c:v>
                </c:pt>
                <c:pt idx="6">
                  <c:v>587.95363107809203</c:v>
                </c:pt>
                <c:pt idx="7">
                  <c:v>502.15129999999999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1-4E8F-8D2D-31EA686DC6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13526984"/>
        <c:axId val="1113527312"/>
      </c:barChart>
      <c:catAx>
        <c:axId val="111352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27312"/>
        <c:crosses val="autoZero"/>
        <c:auto val="1"/>
        <c:lblAlgn val="ctr"/>
        <c:lblOffset val="100"/>
        <c:noMultiLvlLbl val="0"/>
      </c:catAx>
      <c:valAx>
        <c:axId val="11135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26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[10]Production!$E$63</c:f>
              <c:strCache>
                <c:ptCount val="1"/>
                <c:pt idx="0">
                  <c:v>242189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B4-46C0-BAE6-2E55E8436326}"/>
              </c:ext>
            </c:extLst>
          </c:dPt>
          <c:dPt>
            <c:idx val="1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B4-46C0-BAE6-2E55E8436326}"/>
              </c:ext>
            </c:extLst>
          </c:dPt>
          <c:dPt>
            <c:idx val="2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B4-46C0-BAE6-2E55E8436326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B4-46C0-BAE6-2E55E8436326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B4-46C0-BAE6-2E55E8436326}"/>
              </c:ext>
            </c:extLst>
          </c:dPt>
          <c:cat>
            <c:strRef>
              <c:f>[10]Production!$C$64:$C$68</c:f>
              <c:strCache>
                <c:ptCount val="5"/>
                <c:pt idx="0">
                  <c:v>C2</c:v>
                </c:pt>
                <c:pt idx="1">
                  <c:v>C3</c:v>
                </c:pt>
                <c:pt idx="2">
                  <c:v>LPG</c:v>
                </c:pt>
                <c:pt idx="3">
                  <c:v>NGL</c:v>
                </c:pt>
                <c:pt idx="4">
                  <c:v>Pentane</c:v>
                </c:pt>
              </c:strCache>
            </c:strRef>
          </c:cat>
          <c:val>
            <c:numRef>
              <c:f>[10]Production!$E$64:$E$68</c:f>
              <c:numCache>
                <c:formatCode>General</c:formatCode>
                <c:ptCount val="5"/>
                <c:pt idx="0">
                  <c:v>173.346574</c:v>
                </c:pt>
                <c:pt idx="1">
                  <c:v>76.082113000000007</c:v>
                </c:pt>
                <c:pt idx="2">
                  <c:v>154.627509425</c:v>
                </c:pt>
                <c:pt idx="3">
                  <c:v>36.39350486</c:v>
                </c:pt>
                <c:pt idx="4">
                  <c:v>4.1004300000000002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B4-46C0-BAE6-2E55E8436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BrowalliaUPC" panose="020B0604020202020204" pitchFamily="34" charset="-34"/>
              <a:ea typeface="+mn-ea"/>
              <a:cs typeface="BrowalliaUPC" panose="020B0604020202020204" pitchFamily="34" charset="-3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BrowalliaUPC" panose="020B0604020202020204" pitchFamily="34" charset="-34"/>
          <a:cs typeface="BrowalliaUPC" panose="020B0604020202020204" pitchFamily="34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Revenue/EBIT Jan21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Sheet2!$D$1:$E$1</c:f>
              <c:strCache>
                <c:ptCount val="2"/>
                <c:pt idx="0">
                  <c:v>Revenue (MBaht)</c:v>
                </c:pt>
                <c:pt idx="1">
                  <c:v>EBIT (MBaht)</c:v>
                </c:pt>
              </c:strCache>
            </c:strRef>
          </c:cat>
          <c:val>
            <c:numRef>
              <c:f>Sheet2!$D$2:$E$2</c:f>
              <c:numCache>
                <c:formatCode>_-* #,##0_-;\-* #,##0_-;_-* "-"??_-;_-@_-</c:formatCode>
                <c:ptCount val="2"/>
                <c:pt idx="0">
                  <c:v>8280.5775275268861</c:v>
                </c:pt>
                <c:pt idx="1">
                  <c:v>1.4670966900568864E-3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8-44E5-A7FC-947A2E8150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59669168"/>
        <c:axId val="659669824"/>
      </c:barChart>
      <c:catAx>
        <c:axId val="6596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69824"/>
        <c:crosses val="autoZero"/>
        <c:auto val="1"/>
        <c:lblAlgn val="ctr"/>
        <c:lblOffset val="100"/>
        <c:noMultiLvlLbl val="0"/>
      </c:catAx>
      <c:valAx>
        <c:axId val="6596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6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[Actual 2021 - R2.xlsx]LPG Domestic!PivotTable2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Delivery</a:t>
            </a:r>
            <a:r>
              <a:rPr lang="en-US" sz="1800" b="1" baseline="0">
                <a:solidFill>
                  <a:schemeClr val="tx1"/>
                </a:solidFill>
              </a:rPr>
              <a:t> in Jan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'LPG Domestic'!$B$55</c:f>
              <c:strCache>
                <c:ptCount val="1"/>
                <c:pt idx="0">
                  <c:v>Sum of Jan-64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Domestic'!$B$56:$B$65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123451.55799999999</c:v>
                </c:pt>
                <c:pt idx="4">
                  <c:v>1544.4010000000001</c:v>
                </c:pt>
                <c:pt idx="5">
                  <c:v>25189.797999999999</c:v>
                </c:pt>
                <c:pt idx="6">
                  <c:v>0</c:v>
                </c:pt>
                <c:pt idx="7">
                  <c:v>15092.941000000001</c:v>
                </c:pt>
                <c:pt idx="8">
                  <c:v>1882.905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6-4AFC-B785-2AC9ED9FBA38}"/>
            </c:ext>
          </c:extLst>
        </c:ser>
        <c:ser>
          <c:idx val="1"/>
          <c:order val="1"/>
          <c:tx>
            <c:strRef>
              <c:f>'LPG Domestic'!$C$55</c:f>
              <c:strCache>
                <c:ptCount val="1"/>
                <c:pt idx="0">
                  <c:v>Sum of Feb-64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Domestic'!$C$56:$C$65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93462.387000000002</c:v>
                </c:pt>
                <c:pt idx="4">
                  <c:v>2710.7629999999999</c:v>
                </c:pt>
                <c:pt idx="5">
                  <c:v>24790.367999999999</c:v>
                </c:pt>
                <c:pt idx="6">
                  <c:v>0</c:v>
                </c:pt>
                <c:pt idx="7">
                  <c:v>14616.909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6-4AFC-B785-2AC9ED9FBA38}"/>
            </c:ext>
          </c:extLst>
        </c:ser>
        <c:ser>
          <c:idx val="2"/>
          <c:order val="2"/>
          <c:tx>
            <c:strRef>
              <c:f>'LPG Domestic'!$D$55</c:f>
              <c:strCache>
                <c:ptCount val="1"/>
                <c:pt idx="0">
                  <c:v>Sum of Mar-64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Domestic'!$D$56:$D$65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115840.262</c:v>
                </c:pt>
                <c:pt idx="4">
                  <c:v>4262.0950000000003</c:v>
                </c:pt>
                <c:pt idx="5">
                  <c:v>25222.252</c:v>
                </c:pt>
                <c:pt idx="6">
                  <c:v>0</c:v>
                </c:pt>
                <c:pt idx="7">
                  <c:v>16650.073</c:v>
                </c:pt>
                <c:pt idx="8">
                  <c:v>10282.893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F6-4AFC-B785-2AC9ED9FBA38}"/>
            </c:ext>
          </c:extLst>
        </c:ser>
        <c:ser>
          <c:idx val="3"/>
          <c:order val="3"/>
          <c:tx>
            <c:strRef>
              <c:f>'LPG Domestic'!$E$55</c:f>
              <c:strCache>
                <c:ptCount val="1"/>
                <c:pt idx="0">
                  <c:v>Sum of Apr-64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Domestic'!$E$56:$E$65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145855.42811000001</c:v>
                </c:pt>
                <c:pt idx="4">
                  <c:v>4200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F6-4AFC-B785-2AC9ED9FBA38}"/>
            </c:ext>
          </c:extLst>
        </c:ser>
        <c:ser>
          <c:idx val="4"/>
          <c:order val="4"/>
          <c:tx>
            <c:strRef>
              <c:f>'LPG Domestic'!$F$55</c:f>
              <c:strCache>
                <c:ptCount val="1"/>
                <c:pt idx="0">
                  <c:v>Sum of May-64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Domestic'!$F$56:$F$65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149318.66387000002</c:v>
                </c:pt>
                <c:pt idx="4">
                  <c:v>4200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F6-4AFC-B785-2AC9ED9FBA38}"/>
            </c:ext>
          </c:extLst>
        </c:ser>
        <c:ser>
          <c:idx val="5"/>
          <c:order val="5"/>
          <c:tx>
            <c:strRef>
              <c:f>'LPG Domestic'!$G$55</c:f>
              <c:strCache>
                <c:ptCount val="1"/>
                <c:pt idx="0">
                  <c:v>Sum of Jun-64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Domestic'!$G$56:$G$65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145403.35404999999</c:v>
                </c:pt>
                <c:pt idx="4">
                  <c:v>4200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F6-4AFC-B785-2AC9ED9FBA38}"/>
            </c:ext>
          </c:extLst>
        </c:ser>
        <c:ser>
          <c:idx val="6"/>
          <c:order val="6"/>
          <c:tx>
            <c:strRef>
              <c:f>'LPG Domestic'!$H$55</c:f>
              <c:strCache>
                <c:ptCount val="1"/>
                <c:pt idx="0">
                  <c:v>Sum of Jul-64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Domestic'!$H$56:$H$65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150446.5974</c:v>
                </c:pt>
                <c:pt idx="4">
                  <c:v>4200</c:v>
                </c:pt>
                <c:pt idx="5">
                  <c:v>27000</c:v>
                </c:pt>
                <c:pt idx="6">
                  <c:v>0</c:v>
                </c:pt>
                <c:pt idx="7">
                  <c:v>7633.1829100000023</c:v>
                </c:pt>
                <c:pt idx="8">
                  <c:v>10880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F6-4AFC-B785-2AC9ED9FBA38}"/>
            </c:ext>
          </c:extLst>
        </c:ser>
        <c:ser>
          <c:idx val="7"/>
          <c:order val="7"/>
          <c:tx>
            <c:strRef>
              <c:f>'LPG Domestic'!$I$55</c:f>
              <c:strCache>
                <c:ptCount val="1"/>
                <c:pt idx="0">
                  <c:v>Sum of Aug-64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Domestic'!$I$56:$I$65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151182.64504999999</c:v>
                </c:pt>
                <c:pt idx="4">
                  <c:v>4200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F6-4AFC-B785-2AC9ED9FBA38}"/>
            </c:ext>
          </c:extLst>
        </c:ser>
        <c:ser>
          <c:idx val="8"/>
          <c:order val="8"/>
          <c:tx>
            <c:strRef>
              <c:f>'LPG Domestic'!$J$55</c:f>
              <c:strCache>
                <c:ptCount val="1"/>
                <c:pt idx="0">
                  <c:v>Sum of Sep-64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Domestic'!$J$56:$J$65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149497.45454000001</c:v>
                </c:pt>
                <c:pt idx="4">
                  <c:v>4200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F6-4AFC-B785-2AC9ED9FBA38}"/>
            </c:ext>
          </c:extLst>
        </c:ser>
        <c:ser>
          <c:idx val="9"/>
          <c:order val="9"/>
          <c:tx>
            <c:strRef>
              <c:f>'LPG Domestic'!$K$55</c:f>
              <c:strCache>
                <c:ptCount val="1"/>
                <c:pt idx="0">
                  <c:v>Sum of Oct-64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096A-41AC-B14C-3F75A11CC6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096A-41AC-B14C-3F75A11CC6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096A-41AC-B14C-3F75A11CC6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096A-41AC-B14C-3F75A11CC6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096A-41AC-B14C-3F75A11CC6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096A-41AC-B14C-3F75A11CC6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096A-41AC-B14C-3F75A11CC6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096A-41AC-B14C-3F75A11CC6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096A-41AC-B14C-3F75A11CC60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'LPG Domestic'!$A$56:$A$65</c:f>
              <c:strCache>
                <c:ptCount val="9"/>
                <c:pt idx="0">
                  <c:v>BCP</c:v>
                </c:pt>
                <c:pt idx="1">
                  <c:v>Esso</c:v>
                </c:pt>
                <c:pt idx="2">
                  <c:v>IRPC</c:v>
                </c:pt>
                <c:pt idx="3">
                  <c:v>OR</c:v>
                </c:pt>
                <c:pt idx="4">
                  <c:v>PAP</c:v>
                </c:pt>
                <c:pt idx="5">
                  <c:v>SGP</c:v>
                </c:pt>
                <c:pt idx="6">
                  <c:v>TOP</c:v>
                </c:pt>
                <c:pt idx="7">
                  <c:v>UPG</c:v>
                </c:pt>
                <c:pt idx="8">
                  <c:v>WP</c:v>
                </c:pt>
              </c:strCache>
            </c:strRef>
          </c:cat>
          <c:val>
            <c:numRef>
              <c:f>'LPG Domestic'!$K$56:$K$65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150507.17173</c:v>
                </c:pt>
                <c:pt idx="4">
                  <c:v>4200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F6-4AFC-B785-2AC9ED9FB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[Actual 2021 - R2.xlsx]LPG Domestic!PivotTable3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Revenue (Baht)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0"/>
              <c:y val="-8.45107569101032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4.491858241669755E-3"/>
              <c:y val="-0.3233244900991149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0"/>
              <c:y val="-3.60778487594711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'LPG Domestic'!$P$3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'LPG Domestic'!$O$4:$O$9</c:f>
              <c:strCache>
                <c:ptCount val="5"/>
                <c:pt idx="0">
                  <c:v>BCP</c:v>
                </c:pt>
                <c:pt idx="1">
                  <c:v>IRPC</c:v>
                </c:pt>
                <c:pt idx="2">
                  <c:v>OR</c:v>
                </c:pt>
                <c:pt idx="3">
                  <c:v>SGP</c:v>
                </c:pt>
                <c:pt idx="4">
                  <c:v>UPG</c:v>
                </c:pt>
              </c:strCache>
            </c:strRef>
          </c:cat>
          <c:val>
            <c:numRef>
              <c:f>'LPG Domestic'!$P$4:$P$9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1714.0378712432</c:v>
                </c:pt>
                <c:pt idx="3">
                  <c:v>349.27670110000003</c:v>
                </c:pt>
                <c:pt idx="4">
                  <c:v>209.27570132000002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F-4DDA-AF2A-64E41EC21A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95330752"/>
        <c:axId val="795324192"/>
      </c:barChart>
      <c:catAx>
        <c:axId val="7953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324192"/>
        <c:crosses val="autoZero"/>
        <c:auto val="1"/>
        <c:lblAlgn val="ctr"/>
        <c:lblOffset val="100"/>
        <c:noMultiLvlLbl val="0"/>
      </c:catAx>
      <c:valAx>
        <c:axId val="7953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33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[Actual 2021 - R2.xlsx]LPG Domestic!PivotTable4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Margin (Baht)</a:t>
            </a:r>
          </a:p>
        </c:rich>
      </c:tx>
      <c:layout>
        <c:manualLayout>
          <c:xMode val="edge"/>
          <c:yMode val="edge"/>
          <c:x val="0.44088577163148718"/>
          <c:y val="3.6120128217730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4981275175472608E-3"/>
              <c:y val="7.01754181879095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'LPG Domestic'!$P$55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3D12-43BE-B5D0-98D162FF6420}"/>
              </c:ext>
            </c:extLst>
          </c:dPt>
          <c:dLbls>
            <c:dLbl>
              <c:idx val="3"/>
              <c:layout>
                <c:manualLayout>
                  <c:x val="-1.4981275175472608E-3"/>
                  <c:y val="7.01754181879095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12-43BE-B5D0-98D162FF64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'LPG Domestic'!$O$56:$O$60</c:f>
              <c:strCache>
                <c:ptCount val="4"/>
                <c:pt idx="0">
                  <c:v>BCP</c:v>
                </c:pt>
                <c:pt idx="1">
                  <c:v>OR</c:v>
                </c:pt>
                <c:pt idx="2">
                  <c:v>SGP</c:v>
                </c:pt>
                <c:pt idx="3">
                  <c:v>UPG</c:v>
                </c:pt>
              </c:strCache>
            </c:strRef>
          </c:cat>
          <c:val>
            <c:numRef>
              <c:f>'LPG Domestic'!$P$56:$P$60</c:f>
              <c:numCache>
                <c:formatCode>_-* #,##0_-;\-* #,##0_-;_-* "-"??_-;_-@_-</c:formatCode>
                <c:ptCount val="4"/>
                <c:pt idx="0">
                  <c:v>0</c:v>
                </c:pt>
                <c:pt idx="1">
                  <c:v>-5.4058990310287056</c:v>
                </c:pt>
                <c:pt idx="2">
                  <c:v>-412.20848993975039</c:v>
                </c:pt>
                <c:pt idx="3">
                  <c:v>-246.98246561404528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12-43BE-B5D0-98D162FF64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2877080"/>
        <c:axId val="732875768"/>
      </c:barChart>
      <c:catAx>
        <c:axId val="73287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875768"/>
        <c:crosses val="autoZero"/>
        <c:auto val="1"/>
        <c:lblAlgn val="ctr"/>
        <c:lblOffset val="100"/>
        <c:noMultiLvlLbl val="0"/>
      </c:catAx>
      <c:valAx>
        <c:axId val="73287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87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Margin</a:t>
            </a:r>
            <a:r>
              <a:rPr lang="en-US" sz="1800" b="1" baseline="0">
                <a:solidFill>
                  <a:schemeClr val="tx1"/>
                </a:solidFill>
              </a:rPr>
              <a:t> Unit ($/Ton)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'LPG Domestic'!$A$4:$A$9</c:f>
              <c:strCache>
                <c:ptCount val="6"/>
                <c:pt idx="0">
                  <c:v>Ethane</c:v>
                </c:pt>
                <c:pt idx="1">
                  <c:v>LPG - D</c:v>
                </c:pt>
                <c:pt idx="2">
                  <c:v>LPG - P</c:v>
                </c:pt>
                <c:pt idx="3">
                  <c:v>NGL</c:v>
                </c:pt>
                <c:pt idx="4">
                  <c:v>Pentane</c:v>
                </c:pt>
                <c:pt idx="5">
                  <c:v>Propane CP Link</c:v>
                </c:pt>
              </c:strCache>
            </c:strRef>
          </c:cat>
          <c:val>
            <c:numRef>
              <c:f>'LPG Domestic'!$B$4:$B$9</c:f>
              <c:numCache>
                <c:formatCode>0</c:formatCode>
                <c:ptCount val="6"/>
                <c:pt idx="0">
                  <c:v>423.0602561447181</c:v>
                </c:pt>
                <c:pt idx="1">
                  <c:v>420.20844344378594</c:v>
                </c:pt>
                <c:pt idx="2">
                  <c:v>629.84613026104864</c:v>
                </c:pt>
                <c:pt idx="3">
                  <c:v>498.54906993638735</c:v>
                </c:pt>
                <c:pt idx="4">
                  <c:v>413.28129999999999</c:v>
                </c:pt>
                <c:pt idx="5">
                  <c:v>652.47821322560071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C-46BE-9FCE-3DD353E79793}"/>
            </c:ext>
          </c:extLst>
        </c:ser>
        <c:ser>
          <c:idx val="1"/>
          <c:order val="1"/>
          <c:tx>
            <c:v>Cost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'LPG Domestic'!$B$15:$B$20</c:f>
              <c:numCache>
                <c:formatCode>0</c:formatCode>
                <c:ptCount val="6"/>
                <c:pt idx="0">
                  <c:v>380.88580957265947</c:v>
                </c:pt>
                <c:pt idx="1">
                  <c:v>409.12177422070044</c:v>
                </c:pt>
                <c:pt idx="2">
                  <c:v>403.00358647838164</c:v>
                </c:pt>
                <c:pt idx="3">
                  <c:v>365.16977460686041</c:v>
                </c:pt>
                <c:pt idx="4">
                  <c:v>366.244665644468</c:v>
                </c:pt>
                <c:pt idx="5">
                  <c:v>405.35407010620753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FC-46BE-9FCE-3DD353E797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7667184"/>
        <c:axId val="557664888"/>
      </c:barChart>
      <c:catAx>
        <c:axId val="5576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64888"/>
        <c:crosses val="autoZero"/>
        <c:auto val="1"/>
        <c:lblAlgn val="ctr"/>
        <c:lblOffset val="100"/>
        <c:noMultiLvlLbl val="0"/>
      </c:catAx>
      <c:valAx>
        <c:axId val="55766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6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259651294120228E-2"/>
          <c:y val="0.10391075619174828"/>
          <c:w val="0.88331446398591307"/>
          <c:h val="0.67561680622690745"/>
        </c:manualLayout>
      </c:layout>
      <c:barChart>
        <c:barDir val="col"/>
        <c:grouping val="clustered"/>
        <c:varyColors val="0"/>
        <c:ser>
          <c:idx val="3"/>
          <c:order val="1"/>
          <c:tx>
            <c:strRef>
              <c:f>'Graph (Full Cost)'!$B$5</c:f>
              <c:strCache>
                <c:ptCount val="1"/>
                <c:pt idx="0">
                  <c:v>Actual/Rolling Monthly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0B05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'Graph (Full Cost)'!$E$5:$P$5</c:f>
              <c:numCache>
                <c:formatCode>_-* #,##0_-;\-* #,##0_-;_-* "-"??_-;_-@_-</c:formatCode>
                <c:ptCount val="12"/>
                <c:pt idx="0">
                  <c:v>8280.5775275268861</c:v>
                </c:pt>
                <c:pt idx="1">
                  <c:v>8348.2228042471197</c:v>
                </c:pt>
                <c:pt idx="2">
                  <c:v>9628.8340678821987</c:v>
                </c:pt>
                <c:pt idx="3">
                  <c:v>8397.9028797596511</c:v>
                </c:pt>
                <c:pt idx="4">
                  <c:v>9878.4728499271077</c:v>
                </c:pt>
                <c:pt idx="5">
                  <c:v>9802.065687285356</c:v>
                </c:pt>
                <c:pt idx="6">
                  <c:v>9765.638761499149</c:v>
                </c:pt>
                <c:pt idx="7">
                  <c:v>8901.5699260154033</c:v>
                </c:pt>
                <c:pt idx="8">
                  <c:v>8953.0925114837646</c:v>
                </c:pt>
                <c:pt idx="9">
                  <c:v>8161.5493500912926</c:v>
                </c:pt>
                <c:pt idx="10">
                  <c:v>8474.1438848275302</c:v>
                </c:pt>
                <c:pt idx="11">
                  <c:v>9368.6920771857403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C-4175-9FF0-1B3A3E893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overlap val="100"/>
        <c:axId val="425669720"/>
        <c:axId val="425670112"/>
      </c:barChart>
      <c:lineChart>
        <c:grouping val="standard"/>
        <c:varyColors val="0"/>
        <c:ser>
          <c:idx val="2"/>
          <c:order val="0"/>
          <c:tx>
            <c:strRef>
              <c:f>'Graph (Full Cost)'!$B$7</c:f>
              <c:strCache>
                <c:ptCount val="1"/>
                <c:pt idx="0">
                  <c:v>Acc Bz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ysDash"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'Graph (Full Cost)'!$E$2:$P$2</c:f>
              <c:numCache>
                <c:formatCode>mmm\-yy</c:formatCode>
                <c:ptCount val="12"/>
                <c:pt idx="0">
                  <c:v>23377</c:v>
                </c:pt>
                <c:pt idx="1">
                  <c:v>23408</c:v>
                </c:pt>
                <c:pt idx="2">
                  <c:v>23437</c:v>
                </c:pt>
                <c:pt idx="3">
                  <c:v>23468</c:v>
                </c:pt>
                <c:pt idx="4">
                  <c:v>23498</c:v>
                </c:pt>
                <c:pt idx="5">
                  <c:v>23529</c:v>
                </c:pt>
                <c:pt idx="6">
                  <c:v>23559</c:v>
                </c:pt>
                <c:pt idx="7">
                  <c:v>23590</c:v>
                </c:pt>
                <c:pt idx="8">
                  <c:v>23621</c:v>
                </c:pt>
                <c:pt idx="9">
                  <c:v>23651</c:v>
                </c:pt>
                <c:pt idx="10">
                  <c:v>23682</c:v>
                </c:pt>
                <c:pt idx="11">
                  <c:v>23712</c:v>
                </c:pt>
              </c:numCache>
            </c:numRef>
          </c:cat>
          <c:val>
            <c:numRef>
              <c:f>'Graph (Full Cost)'!$E$7:$P$7</c:f>
              <c:numCache>
                <c:formatCode>_-* #,##0_-;\-* #,##0_-;_-* "-"??_-;_-@_-</c:formatCode>
                <c:ptCount val="12"/>
                <c:pt idx="0">
                  <c:v>8001.6722447686234</c:v>
                </c:pt>
                <c:pt idx="1">
                  <c:v>15509.658334419881</c:v>
                </c:pt>
                <c:pt idx="2">
                  <c:v>23472.619453905401</c:v>
                </c:pt>
                <c:pt idx="3">
                  <c:v>31260.265476125722</c:v>
                </c:pt>
                <c:pt idx="4">
                  <c:v>39177.406637988046</c:v>
                </c:pt>
                <c:pt idx="5">
                  <c:v>47016.963165459878</c:v>
                </c:pt>
                <c:pt idx="6">
                  <c:v>53708.719865147286</c:v>
                </c:pt>
                <c:pt idx="7">
                  <c:v>61723.596266761575</c:v>
                </c:pt>
                <c:pt idx="8">
                  <c:v>69273.869258658713</c:v>
                </c:pt>
                <c:pt idx="9">
                  <c:v>75916.423698344399</c:v>
                </c:pt>
                <c:pt idx="10">
                  <c:v>83521.837883705375</c:v>
                </c:pt>
                <c:pt idx="11">
                  <c:v>91544.997217041644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2C-4175-9FF0-1B3A3E893C2C}"/>
            </c:ext>
          </c:extLst>
        </c:ser>
        <c:ser>
          <c:idx val="1"/>
          <c:order val="2"/>
          <c:tx>
            <c:strRef>
              <c:f>'Graph (Full Cost)'!$B$9</c:f>
              <c:strCache>
                <c:ptCount val="1"/>
                <c:pt idx="0">
                  <c:v>Acc Act + Rolling</c:v>
                </c:pt>
              </c:strCache>
            </c:strRef>
          </c:tx>
          <c:spPr>
            <a:ln>
              <a:solidFill>
                <a:srgbClr val="FF3399"/>
              </a:solidFill>
            </a:ln>
          </c:spPr>
          <c:marker>
            <c:symbol val="square"/>
            <c:size val="3"/>
            <c:spPr>
              <a:solidFill>
                <a:srgbClr val="FF3399"/>
              </a:solidFill>
              <a:ln>
                <a:solidFill>
                  <a:srgbClr val="FF3399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FF3399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'Graph (Full Cost)'!$E$9:$P$9</c:f>
              <c:numCache>
                <c:formatCode>_-* #,##0_-;\-* #,##0_-;_-* "-"??_-;_-@_-</c:formatCode>
                <c:ptCount val="12"/>
                <c:pt idx="0">
                  <c:v>8280.5775275268861</c:v>
                </c:pt>
                <c:pt idx="1">
                  <c:v>16628.800331774008</c:v>
                </c:pt>
                <c:pt idx="2">
                  <c:v>26257.634399656206</c:v>
                </c:pt>
                <c:pt idx="3">
                  <c:v>34655.537279415861</c:v>
                </c:pt>
                <c:pt idx="4">
                  <c:v>44534.010129342969</c:v>
                </c:pt>
                <c:pt idx="5">
                  <c:v>54336.075816628327</c:v>
                </c:pt>
                <c:pt idx="6">
                  <c:v>64101.714578127474</c:v>
                </c:pt>
                <c:pt idx="7">
                  <c:v>73003.284504142881</c:v>
                </c:pt>
                <c:pt idx="8">
                  <c:v>81956.37701562664</c:v>
                </c:pt>
                <c:pt idx="9">
                  <c:v>90117.926365717925</c:v>
                </c:pt>
                <c:pt idx="10">
                  <c:v>98592.070250545454</c:v>
                </c:pt>
                <c:pt idx="11">
                  <c:v>107960.76232773119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22C-4175-9FF0-1B3A3E893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669720"/>
        <c:axId val="425670112"/>
      </c:lineChart>
      <c:catAx>
        <c:axId val="42566972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425670112"/>
        <c:crosses val="autoZero"/>
        <c:auto val="1"/>
        <c:lblAlgn val="ctr"/>
        <c:lblOffset val="100"/>
        <c:noMultiLvlLbl val="1"/>
      </c:catAx>
      <c:valAx>
        <c:axId val="425670112"/>
        <c:scaling>
          <c:orientation val="minMax"/>
          <c:min val="2000"/>
        </c:scaling>
        <c:delete val="0"/>
        <c:axPos val="l"/>
        <c:numFmt formatCode="#,##0" sourceLinked="0"/>
        <c:majorTickMark val="out"/>
        <c:minorTickMark val="none"/>
        <c:tickLblPos val="nextTo"/>
        <c:crossAx val="425669720"/>
        <c:crosses val="autoZero"/>
        <c:crossBetween val="between"/>
        <c:majorUnit val="10000"/>
      </c:valAx>
      <c:spPr>
        <a:noFill/>
      </c:spPr>
    </c:plotArea>
    <c:legend>
      <c:legendPos val="t"/>
      <c:layout>
        <c:manualLayout>
          <c:xMode val="edge"/>
          <c:yMode val="edge"/>
          <c:x val="0.28727309649957877"/>
          <c:y val="0.93955334013304559"/>
          <c:w val="0.449566005931679"/>
          <c:h val="6.0446639851465783E-2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800">
          <a:latin typeface="BrowalliaUPC" panose="020B0604020202020204" pitchFamily="34" charset="-34"/>
          <a:cs typeface="BrowalliaUPC" panose="020B0604020202020204" pitchFamily="34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259651294120228E-2"/>
          <c:y val="0.10391075619174828"/>
          <c:w val="0.88331446398591307"/>
          <c:h val="0.67561680622690745"/>
        </c:manualLayout>
      </c:layout>
      <c:barChart>
        <c:barDir val="col"/>
        <c:grouping val="clustered"/>
        <c:varyColors val="0"/>
        <c:ser>
          <c:idx val="3"/>
          <c:order val="1"/>
          <c:tx>
            <c:strRef>
              <c:f>'Graph (Full Cost)'!$B$83</c:f>
              <c:strCache>
                <c:ptCount val="1"/>
                <c:pt idx="0">
                  <c:v>Actual/Rolling Monthly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0B05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'Graph (Full Cost)'!$E$83:$P$83</c:f>
              <c:numCache>
                <c:formatCode>_-* #,##0_-;\-* #,##0_-;_-* "-"??_-;_-@_-</c:formatCode>
                <c:ptCount val="12"/>
                <c:pt idx="0">
                  <c:v>1467.0966900568865</c:v>
                </c:pt>
                <c:pt idx="1">
                  <c:v>1665.3346210171212</c:v>
                </c:pt>
                <c:pt idx="2">
                  <c:v>1596.7627432821973</c:v>
                </c:pt>
                <c:pt idx="3">
                  <c:v>1559.0284878096518</c:v>
                </c:pt>
                <c:pt idx="4">
                  <c:v>2326.2370470071037</c:v>
                </c:pt>
                <c:pt idx="5">
                  <c:v>1901.6013247963901</c:v>
                </c:pt>
                <c:pt idx="6">
                  <c:v>1057.0451043548846</c:v>
                </c:pt>
                <c:pt idx="7">
                  <c:v>1708.989688677003</c:v>
                </c:pt>
                <c:pt idx="8">
                  <c:v>1614.0151891159239</c:v>
                </c:pt>
                <c:pt idx="9">
                  <c:v>1202.3661404409841</c:v>
                </c:pt>
                <c:pt idx="10">
                  <c:v>1487.4066585575574</c:v>
                </c:pt>
                <c:pt idx="11">
                  <c:v>1460.4818791670714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D-4E64-9F3F-795B3BBD1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overlap val="100"/>
        <c:axId val="425669720"/>
        <c:axId val="425670112"/>
      </c:barChart>
      <c:lineChart>
        <c:grouping val="standard"/>
        <c:varyColors val="0"/>
        <c:ser>
          <c:idx val="2"/>
          <c:order val="0"/>
          <c:tx>
            <c:strRef>
              <c:f>'Graph (Full Cost)'!$B$85</c:f>
              <c:strCache>
                <c:ptCount val="1"/>
                <c:pt idx="0">
                  <c:v>Acc Bz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  <a:prstDash val="sysDash"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'Graph (Full Cost)'!$E$2:$P$2</c:f>
              <c:numCache>
                <c:formatCode>mmm\-yy</c:formatCode>
                <c:ptCount val="12"/>
                <c:pt idx="0">
                  <c:v>23377</c:v>
                </c:pt>
                <c:pt idx="1">
                  <c:v>23408</c:v>
                </c:pt>
                <c:pt idx="2">
                  <c:v>23437</c:v>
                </c:pt>
                <c:pt idx="3">
                  <c:v>23468</c:v>
                </c:pt>
                <c:pt idx="4">
                  <c:v>23498</c:v>
                </c:pt>
                <c:pt idx="5">
                  <c:v>23529</c:v>
                </c:pt>
                <c:pt idx="6">
                  <c:v>23559</c:v>
                </c:pt>
                <c:pt idx="7">
                  <c:v>23590</c:v>
                </c:pt>
                <c:pt idx="8">
                  <c:v>23621</c:v>
                </c:pt>
                <c:pt idx="9">
                  <c:v>23651</c:v>
                </c:pt>
                <c:pt idx="10">
                  <c:v>23682</c:v>
                </c:pt>
                <c:pt idx="11">
                  <c:v>23712</c:v>
                </c:pt>
              </c:numCache>
            </c:numRef>
          </c:cat>
          <c:val>
            <c:numRef>
              <c:f>'Graph (Full Cost)'!$E$85:$P$85</c:f>
              <c:numCache>
                <c:formatCode>_-* #,##0_-;\-* #,##0_-;_-* "-"??_-;_-@_-</c:formatCode>
                <c:ptCount val="12"/>
                <c:pt idx="0">
                  <c:v>71.220467852867941</c:v>
                </c:pt>
                <c:pt idx="1">
                  <c:v>-33.05133849516433</c:v>
                </c:pt>
                <c:pt idx="2">
                  <c:v>142.47061006395245</c:v>
                </c:pt>
                <c:pt idx="3">
                  <c:v>289.2284135158971</c:v>
                </c:pt>
                <c:pt idx="4">
                  <c:v>473.93254689688291</c:v>
                </c:pt>
                <c:pt idx="5">
                  <c:v>668.96119009407334</c:v>
                </c:pt>
                <c:pt idx="6">
                  <c:v>727.6094813762229</c:v>
                </c:pt>
                <c:pt idx="7">
                  <c:v>991.40617468782125</c:v>
                </c:pt>
                <c:pt idx="8">
                  <c:v>1075.9557426860624</c:v>
                </c:pt>
                <c:pt idx="9">
                  <c:v>1200.2635319039791</c:v>
                </c:pt>
                <c:pt idx="10">
                  <c:v>1542.9309390420865</c:v>
                </c:pt>
                <c:pt idx="11">
                  <c:v>1879.4895941404866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D-4E64-9F3F-795B3BBD1E2C}"/>
            </c:ext>
          </c:extLst>
        </c:ser>
        <c:ser>
          <c:idx val="1"/>
          <c:order val="2"/>
          <c:tx>
            <c:strRef>
              <c:f>'Graph (Full Cost)'!$B$87</c:f>
              <c:strCache>
                <c:ptCount val="1"/>
                <c:pt idx="0">
                  <c:v>Acc Act + Rolling</c:v>
                </c:pt>
              </c:strCache>
            </c:strRef>
          </c:tx>
          <c:spPr>
            <a:ln>
              <a:solidFill>
                <a:srgbClr val="FF3399"/>
              </a:solidFill>
            </a:ln>
          </c:spPr>
          <c:marker>
            <c:symbol val="square"/>
            <c:size val="4"/>
            <c:spPr>
              <a:solidFill>
                <a:srgbClr val="FF3399"/>
              </a:solidFill>
              <a:ln>
                <a:solidFill>
                  <a:srgbClr val="FF3399"/>
                </a:solidFill>
              </a:ln>
            </c:spPr>
          </c:marker>
          <c:dLbls>
            <c:dLbl>
              <c:idx val="0"/>
              <c:layout>
                <c:manualLayout>
                  <c:x val="-2.5029480586909056E-2"/>
                  <c:y val="-7.879447214830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10-447F-86BC-F130A9A2F3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FF3399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'Graph (Full Cost)'!$E$87:$P$87</c:f>
              <c:numCache>
                <c:formatCode>_-* #,##0_-;\-* #,##0_-;_-* "-"??_-;_-@_-</c:formatCode>
                <c:ptCount val="12"/>
                <c:pt idx="0">
                  <c:v>1467.0966900568865</c:v>
                </c:pt>
                <c:pt idx="1">
                  <c:v>3132.4313110740077</c:v>
                </c:pt>
                <c:pt idx="2">
                  <c:v>4729.194054356205</c:v>
                </c:pt>
                <c:pt idx="3">
                  <c:v>6288.2225421658568</c:v>
                </c:pt>
                <c:pt idx="4">
                  <c:v>8614.4595891729605</c:v>
                </c:pt>
                <c:pt idx="5">
                  <c:v>10516.060913969352</c:v>
                </c:pt>
                <c:pt idx="6">
                  <c:v>11573.106018324237</c:v>
                </c:pt>
                <c:pt idx="7">
                  <c:v>13282.095707001241</c:v>
                </c:pt>
                <c:pt idx="8">
                  <c:v>14896.110896117165</c:v>
                </c:pt>
                <c:pt idx="9">
                  <c:v>16098.47703655815</c:v>
                </c:pt>
                <c:pt idx="10">
                  <c:v>17585.883695115706</c:v>
                </c:pt>
                <c:pt idx="11">
                  <c:v>19046.365574282776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0D-4E64-9F3F-795B3BBD1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669720"/>
        <c:axId val="425670112"/>
      </c:lineChart>
      <c:catAx>
        <c:axId val="42566972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425670112"/>
        <c:crosses val="autoZero"/>
        <c:auto val="1"/>
        <c:lblAlgn val="ctr"/>
        <c:lblOffset val="100"/>
        <c:noMultiLvlLbl val="1"/>
      </c:catAx>
      <c:valAx>
        <c:axId val="425670112"/>
        <c:scaling>
          <c:orientation val="minMax"/>
          <c:max val="20000"/>
          <c:min val="-500"/>
        </c:scaling>
        <c:delete val="0"/>
        <c:axPos val="l"/>
        <c:numFmt formatCode="#,##0" sourceLinked="0"/>
        <c:majorTickMark val="out"/>
        <c:minorTickMark val="none"/>
        <c:tickLblPos val="nextTo"/>
        <c:crossAx val="425669720"/>
        <c:crosses val="autoZero"/>
        <c:crossBetween val="between"/>
        <c:majorUnit val="2000"/>
      </c:valAx>
      <c:spPr>
        <a:noFill/>
      </c:spPr>
    </c:plotArea>
    <c:legend>
      <c:legendPos val="t"/>
      <c:layout>
        <c:manualLayout>
          <c:xMode val="edge"/>
          <c:yMode val="edge"/>
          <c:x val="0.28727309649957877"/>
          <c:y val="0.93955334013304559"/>
          <c:w val="0.44976315177732762"/>
          <c:h val="6.0446673506998325E-2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800">
          <a:latin typeface="BrowalliaUPC" panose="020B0604020202020204" pitchFamily="34" charset="-34"/>
          <a:cs typeface="BrowalliaUPC" panose="020B0604020202020204" pitchFamily="34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259651294120228E-2"/>
          <c:y val="0.10391075619174828"/>
          <c:w val="0.88331446398591307"/>
          <c:h val="0.67561680622690745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'Graph (Full Cost)'!$B$16</c:f>
              <c:strCache>
                <c:ptCount val="1"/>
                <c:pt idx="0">
                  <c:v>C3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'Graph (Full Cost)'!$H$2:$P$2</c:f>
              <c:numCache>
                <c:formatCode>mmm\-yy</c:formatCode>
                <c:ptCount val="9"/>
                <c:pt idx="0">
                  <c:v>23468</c:v>
                </c:pt>
                <c:pt idx="1">
                  <c:v>23498</c:v>
                </c:pt>
                <c:pt idx="2">
                  <c:v>23529</c:v>
                </c:pt>
                <c:pt idx="3">
                  <c:v>23559</c:v>
                </c:pt>
                <c:pt idx="4">
                  <c:v>23590</c:v>
                </c:pt>
                <c:pt idx="5">
                  <c:v>23621</c:v>
                </c:pt>
                <c:pt idx="6">
                  <c:v>23651</c:v>
                </c:pt>
                <c:pt idx="7">
                  <c:v>23682</c:v>
                </c:pt>
                <c:pt idx="8">
                  <c:v>23712</c:v>
                </c:pt>
              </c:numCache>
            </c:numRef>
          </c:cat>
          <c:val>
            <c:numRef>
              <c:f>'Graph (Full Cost)'!$H$16:$P$16</c:f>
              <c:numCache>
                <c:formatCode>0.00</c:formatCode>
                <c:ptCount val="9"/>
                <c:pt idx="0">
                  <c:v>856.83267794659992</c:v>
                </c:pt>
                <c:pt idx="1">
                  <c:v>700.19158327299999</c:v>
                </c:pt>
                <c:pt idx="2">
                  <c:v>990.75677988459995</c:v>
                </c:pt>
                <c:pt idx="3">
                  <c:v>851.65253997289994</c:v>
                </c:pt>
                <c:pt idx="4">
                  <c:v>1097.9495555999999</c:v>
                </c:pt>
                <c:pt idx="5">
                  <c:v>896.94443009999986</c:v>
                </c:pt>
                <c:pt idx="6">
                  <c:v>406.48411699200005</c:v>
                </c:pt>
                <c:pt idx="7">
                  <c:v>1039.7388427200001</c:v>
                </c:pt>
                <c:pt idx="8">
                  <c:v>1066.5364773600002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3-4CC7-B721-0397A7E67A9F}"/>
            </c:ext>
          </c:extLst>
        </c:ser>
        <c:ser>
          <c:idx val="1"/>
          <c:order val="1"/>
          <c:tx>
            <c:strRef>
              <c:f>'Graph (Full Cost)'!$B$17</c:f>
              <c:strCache>
                <c:ptCount val="1"/>
                <c:pt idx="0">
                  <c:v>NGL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>
                    <a:solidFill>
                      <a:srgbClr val="0070C0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'Graph (Full Cost)'!$H$2:$P$2</c:f>
              <c:numCache>
                <c:formatCode>mmm\-yy</c:formatCode>
                <c:ptCount val="9"/>
                <c:pt idx="0">
                  <c:v>23468</c:v>
                </c:pt>
                <c:pt idx="1">
                  <c:v>23498</c:v>
                </c:pt>
                <c:pt idx="2">
                  <c:v>23529</c:v>
                </c:pt>
                <c:pt idx="3">
                  <c:v>23559</c:v>
                </c:pt>
                <c:pt idx="4">
                  <c:v>23590</c:v>
                </c:pt>
                <c:pt idx="5">
                  <c:v>23621</c:v>
                </c:pt>
                <c:pt idx="6">
                  <c:v>23651</c:v>
                </c:pt>
                <c:pt idx="7">
                  <c:v>23682</c:v>
                </c:pt>
                <c:pt idx="8">
                  <c:v>23712</c:v>
                </c:pt>
              </c:numCache>
            </c:numRef>
          </c:cat>
          <c:val>
            <c:numRef>
              <c:f>'Graph (Full Cost)'!$H$17:$P$17</c:f>
              <c:numCache>
                <c:formatCode>0.00</c:formatCode>
                <c:ptCount val="9"/>
                <c:pt idx="0">
                  <c:v>336.13581312639997</c:v>
                </c:pt>
                <c:pt idx="1">
                  <c:v>489.02003823399997</c:v>
                </c:pt>
                <c:pt idx="2">
                  <c:v>441.92219755000002</c:v>
                </c:pt>
                <c:pt idx="3">
                  <c:v>738.23907599999995</c:v>
                </c:pt>
                <c:pt idx="4">
                  <c:v>935.96589120000021</c:v>
                </c:pt>
                <c:pt idx="5">
                  <c:v>847.75530000000003</c:v>
                </c:pt>
                <c:pt idx="6">
                  <c:v>771.95999040000015</c:v>
                </c:pt>
                <c:pt idx="7">
                  <c:v>861.99090600000011</c:v>
                </c:pt>
                <c:pt idx="8">
                  <c:v>888.0887232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03-4CC7-B721-0397A7E67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5669720"/>
        <c:axId val="425670112"/>
      </c:barChart>
      <c:dateAx>
        <c:axId val="42566972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425670112"/>
        <c:crosses val="autoZero"/>
        <c:auto val="1"/>
        <c:lblOffset val="100"/>
        <c:baseTimeUnit val="months"/>
      </c:dateAx>
      <c:valAx>
        <c:axId val="425670112"/>
        <c:scaling>
          <c:orientation val="minMax"/>
          <c:max val="10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crossAx val="425669720"/>
        <c:crosses val="autoZero"/>
        <c:crossBetween val="between"/>
        <c:majorUnit val="100"/>
      </c:valAx>
      <c:spPr>
        <a:noFill/>
      </c:spPr>
    </c:plotArea>
    <c:legend>
      <c:legendPos val="t"/>
      <c:layout>
        <c:manualLayout>
          <c:xMode val="edge"/>
          <c:yMode val="edge"/>
          <c:x val="0.50134693209863368"/>
          <c:y val="0.93955323845179062"/>
          <c:w val="8.6384975256399682E-2"/>
          <c:h val="6.0446761548209355E-2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800">
          <a:latin typeface="BrowalliaUPC" panose="020B0604020202020204" pitchFamily="34" charset="-34"/>
          <a:cs typeface="BrowalliaUPC" panose="020B0604020202020204" pitchFamily="34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259651294120228E-2"/>
          <c:y val="0.10391075619174828"/>
          <c:w val="0.88331446398591307"/>
          <c:h val="0.67561680622690745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'Graph (Full Cost)'!$B$16</c:f>
              <c:strCache>
                <c:ptCount val="1"/>
                <c:pt idx="0">
                  <c:v>C3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>
                    <a:solidFill>
                      <a:srgbClr val="00B0F0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'Graph (Full Cost)'!$H$2:$P$2</c:f>
              <c:numCache>
                <c:formatCode>mmm\-yy</c:formatCode>
                <c:ptCount val="9"/>
                <c:pt idx="0">
                  <c:v>23468</c:v>
                </c:pt>
                <c:pt idx="1">
                  <c:v>23498</c:v>
                </c:pt>
                <c:pt idx="2">
                  <c:v>23529</c:v>
                </c:pt>
                <c:pt idx="3">
                  <c:v>23559</c:v>
                </c:pt>
                <c:pt idx="4">
                  <c:v>23590</c:v>
                </c:pt>
                <c:pt idx="5">
                  <c:v>23621</c:v>
                </c:pt>
                <c:pt idx="6">
                  <c:v>23651</c:v>
                </c:pt>
                <c:pt idx="7">
                  <c:v>23682</c:v>
                </c:pt>
                <c:pt idx="8">
                  <c:v>23712</c:v>
                </c:pt>
              </c:numCache>
            </c:numRef>
          </c:cat>
          <c:val>
            <c:numRef>
              <c:f>'Graph (Full Cost)'!$H$94:$P$94</c:f>
              <c:numCache>
                <c:formatCode>0.00</c:formatCode>
                <c:ptCount val="9"/>
                <c:pt idx="0">
                  <c:v>295.02401219461672</c:v>
                </c:pt>
                <c:pt idx="1">
                  <c:v>333.50952347515226</c:v>
                </c:pt>
                <c:pt idx="2">
                  <c:v>356.81101888474683</c:v>
                </c:pt>
                <c:pt idx="3">
                  <c:v>433.23603991477751</c:v>
                </c:pt>
                <c:pt idx="4">
                  <c:v>483.33769367530101</c:v>
                </c:pt>
                <c:pt idx="5">
                  <c:v>379.48100771891342</c:v>
                </c:pt>
                <c:pt idx="6">
                  <c:v>164.77689698972065</c:v>
                </c:pt>
                <c:pt idx="7">
                  <c:v>420.53951659689898</c:v>
                </c:pt>
                <c:pt idx="8">
                  <c:v>455.66136157277344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F-4D24-87E5-A7992F7F8BFF}"/>
            </c:ext>
          </c:extLst>
        </c:ser>
        <c:ser>
          <c:idx val="1"/>
          <c:order val="1"/>
          <c:tx>
            <c:strRef>
              <c:f>'Graph (Full Cost)'!$B$17</c:f>
              <c:strCache>
                <c:ptCount val="1"/>
                <c:pt idx="0">
                  <c:v>NGL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>
                    <a:solidFill>
                      <a:schemeClr val="accent5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'Graph (Full Cost)'!$H$2:$P$2</c:f>
              <c:numCache>
                <c:formatCode>mmm\-yy</c:formatCode>
                <c:ptCount val="9"/>
                <c:pt idx="0">
                  <c:v>23468</c:v>
                </c:pt>
                <c:pt idx="1">
                  <c:v>23498</c:v>
                </c:pt>
                <c:pt idx="2">
                  <c:v>23529</c:v>
                </c:pt>
                <c:pt idx="3">
                  <c:v>23559</c:v>
                </c:pt>
                <c:pt idx="4">
                  <c:v>23590</c:v>
                </c:pt>
                <c:pt idx="5">
                  <c:v>23621</c:v>
                </c:pt>
                <c:pt idx="6">
                  <c:v>23651</c:v>
                </c:pt>
                <c:pt idx="7">
                  <c:v>23682</c:v>
                </c:pt>
                <c:pt idx="8">
                  <c:v>23712</c:v>
                </c:pt>
              </c:numCache>
            </c:numRef>
          </c:cat>
          <c:val>
            <c:numRef>
              <c:f>'Graph (Full Cost)'!$H$95:$P$95</c:f>
              <c:numCache>
                <c:formatCode>0.00</c:formatCode>
                <c:ptCount val="9"/>
                <c:pt idx="0">
                  <c:v>175.50820808747832</c:v>
                </c:pt>
                <c:pt idx="1">
                  <c:v>258.26848243152074</c:v>
                </c:pt>
                <c:pt idx="2">
                  <c:v>147.90338928378583</c:v>
                </c:pt>
                <c:pt idx="3">
                  <c:v>321.84461504690108</c:v>
                </c:pt>
                <c:pt idx="4">
                  <c:v>395.03433744597663</c:v>
                </c:pt>
                <c:pt idx="5">
                  <c:v>350.43256739384805</c:v>
                </c:pt>
                <c:pt idx="6">
                  <c:v>300.71838198059299</c:v>
                </c:pt>
                <c:pt idx="7">
                  <c:v>326.9756791030577</c:v>
                </c:pt>
                <c:pt idx="8">
                  <c:v>336.6625079533577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F-4D24-87E5-A7992F7F8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5669720"/>
        <c:axId val="425670112"/>
      </c:barChart>
      <c:dateAx>
        <c:axId val="42566972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425670112"/>
        <c:crosses val="autoZero"/>
        <c:auto val="1"/>
        <c:lblOffset val="100"/>
        <c:baseTimeUnit val="months"/>
      </c:dateAx>
      <c:valAx>
        <c:axId val="425670112"/>
        <c:scaling>
          <c:orientation val="minMax"/>
          <c:max val="400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crossAx val="425669720"/>
        <c:crosses val="autoZero"/>
        <c:crossBetween val="between"/>
        <c:majorUnit val="100"/>
      </c:valAx>
      <c:spPr>
        <a:noFill/>
      </c:spPr>
    </c:plotArea>
    <c:legend>
      <c:legendPos val="t"/>
      <c:layout>
        <c:manualLayout>
          <c:xMode val="edge"/>
          <c:yMode val="edge"/>
          <c:x val="0.51770674651522919"/>
          <c:y val="0.93955335377308358"/>
          <c:w val="8.6522954561246909E-2"/>
          <c:h val="6.0446583385392896E-2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800">
          <a:latin typeface="BrowalliaUPC" panose="020B0604020202020204" pitchFamily="34" charset="-34"/>
          <a:cs typeface="BrowalliaUPC" panose="020B0604020202020204" pitchFamily="34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476250</xdr:colOff>
      <xdr:row>1</xdr:row>
      <xdr:rowOff>43541</xdr:rowOff>
    </xdr:from>
    <xdr:to>
      <xdr:col>42</xdr:col>
      <xdr:colOff>585108</xdr:colOff>
      <xdr:row>17</xdr:row>
      <xdr:rowOff>122462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84D03-E335-4290-A51B-0BA9DF5B3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501764</xdr:colOff>
      <xdr:row>155</xdr:row>
      <xdr:rowOff>216012</xdr:rowOff>
    </xdr:from>
    <xdr:to>
      <xdr:col>30</xdr:col>
      <xdr:colOff>493439</xdr:colOff>
      <xdr:row>172</xdr:row>
      <xdr:rowOff>164986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4FF840-52C7-488F-B1DA-EE35986D2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46871" y="37186619"/>
          <a:ext cx="9394211" cy="3323545"/>
        </a:xfrm>
        <a:prstGeom prst="rect">
          <a:avLst/>
        </a:prstGeom>
      </xdr:spPr>
    </xdr:pic>
    <xdr:clientData/>
  </xdr:twoCellAnchor>
  <xdr:twoCellAnchor editAs="oneCell">
    <xdr:from>
      <xdr:col>18</xdr:col>
      <xdr:colOff>297658</xdr:colOff>
      <xdr:row>176</xdr:row>
      <xdr:rowOff>153081</xdr:rowOff>
    </xdr:from>
    <xdr:to>
      <xdr:col>31</xdr:col>
      <xdr:colOff>380759</xdr:colOff>
      <xdr:row>190</xdr:row>
      <xdr:rowOff>212949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BA410F-8538-4349-A108-F1599B04B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42765" y="40838438"/>
          <a:ext cx="10165994" cy="2726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306160</xdr:colOff>
      <xdr:row>56</xdr:row>
      <xdr:rowOff>27214</xdr:rowOff>
    </xdr:from>
    <xdr:to>
      <xdr:col>9</xdr:col>
      <xdr:colOff>762000</xdr:colOff>
      <xdr:row>70</xdr:row>
      <xdr:rowOff>214993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980F6-7E6B-49CD-A70F-B11454BFD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261936</xdr:colOff>
      <xdr:row>6</xdr:row>
      <xdr:rowOff>142875</xdr:rowOff>
    </xdr:from>
    <xdr:to>
      <xdr:col>6</xdr:col>
      <xdr:colOff>571499</xdr:colOff>
      <xdr:row>22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3A3C1-8ED7-4172-80A7-0FCB0EF3D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85725</xdr:rowOff>
    </xdr:from>
    <xdr:to>
      <xdr:col>6</xdr:col>
      <xdr:colOff>604838</xdr:colOff>
      <xdr:row>93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902D1-A59F-4C3C-8C03-0BEC375F8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18769</xdr:colOff>
      <xdr:row>17</xdr:row>
      <xdr:rowOff>175370</xdr:rowOff>
    </xdr:from>
    <xdr:to>
      <xdr:col>20</xdr:col>
      <xdr:colOff>680757</xdr:colOff>
      <xdr:row>42</xdr:row>
      <xdr:rowOff>5603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BA6FC-BE5A-4424-9500-0A7CF95D5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76201</xdr:colOff>
      <xdr:row>70</xdr:row>
      <xdr:rowOff>71437</xdr:rowOff>
    </xdr:from>
    <xdr:to>
      <xdr:col>20</xdr:col>
      <xdr:colOff>733425</xdr:colOff>
      <xdr:row>94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8D4C95-32F0-48BF-BBC8-DAC1A56AD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23812</xdr:rowOff>
    </xdr:from>
    <xdr:to>
      <xdr:col>5</xdr:col>
      <xdr:colOff>523874</xdr:colOff>
      <xdr:row>52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2903DEE-AA51-4452-AC44-20F0E714D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286310</xdr:colOff>
      <xdr:row>19</xdr:row>
      <xdr:rowOff>72278</xdr:rowOff>
    </xdr:from>
    <xdr:to>
      <xdr:col>15</xdr:col>
      <xdr:colOff>411335</xdr:colOff>
      <xdr:row>44</xdr:row>
      <xdr:rowOff>21485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BAC5C-BA2A-4E57-B620-37BF46B7B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299357</xdr:colOff>
      <xdr:row>99</xdr:row>
      <xdr:rowOff>13607</xdr:rowOff>
    </xdr:from>
    <xdr:to>
      <xdr:col>15</xdr:col>
      <xdr:colOff>424382</xdr:colOff>
      <xdr:row>123</xdr:row>
      <xdr:rowOff>142107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E7FC99-A739-4E96-BF77-649D850E6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259773</xdr:colOff>
      <xdr:row>48</xdr:row>
      <xdr:rowOff>17318</xdr:rowOff>
    </xdr:from>
    <xdr:to>
      <xdr:col>15</xdr:col>
      <xdr:colOff>384798</xdr:colOff>
      <xdr:row>72</xdr:row>
      <xdr:rowOff>139707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A6885B-ACE9-43AA-9025-9A8E1E255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129</xdr:row>
      <xdr:rowOff>86592</xdr:rowOff>
    </xdr:from>
    <xdr:to>
      <xdr:col>15</xdr:col>
      <xdr:colOff>125025</xdr:colOff>
      <xdr:row>154</xdr:row>
      <xdr:rowOff>35800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B76E09-2BA3-463F-9725-F6902BC9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22</xdr:row>
      <xdr:rowOff>114300</xdr:rowOff>
    </xdr:from>
    <xdr:to>
      <xdr:col>18</xdr:col>
      <xdr:colOff>276225</xdr:colOff>
      <xdr:row>22</xdr:row>
      <xdr:rowOff>114300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AB62F31-46A9-4FA6-BCD8-1D03A74A7719}"/>
            </a:ext>
          </a:extLst>
        </xdr:cNvPr>
        <xdr:cNvSpPr>
          <a:spLocks noChangeShapeType="1"/>
        </xdr:cNvSpPr>
      </xdr:nvSpPr>
      <xdr:spPr bwMode="auto">
        <a:xfrm>
          <a:off x="16697325" y="5591175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83343</xdr:colOff>
      <xdr:row>23</xdr:row>
      <xdr:rowOff>0</xdr:rowOff>
    </xdr:from>
    <xdr:to>
      <xdr:col>18</xdr:col>
      <xdr:colOff>416718</xdr:colOff>
      <xdr:row>58</xdr:row>
      <xdr:rowOff>154780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A94AA332-3FE8-477D-8AEA-EE9B342DC122}"/>
            </a:ext>
          </a:extLst>
        </xdr:cNvPr>
        <xdr:cNvSpPr>
          <a:spLocks noChangeShapeType="1"/>
        </xdr:cNvSpPr>
      </xdr:nvSpPr>
      <xdr:spPr bwMode="auto">
        <a:xfrm flipV="1">
          <a:off x="16742568" y="5724525"/>
          <a:ext cx="333375" cy="77462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914400</xdr:colOff>
      <xdr:row>21</xdr:row>
      <xdr:rowOff>200025</xdr:rowOff>
    </xdr:from>
    <xdr:to>
      <xdr:col>18</xdr:col>
      <xdr:colOff>85725</xdr:colOff>
      <xdr:row>22</xdr:row>
      <xdr:rowOff>47625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AA52BF6A-5F44-4CF1-A574-8EF6ED319091}"/>
            </a:ext>
          </a:extLst>
        </xdr:cNvPr>
        <xdr:cNvSpPr>
          <a:spLocks noChangeShapeType="1"/>
        </xdr:cNvSpPr>
      </xdr:nvSpPr>
      <xdr:spPr bwMode="auto">
        <a:xfrm flipV="1">
          <a:off x="16402050" y="5429250"/>
          <a:ext cx="34290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126</xdr:row>
      <xdr:rowOff>152400</xdr:rowOff>
    </xdr:from>
    <xdr:to>
      <xdr:col>20</xdr:col>
      <xdr:colOff>542925</xdr:colOff>
      <xdr:row>126</xdr:row>
      <xdr:rowOff>152400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375EC671-416B-4C8C-9E23-9EDD8DB51D22}"/>
            </a:ext>
          </a:extLst>
        </xdr:cNvPr>
        <xdr:cNvSpPr>
          <a:spLocks noChangeShapeType="1"/>
        </xdr:cNvSpPr>
      </xdr:nvSpPr>
      <xdr:spPr bwMode="auto">
        <a:xfrm>
          <a:off x="19259550" y="22955250"/>
          <a:ext cx="1476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76200</xdr:colOff>
      <xdr:row>156</xdr:row>
      <xdr:rowOff>142875</xdr:rowOff>
    </xdr:from>
    <xdr:to>
      <xdr:col>20</xdr:col>
      <xdr:colOff>542925</xdr:colOff>
      <xdr:row>156</xdr:row>
      <xdr:rowOff>142875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2EA56480-9B54-4C5C-AEA2-C98A68731400}"/>
            </a:ext>
          </a:extLst>
        </xdr:cNvPr>
        <xdr:cNvSpPr>
          <a:spLocks noChangeShapeType="1"/>
        </xdr:cNvSpPr>
      </xdr:nvSpPr>
      <xdr:spPr bwMode="auto">
        <a:xfrm>
          <a:off x="19259550" y="28374975"/>
          <a:ext cx="1476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104775</xdr:colOff>
      <xdr:row>148</xdr:row>
      <xdr:rowOff>152400</xdr:rowOff>
    </xdr:from>
    <xdr:to>
      <xdr:col>20</xdr:col>
      <xdr:colOff>571500</xdr:colOff>
      <xdr:row>148</xdr:row>
      <xdr:rowOff>152400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481C3AB7-B952-455D-8C66-11F29493C94F}"/>
            </a:ext>
          </a:extLst>
        </xdr:cNvPr>
        <xdr:cNvSpPr>
          <a:spLocks noChangeShapeType="1"/>
        </xdr:cNvSpPr>
      </xdr:nvSpPr>
      <xdr:spPr bwMode="auto">
        <a:xfrm>
          <a:off x="19288125" y="26936700"/>
          <a:ext cx="1476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76200</xdr:colOff>
      <xdr:row>123</xdr:row>
      <xdr:rowOff>152400</xdr:rowOff>
    </xdr:from>
    <xdr:to>
      <xdr:col>20</xdr:col>
      <xdr:colOff>542925</xdr:colOff>
      <xdr:row>123</xdr:row>
      <xdr:rowOff>152400</xdr:rowOff>
    </xdr:to>
    <xdr:sp macro="" textlink="">
      <xdr:nvSpPr>
        <xdr:cNvPr id="5" name="Line 7">
          <a:extLst>
            <a:ext uri="{FF2B5EF4-FFF2-40B4-BE49-F238E27FC236}">
              <a16:creationId xmlns:a16="http://schemas.microsoft.com/office/drawing/2014/main" id="{D815A247-E207-4842-8037-F88EFA7537B0}"/>
            </a:ext>
          </a:extLst>
        </xdr:cNvPr>
        <xdr:cNvSpPr>
          <a:spLocks noChangeShapeType="1"/>
        </xdr:cNvSpPr>
      </xdr:nvSpPr>
      <xdr:spPr bwMode="auto">
        <a:xfrm>
          <a:off x="19259550" y="22412325"/>
          <a:ext cx="1476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55</xdr:col>
      <xdr:colOff>66675</xdr:colOff>
      <xdr:row>105</xdr:row>
      <xdr:rowOff>133350</xdr:rowOff>
    </xdr:from>
    <xdr:to>
      <xdr:col>56</xdr:col>
      <xdr:colOff>276225</xdr:colOff>
      <xdr:row>106</xdr:row>
      <xdr:rowOff>123825</xdr:rowOff>
    </xdr:to>
    <xdr:sp macro="" textlink="">
      <xdr:nvSpPr>
        <xdr:cNvPr id="6" name="Line 1339">
          <a:extLst>
            <a:ext uri="{FF2B5EF4-FFF2-40B4-BE49-F238E27FC236}">
              <a16:creationId xmlns:a16="http://schemas.microsoft.com/office/drawing/2014/main" id="{203CB05B-2F84-46AE-B88F-0CF89240A547}"/>
            </a:ext>
          </a:extLst>
        </xdr:cNvPr>
        <xdr:cNvSpPr>
          <a:spLocks noChangeShapeType="1"/>
        </xdr:cNvSpPr>
      </xdr:nvSpPr>
      <xdr:spPr bwMode="auto">
        <a:xfrm flipV="1">
          <a:off x="55597425" y="19135725"/>
          <a:ext cx="12192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2\Work%20Programme+Mounly%20Report\Mountly%20Report%202551\2551\&#3617;&#3637;.&#3588;.51\&#3605;&#3657;&#3609;&#3593;&#3610;&#3633;&#3610;%20&#3617;&#3637;.&#3588;.51\3_&#3591;&#3634;&#3609;WP%239-&#3586;&#3629;&#3629;&#3609;&#3640;&#3617;&#3633;&#3605;&#3636;&#3591;&#3610;&#3585;&#3621;&#3634;&#3591;&#3611;&#3637;50(&#3610;&#3634;&#3591;&#3592;&#3634;&#3585;+Bays_&#3612;&#3626;.&#3585;&#3656;&#3629;&#3626;&#3619;&#3657;&#3634;&#3591;&#3611;&#3637;51)\4%20&#3617;.&#3588;...08....N.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Users\340117\AppData\Local\Microsoft\Windows\Temporary%20Internet%20Files\Content.Outlook\9D1K2R1E\&#3611;&#3616;&#3609;\&#3617;&#3641;&#3621;&#3588;&#3656;&#3634;&#3591;&#3634;&#3609;&#3605;&#3634;&#3617;%20BOQ_&#3611;&#3616;&#3609;._Rev.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2\Users\390135\AppData\Local\Microsoft\Windows\Temporary%20Internet%20Files\Content.Outlook\A2ZO9L5W\&#3588;&#3611;.&#3610;&#3592;.-%20AA_%20&#3611;&#3585;&#3609;%20_58_Tracking%20%20Monitoring%20Rev%20270158_&#3617;%20&#3588;%205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2\PTT_oil\Info%20received\Tools%20for%20PTT%20-%20CapBudget%20Template%20v1.07-too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2\Users\540007\Dropbox\Working%20Documents\Progress&amp;Budget\2558\AA\&#3611;&#3585;&#3609;\&#3619;&#3623;&#3617;.%20AA_%20&#3611;&#3585;&#3609;%20_58_Tracking%20%20Monitoring_Rev.30045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ttintranet.pttgrp.com/INV%20Template%20Ver%201.3/INV%20Template%20Ver%201.3/INV/INV-P01-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2\Users\540007\Dropbox\Working%20Documents\Progress&amp;Budget\2558\AA_%20&#3612;&#3588;&#3609;%20_58_Tracking%20%20Monitoring%20Rev.170558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610121\AppData\Local\Microsoft\Windows\INetCache\Content.Outlook\6L0R1T30\Book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PTTPLC/2564/VCO_GBU/16MAY/GBU%20Chain%20Value_16May2021(A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3\PTT\prodmkt\New%20PrdMkt\Sales\Revenue\Annual%20Sales%20Data\2020_2563\Actual%20202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3\PTT\prodmkt\New%20PrdMkt\Analysis\Plan\Plan\15.%20Calc%20Margin\Calc%20Margin_2021_Rolling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plc-my.sharepoint.com/Users/VeggiePii/Downloads/Actual%202021_R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tgrp-fs01\NASDATA3\PTT\prodmkt\New%20PrdMkt\Sales\Revenue\Annual%20Sales%20Data\2021_2564\Business%20Plan\Performance\Performance%202021%20_%20&#3623;&#3612;&#3585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20-12-20%20Rolling%20Dec/00%20BP%202021-2025_PTTBOD%20Adjust%20interest%20tax/01%20A1/NGO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plc-my.sharepoint.com/Users/560263/AppData/Local/Microsoft/Windows/INetCache/Content.Outlook/YB4N212C/LPGImport_BusPlan2020Draft2-28Oct2020_VolPrice_Trading_09Nov2020%20&#3648;&#3614;&#3636;&#3656;&#3617;%20LPG%20re-expor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20-12-20%20Rolling%20Dec/00%20BP%202021-2025_PTTBOD%20Adjust%20interest%20tax/01%20A1/DB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20-12-20%20Rolling%20Dec/00%20BP%202021-2025_PTTBOD%20Adjust%20interest%20tax/01%20A1/New%20Product%20Price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20-12-20%20Rolling%20Dec/00%20BP%202021-2025_PTTBOD%20Adjust%20interest%20tax/01%20A1/VOLUME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20-12-20%20Rolling%20Dec/00%20BP%202021-2025_PTTBOD%20Adjust%20interest%20tax/01%20A1/G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SP Report"/>
      <sheetName val="Status"/>
      <sheetName val="Definition การทบทวนงบ CAPEX"/>
    </sheetNames>
    <sheetDataSet>
      <sheetData sheetId="0">
        <row r="10">
          <cell r="C10" t="str">
            <v>PTT GSP# 6 SITE PREPARATION</v>
          </cell>
        </row>
        <row r="12">
          <cell r="C12">
            <v>11435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สรุปรายคลัง"/>
      <sheetName val="รายการAA_ปี 2558"/>
      <sheetName val="AA@150358"/>
      <sheetName val="Status"/>
      <sheetName val="AA ผคน_2558_Rev.หลัง ผผน."/>
      <sheetName val="รายการAA_ปี 2558 Backup"/>
      <sheetName val="Definition การทบทวนงบ CAPEX"/>
    </sheetNames>
    <sheetDataSet>
      <sheetData sheetId="0"/>
      <sheetData sheetId="1"/>
      <sheetData sheetId="2"/>
      <sheetData sheetId="3">
        <row r="2">
          <cell r="B2" t="str">
            <v>เริ่มออกแบบ / กำหนดขอบเขตงาน</v>
          </cell>
          <cell r="C2" t="str">
            <v>ออกแบบ / กำหนดขอบเขตงาน</v>
          </cell>
        </row>
        <row r="3">
          <cell r="B3" t="str">
            <v>เริ่มจัดทำ TOR</v>
          </cell>
          <cell r="C3" t="str">
            <v>อยู่ในระหว่างการจัดทำ TOR</v>
          </cell>
        </row>
        <row r="4">
          <cell r="B4" t="str">
            <v>เริ่มจัดหาผู้ค้า</v>
          </cell>
          <cell r="C4" t="str">
            <v>จัดทำ TOR เสร็จและออก PR เรียบร้อย</v>
          </cell>
        </row>
        <row r="5">
          <cell r="B5" t="str">
            <v>เริ่มก่อสร้าง / รอสินค้าส่งมอบ</v>
          </cell>
          <cell r="C5" t="str">
            <v>อยู่ในระหว่างการจัดหาผู้ค้า</v>
          </cell>
        </row>
        <row r="6">
          <cell r="B6" t="str">
            <v>งานเสร็จสิ้น / ตรวจรับเรียบร้อย</v>
          </cell>
          <cell r="C6" t="str">
            <v>จัดหาสำเร็จและผู้ค้ารับใบ PO แล้ว</v>
          </cell>
        </row>
        <row r="7">
          <cell r="C7" t="str">
            <v>อยู่ในระหว่างก่อสร้าง / รอสินค้าส่งมอบ</v>
          </cell>
        </row>
        <row r="8">
          <cell r="C8" t="str">
            <v>การก่อสร้างเสร็จ 30%</v>
          </cell>
        </row>
        <row r="9">
          <cell r="C9" t="str">
            <v>การก่อสร้างเสร็จ 70%</v>
          </cell>
        </row>
        <row r="10">
          <cell r="C10" t="str">
            <v>การก่อสร้างเสร็จ 100% / รอการตรวจรับ</v>
          </cell>
        </row>
        <row r="11">
          <cell r="C11" t="str">
            <v>งานเสร็จสิ้น / ตรวจรับเรียบร้อย</v>
          </cell>
        </row>
        <row r="12">
          <cell r="C12" t="str">
            <v>ยกเลิกครั้งที่ 1</v>
          </cell>
        </row>
        <row r="13">
          <cell r="C13" t="str">
            <v>ยกเลิกครั้งที่ 2</v>
          </cell>
        </row>
      </sheetData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ายการAA_ปี 2558"/>
      <sheetName val="Pivot 58"/>
      <sheetName val="SAP By IO"/>
      <sheetName val="Status"/>
      <sheetName val="AA ผคน_2558_Rev.หลัง ผผน."/>
      <sheetName val="รายการAA_ปี 2558 Backup"/>
    </sheetNames>
    <sheetDataSet>
      <sheetData sheetId="0"/>
      <sheetData sheetId="1"/>
      <sheetData sheetId="2"/>
      <sheetData sheetId="3">
        <row r="2">
          <cell r="C2" t="str">
            <v>ออกแบบ / กำหนดขอบเขตงาน</v>
          </cell>
        </row>
        <row r="3">
          <cell r="C3" t="str">
            <v>อยู่ในระหว่างการจัดทำ TOR</v>
          </cell>
        </row>
        <row r="4">
          <cell r="C4" t="str">
            <v>จัดทำ TOR เสร็จและออก PR เรียบร้อย</v>
          </cell>
        </row>
        <row r="5">
          <cell r="C5" t="str">
            <v>อยู่ในระหว่างการจัดหาผู้ค้า</v>
          </cell>
        </row>
        <row r="6">
          <cell r="C6" t="str">
            <v>จัดหาสำเร็จและผู้ค้ารับใบ PO แล้ว</v>
          </cell>
        </row>
        <row r="7">
          <cell r="C7" t="str">
            <v>อยู่ในระหว่างก่อสร้าง / รอสินค้าส่งมอบ</v>
          </cell>
        </row>
        <row r="8">
          <cell r="C8" t="str">
            <v>การก่อสร้างเสร็จ 30%</v>
          </cell>
        </row>
        <row r="9">
          <cell r="C9" t="str">
            <v>การก่อสร้างเสร็จ 70%</v>
          </cell>
        </row>
        <row r="10">
          <cell r="C10" t="str">
            <v>การก่อสร้างเสร็จ 100% / รอการตรวจรับ</v>
          </cell>
        </row>
        <row r="11">
          <cell r="C11" t="str">
            <v>งานเสร็จสิ้น / ตรวจรับเรียบร้อย</v>
          </cell>
        </row>
        <row r="12">
          <cell r="C12" t="str">
            <v>ยกเลิกครั้งที่ 1</v>
          </cell>
        </row>
        <row r="13">
          <cell r="C13" t="str">
            <v>ยกเลิกครั้งที่ 2</v>
          </cell>
        </row>
      </sheetData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 of Changes"/>
      <sheetName val="Copyright"/>
      <sheetName val="b"/>
      <sheetName val="Dialog1"/>
      <sheetName val="Instructions"/>
      <sheetName val="Assumptions"/>
      <sheetName val="Input"/>
      <sheetName val="TV"/>
      <sheetName val="NOPAT"/>
      <sheetName val="Capital"/>
      <sheetName val="Capex"/>
      <sheetName val="Valuation"/>
      <sheetName val="Dashboard"/>
      <sheetName val="EVA vs FCF Graph"/>
      <sheetName val="IRR"/>
      <sheetName val="Payback"/>
      <sheetName val="Summary Output"/>
      <sheetName val="Payback Chart"/>
      <sheetName val="Hurdle Rate"/>
      <sheetName val="Supporting Sheet"/>
      <sheetName val="Sensitivity-Tornado"/>
      <sheetName val="Scenario Analysis"/>
      <sheetName val="Sample Monte Carlo REPORT"/>
      <sheetName val="Depr 1"/>
      <sheetName val="Depr 2"/>
      <sheetName val="Depr 3"/>
      <sheetName val="Depr 4"/>
      <sheetName val="Depr 5"/>
      <sheetName val="Amort"/>
      <sheetName val="printfunc"/>
      <sheetName val="Module1"/>
    </sheetNames>
    <sheetDataSet>
      <sheetData sheetId="0"/>
      <sheetData sheetId="1"/>
      <sheetData sheetId="2" refreshError="1">
        <row r="13">
          <cell r="C13" t="b">
            <v>0</v>
          </cell>
        </row>
      </sheetData>
      <sheetData sheetId="3"/>
      <sheetData sheetId="4"/>
      <sheetData sheetId="5" refreshError="1">
        <row r="11">
          <cell r="E11">
            <v>0.15</v>
          </cell>
        </row>
        <row r="14">
          <cell r="E14">
            <v>0</v>
          </cell>
        </row>
      </sheetData>
      <sheetData sheetId="6"/>
      <sheetData sheetId="7"/>
      <sheetData sheetId="8"/>
      <sheetData sheetId="9"/>
      <sheetData sheetId="10"/>
      <sheetData sheetId="11" refreshError="1">
        <row r="10">
          <cell r="AB10">
            <v>0</v>
          </cell>
        </row>
        <row r="32">
          <cell r="AB32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สรุปงาน AA 58"/>
      <sheetName val="รายละเอียด AA ปี 58"/>
      <sheetName val="รายการงานใหม่ AA ปี 58"/>
      <sheetName val="สรุปเพือทำการกรอกในระบบ SAP"/>
      <sheetName val="ห้ามแก้ไข กดปุ่มRefreshเท่านั้น"/>
      <sheetName val="SAP Compare@010458"/>
      <sheetName val="Statu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 t="str">
            <v>งค.</v>
          </cell>
          <cell r="F2" t="str">
            <v>B</v>
          </cell>
        </row>
        <row r="3">
          <cell r="E3" t="str">
            <v>คน.พข.</v>
          </cell>
          <cell r="F3" t="str">
            <v>FF</v>
          </cell>
        </row>
        <row r="4">
          <cell r="E4" t="str">
            <v>คป.บจ.</v>
          </cell>
          <cell r="F4" t="str">
            <v>M</v>
          </cell>
        </row>
        <row r="5">
          <cell r="E5" t="str">
            <v>คน.ลก.</v>
          </cell>
          <cell r="F5" t="str">
            <v>MV</v>
          </cell>
        </row>
        <row r="6">
          <cell r="E6" t="str">
            <v>คน.สบ.</v>
          </cell>
        </row>
        <row r="7">
          <cell r="E7" t="str">
            <v>คน.สค.</v>
          </cell>
        </row>
        <row r="8">
          <cell r="E8" t="str">
            <v>คน.ปอ.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-P01-A"/>
      <sheetName val="Master"/>
      <sheetName val="INV_LIST"/>
      <sheetName val="Index"/>
      <sheetName val="Definition การปรับงบ OPEX"/>
      <sheetName val="Definition การทบทวนงบ CAPEX"/>
      <sheetName val="Sheet2"/>
      <sheetName val="Sheet3"/>
      <sheetName val="Sheet1"/>
      <sheetName val="Definition_การปรับงบ_OPEX1"/>
      <sheetName val="Definition_การทบทวนงบ_CAPEX1"/>
      <sheetName val="Definition_การปรับงบ_OPEX"/>
      <sheetName val="Definition_การทบทวนงบ_CAPEX"/>
      <sheetName val="Definition_การปรับงบ_OPEX2"/>
      <sheetName val="Definition_การทบทวนงบ_CAPEX2"/>
      <sheetName val="Definition_การปรับงบ_OPEX3"/>
      <sheetName val="Definition_การทบทวนงบ_CAPEX3"/>
      <sheetName val="แบบฟอร์ม 3.2 สรุปครุภัณฑ์ 61"/>
      <sheetName val="AGP"/>
      <sheetName val="ประเภทเหตุผล OPEX"/>
      <sheetName val="ประเภทเหตุผล CAPEX"/>
      <sheetName val="Data Validation"/>
      <sheetName val="ประเภทเหตุผล"/>
      <sheetName val="WP Master List"/>
      <sheetName val="OPEX List Drop Down"/>
      <sheetName val="XZLC003_PART1"/>
    </sheetNames>
    <sheetDataSet>
      <sheetData sheetId="0"/>
      <sheetData sheetId="1">
        <row r="2">
          <cell r="A2" t="str">
            <v>S101-องค์การตลาดเพื่อเกษตรกร</v>
          </cell>
        </row>
      </sheetData>
      <sheetData sheetId="2">
        <row r="99">
          <cell r="A99" t="str">
            <v>S307-50S3071001-แผนการจัดหาอุปกรณ์อะไหล่เครื่องบินและเครื่องยนต์</v>
          </cell>
        </row>
        <row r="100">
          <cell r="A100" t="str">
            <v>S307-50S3071002-แผนงานปรับปรุงพัฒนาที่นั่งบนเครื่องบิน</v>
          </cell>
        </row>
        <row r="101">
          <cell r="A101" t="str">
            <v>S307-50S3071003-แผนจัดหาอุปกรณ์ระบบคอมพิวเตอร์และอุปกรณ์สนับสนุนต่าง ๆ</v>
          </cell>
        </row>
        <row r="102">
          <cell r="A102" t="str">
            <v>S307-50S3071004-แผนงานบำรุงรักษาและซ่อมใหญ่เครื่องบิน</v>
          </cell>
        </row>
        <row r="103">
          <cell r="A103" t="str">
            <v>S307-50S3071005-แผนการจัดหาเครื่องฝึกบินจำลองแบบ A380</v>
          </cell>
        </row>
        <row r="104">
          <cell r="A104" t="str">
            <v>S307-50S3071006-แผนแผนการจัดหาเครื่องฝึกบินจำลองแบบ A340</v>
          </cell>
        </row>
        <row r="105">
          <cell r="A105" t="str">
            <v xml:space="preserve">S307-50S3071007-แผนการใช้สิทธิ์ซื้อคืนเครื่องบินก่อนครบกำหนดสัญญาเช่า  </v>
          </cell>
        </row>
        <row r="106">
          <cell r="A106" t="str">
            <v>S307-50S3072001-โครงการจัดหาเครื่องบิน 8 ลำตามแผนวิสาหกิจปี 2545/46-2549/50</v>
          </cell>
        </row>
        <row r="107">
          <cell r="A107" t="str">
            <v>S307-50S3072002-โครงการจัดหาเครื่องบิน 14 ลำตามแผนวิสาหกิจปี 2547/48-2552/53</v>
          </cell>
        </row>
        <row r="108">
          <cell r="A108" t="str">
            <v>S307-50S3072003-โครงการลงทุนที่ท่าอากาศยานสุวรรณภูมิ</v>
          </cell>
        </row>
        <row r="109">
          <cell r="A109" t="str">
            <v>S307-51S3071001-แผนการจัดหาอุปกรณ์อะไหล่เครื่องบินและเครื่องยนต์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สรุปงาน AA 58 (Old)"/>
      <sheetName val="Report KPI Waive"/>
      <sheetName val="สรุปงาน AA 58"/>
      <sheetName val="รายละเอียด AA ปี 58"/>
      <sheetName val="ห้ามแก้ไข กดปุ่มRefreshเท่านั้น"/>
      <sheetName val="SAP Compare@210558"/>
      <sheetName val="AA ปรับลด ก.พ. 58"/>
      <sheetName val="Status"/>
      <sheetName val="AA ผคน_2558_Rev.หลัง ผผน."/>
      <sheetName val="รายการAA_ปี 2558 Backu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W7">
            <v>50000</v>
          </cell>
        </row>
      </sheetData>
      <sheetData sheetId="5" refreshError="1"/>
      <sheetData sheetId="6" refreshError="1"/>
      <sheetData sheetId="7">
        <row r="2">
          <cell r="B2" t="str">
            <v>เริ่มออกแบบ / กำหนดขอบเขตงาน</v>
          </cell>
          <cell r="D2" t="str">
            <v>ตามแผน</v>
          </cell>
        </row>
        <row r="3">
          <cell r="D3" t="str">
            <v>ช้ากว่าแผน</v>
          </cell>
        </row>
        <row r="4">
          <cell r="D4" t="str">
            <v>เร็วกว่าแผน</v>
          </cell>
        </row>
        <row r="5">
          <cell r="D5" t="str">
            <v>ปรับขอบเขตงาน</v>
          </cell>
        </row>
        <row r="6">
          <cell r="D6" t="str">
            <v>เปลี่ยนแผน</v>
          </cell>
        </row>
        <row r="7">
          <cell r="D7" t="str">
            <v>ยกเลิก</v>
          </cell>
        </row>
        <row r="8">
          <cell r="D8" t="str">
            <v>ประมูลต่ำกว่าแผน</v>
          </cell>
        </row>
        <row r="9">
          <cell r="D9" t="str">
            <v>งบปี 59</v>
          </cell>
        </row>
      </sheetData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(2)"/>
    </sheetNames>
    <sheetDataSet>
      <sheetData sheetId="0">
        <row r="2">
          <cell r="C2">
            <v>423.0602561447181</v>
          </cell>
        </row>
        <row r="3">
          <cell r="C3">
            <v>584.69479827792816</v>
          </cell>
        </row>
        <row r="4">
          <cell r="C4">
            <v>629.84613026104864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ชุดส่ง 2021"/>
      <sheetName val="Price (2)"/>
      <sheetName val="RawPrice จจ."/>
      <sheetName val="Formula"/>
      <sheetName val="Price Ref"/>
      <sheetName val="Price_Confident"/>
      <sheetName val="Sum_Week"/>
      <sheetName val="16May_Dashaboard "/>
      <sheetName val="NGR"/>
      <sheetName val="NGR Demand Summary"/>
      <sheetName val="9May_Dashaboard "/>
      <sheetName val="25Apr1May_Dashaboard"/>
      <sheetName val="18-24 Apr_Dashaboard "/>
      <sheetName val="11-24 Apr_Dashaboard "/>
      <sheetName val="Main"/>
      <sheetName val="2803-0304MDashaboard"/>
      <sheetName val="21-27MDashaboard"/>
      <sheetName val="14-20Mar_Dashaboard"/>
      <sheetName val="LNG"/>
      <sheetName val="NGR-R"/>
      <sheetName val="NGR (Sector)"/>
      <sheetName val="NGD"/>
      <sheetName val="Raw"/>
      <sheetName val="Nom"/>
      <sheetName val="Nom Last week"/>
      <sheetName val="BCM"/>
    </sheetNames>
    <sheetDataSet>
      <sheetData sheetId="0" refreshError="1"/>
      <sheetData sheetId="1" refreshError="1">
        <row r="6">
          <cell r="D6">
            <v>335.53633144643578</v>
          </cell>
        </row>
        <row r="8">
          <cell r="D8">
            <v>391.17791947652825</v>
          </cell>
          <cell r="E8">
            <v>390.42564099076941</v>
          </cell>
        </row>
        <row r="17">
          <cell r="D17">
            <v>384.33023924292752</v>
          </cell>
          <cell r="E17">
            <v>383.59505686932005</v>
          </cell>
        </row>
        <row r="26">
          <cell r="D26">
            <v>377.48255900932685</v>
          </cell>
          <cell r="E26">
            <v>376.76447274787068</v>
          </cell>
        </row>
        <row r="44">
          <cell r="D44">
            <v>394.75710039515002</v>
          </cell>
          <cell r="E44">
            <v>394.06553712781096</v>
          </cell>
        </row>
        <row r="60">
          <cell r="D60">
            <v>363.78719854212534</v>
          </cell>
          <cell r="E60">
            <v>363.10330450497207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._Price"/>
      <sheetName val="Act._Fx"/>
      <sheetName val="Act._Delivery"/>
      <sheetName val="Act._Revenue"/>
      <sheetName val="COST"/>
      <sheetName val="margin "/>
      <sheetName val="margin per unit"/>
      <sheetName val="Production"/>
      <sheetName val="ไตรมาส IR"/>
      <sheetName val="ExecutiveReport Delivery"/>
      <sheetName val="ExecutiveReport Pie Chart"/>
      <sheetName val="ExecutiveReport margin Per Unit"/>
      <sheetName val="เหตุการณ์แผนการจัดจำหน่าย"/>
      <sheetName val="Feed Gas"/>
      <sheetName val="NA_Graph"/>
      <sheetName val="NA_Graph (Full Cost)"/>
      <sheetName val="NA_Graph (Cash Cost) "/>
      <sheetName val="Rolling_Price"/>
      <sheetName val="Rolling_Delivery (Base)"/>
      <sheetName val="Rolling_Revenue (Base)"/>
      <sheetName val="Rolling Margin (Cash Cost)"/>
      <sheetName val="Rolling Margin (Full Cost_Base)"/>
      <sheetName val="Rolling_Price Wt.Avg ส่ง กผ."/>
      <sheetName val="Bz_Price"/>
      <sheetName val="Bz_Delivery "/>
      <sheetName val="Bz._Revenue"/>
      <sheetName val="Bz Price Rolling Volume_Revenue"/>
      <sheetName val="Bz Price Rolling Volume_Cost"/>
      <sheetName val="Bz Price Rolling Volume_Margin"/>
      <sheetName val="COST บัญชี จาก วผก."/>
      <sheetName val="Lastest Balancing Sensivity"/>
      <sheetName val="Bz Lastest Balancing "/>
      <sheetName val="PRISM"/>
      <sheetName val="C2"/>
      <sheetName val="C3_LPG"/>
      <sheetName val="LPG Domestic"/>
      <sheetName val="NGL"/>
      <sheetName val="C5"/>
      <sheetName val="PL (63)"/>
      <sheetName val="Data (63)"/>
    </sheetNames>
    <sheetDataSet>
      <sheetData sheetId="0"/>
      <sheetData sheetId="1"/>
      <sheetData sheetId="2">
        <row r="21">
          <cell r="D21">
            <v>47879.118000000002</v>
          </cell>
        </row>
      </sheetData>
      <sheetData sheetId="3">
        <row r="8">
          <cell r="D8">
            <v>7869837097.4853153</v>
          </cell>
        </row>
      </sheetData>
      <sheetData sheetId="4"/>
      <sheetData sheetId="5">
        <row r="9">
          <cell r="D9">
            <v>510664389.99546921</v>
          </cell>
        </row>
      </sheetData>
      <sheetData sheetId="6"/>
      <sheetData sheetId="7">
        <row r="63">
          <cell r="E63">
            <v>242189</v>
          </cell>
        </row>
        <row r="64">
          <cell r="C64" t="str">
            <v>C2</v>
          </cell>
          <cell r="E64">
            <v>173.346574</v>
          </cell>
        </row>
        <row r="65">
          <cell r="C65" t="str">
            <v>C3</v>
          </cell>
          <cell r="E65">
            <v>76.082113000000007</v>
          </cell>
        </row>
        <row r="66">
          <cell r="C66" t="str">
            <v>LPG</v>
          </cell>
          <cell r="E66">
            <v>154.627509425</v>
          </cell>
        </row>
        <row r="67">
          <cell r="C67" t="str">
            <v>NGL</v>
          </cell>
          <cell r="E67">
            <v>36.39350486</v>
          </cell>
        </row>
        <row r="68">
          <cell r="C68" t="str">
            <v>Pentane</v>
          </cell>
          <cell r="E68">
            <v>4.1004300000000002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วผก."/>
      <sheetName val="Reference Price จจ"/>
      <sheetName val="Production_Volume"/>
      <sheetName val="Full Cost"/>
      <sheetName val="Selling Price"/>
      <sheetName val="Volume (KT)"/>
      <sheetName val="Revenue (MB)"/>
      <sheetName val="Margin (MB)"/>
      <sheetName val="Margin per unit"/>
      <sheetName val="Full cost W.avg."/>
      <sheetName val="Selling Price W.avg."/>
      <sheetName val="Sheet2"/>
      <sheetName val="Cash Cost"/>
      <sheetName val="Margin per unit (cash)"/>
      <sheetName val="Margin (MB) (cash)"/>
      <sheetName val="Graph rolling"/>
      <sheetName val="Graph M+1"/>
      <sheetName val="Sheet1"/>
    </sheetNames>
    <sheetDataSet>
      <sheetData sheetId="0"/>
      <sheetData sheetId="1"/>
      <sheetData sheetId="2"/>
      <sheetData sheetId="3"/>
      <sheetData sheetId="4"/>
      <sheetData sheetId="5">
        <row r="8">
          <cell r="E8">
            <v>34.1</v>
          </cell>
          <cell r="F8">
            <v>37.5</v>
          </cell>
          <cell r="G8">
            <v>35.74</v>
          </cell>
          <cell r="H8">
            <v>55.904000000000003</v>
          </cell>
          <cell r="I8">
            <v>45.518000000000001</v>
          </cell>
          <cell r="J8">
            <v>35.701999999999998</v>
          </cell>
          <cell r="K8">
            <v>69.251999999999995</v>
          </cell>
          <cell r="L8">
            <v>36.762999999999998</v>
          </cell>
          <cell r="M8">
            <v>35.947000000000003</v>
          </cell>
          <cell r="N8">
            <v>37.1</v>
          </cell>
          <cell r="O8">
            <v>36</v>
          </cell>
          <cell r="P8">
            <v>37.1</v>
          </cell>
        </row>
        <row r="9">
          <cell r="E9">
            <v>135.48000000000002</v>
          </cell>
          <cell r="F9">
            <v>133.96743945000003</v>
          </cell>
          <cell r="G9">
            <v>166.89</v>
          </cell>
          <cell r="H9">
            <v>159.22542811</v>
          </cell>
          <cell r="I9">
            <v>164.73866386999998</v>
          </cell>
          <cell r="J9">
            <v>160.70335404999997</v>
          </cell>
          <cell r="K9">
            <v>234.79296321999996</v>
          </cell>
          <cell r="L9">
            <v>166.26264504999997</v>
          </cell>
          <cell r="M9">
            <v>164.57745453999996</v>
          </cell>
          <cell r="N9">
            <v>165.58717172999999</v>
          </cell>
          <cell r="O9">
            <v>165.24378417</v>
          </cell>
          <cell r="P9">
            <v>167.32278729999999</v>
          </cell>
        </row>
        <row r="10">
          <cell r="E10">
            <v>129.48000000000002</v>
          </cell>
          <cell r="F10">
            <v>94.967439450000015</v>
          </cell>
          <cell r="G10">
            <v>130.89000000000001</v>
          </cell>
          <cell r="H10">
            <v>107.22542811000001</v>
          </cell>
          <cell r="I10">
            <v>122.73866386999998</v>
          </cell>
          <cell r="J10">
            <v>115.70335404999997</v>
          </cell>
          <cell r="K10">
            <v>135.79296321999999</v>
          </cell>
          <cell r="L10">
            <v>138.26264504999997</v>
          </cell>
          <cell r="M10">
            <v>124.57745453999998</v>
          </cell>
          <cell r="N10">
            <v>126.58717172999999</v>
          </cell>
          <cell r="O10">
            <v>123.24378416999998</v>
          </cell>
          <cell r="P10">
            <v>132.32278729999999</v>
          </cell>
        </row>
        <row r="13">
          <cell r="E13">
            <v>29.060889</v>
          </cell>
        </row>
        <row r="25">
          <cell r="E25">
            <v>45.954879999999996</v>
          </cell>
          <cell r="F25">
            <v>38.127042000000003</v>
          </cell>
          <cell r="G25">
            <v>38.771526000000001</v>
          </cell>
          <cell r="H25">
            <v>32.56024</v>
          </cell>
          <cell r="I25">
            <v>42.946999999999996</v>
          </cell>
          <cell r="J25">
            <v>41.7</v>
          </cell>
          <cell r="K25">
            <v>43.800000000000004</v>
          </cell>
          <cell r="L25">
            <v>43.2</v>
          </cell>
          <cell r="M25">
            <v>40.200000000000003</v>
          </cell>
          <cell r="N25">
            <v>35.499999999999993</v>
          </cell>
          <cell r="O25">
            <v>40.1</v>
          </cell>
          <cell r="P25">
            <v>41.4</v>
          </cell>
        </row>
        <row r="26">
          <cell r="E26">
            <v>32.305422999999998</v>
          </cell>
          <cell r="F26">
            <v>30.116868</v>
          </cell>
          <cell r="G26">
            <v>31.988320999999999</v>
          </cell>
          <cell r="H26">
            <v>32.007928</v>
          </cell>
          <cell r="I26">
            <v>43.424837382564782</v>
          </cell>
          <cell r="J26">
            <v>43.424837382564782</v>
          </cell>
          <cell r="K26">
            <v>43.424837382564782</v>
          </cell>
          <cell r="L26">
            <v>43.424837382564782</v>
          </cell>
          <cell r="M26">
            <v>43.424837382564782</v>
          </cell>
          <cell r="N26">
            <v>43.424837382564782</v>
          </cell>
          <cell r="O26">
            <v>43.424837382564782</v>
          </cell>
          <cell r="P26">
            <v>43.424837382564782</v>
          </cell>
        </row>
        <row r="27">
          <cell r="E27">
            <v>104.818174</v>
          </cell>
          <cell r="F27">
            <v>99.128092000000009</v>
          </cell>
          <cell r="G27">
            <v>111.55413899999999</v>
          </cell>
          <cell r="H27">
            <v>90.510861000000006</v>
          </cell>
          <cell r="I27">
            <v>103.10616261743522</v>
          </cell>
          <cell r="J27">
            <v>97.69516261743523</v>
          </cell>
          <cell r="K27">
            <v>53.514362617435218</v>
          </cell>
          <cell r="L27">
            <v>102.43916261743522</v>
          </cell>
          <cell r="M27">
            <v>87.119089890162485</v>
          </cell>
          <cell r="N27">
            <v>68.898203300278638</v>
          </cell>
          <cell r="O27">
            <v>100.70430964702464</v>
          </cell>
          <cell r="P27">
            <v>102.7109930173129</v>
          </cell>
        </row>
        <row r="28">
          <cell r="E28">
            <v>0.36926400000000004</v>
          </cell>
          <cell r="F28">
            <v>0.53627999999999998</v>
          </cell>
          <cell r="G28">
            <v>5.6064000000000003E-2</v>
          </cell>
          <cell r="H28">
            <v>0.365784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E29">
            <v>13.237112</v>
          </cell>
          <cell r="F29">
            <v>11.863633</v>
          </cell>
          <cell r="G29">
            <v>8.9373330000000006</v>
          </cell>
          <cell r="H29">
            <v>5.679386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</row>
        <row r="30">
          <cell r="E30">
            <v>2.976</v>
          </cell>
          <cell r="F30">
            <v>2.6880000000000002</v>
          </cell>
          <cell r="G30">
            <v>2.976</v>
          </cell>
          <cell r="H30">
            <v>2.6880000000000002</v>
          </cell>
          <cell r="I30">
            <v>2.976</v>
          </cell>
          <cell r="J30">
            <v>2.88</v>
          </cell>
          <cell r="K30">
            <v>2.976</v>
          </cell>
          <cell r="L30">
            <v>2.976</v>
          </cell>
          <cell r="M30">
            <v>2.88</v>
          </cell>
          <cell r="N30">
            <v>2.976</v>
          </cell>
          <cell r="O30">
            <v>2.88</v>
          </cell>
          <cell r="P30">
            <v>2.976</v>
          </cell>
        </row>
        <row r="31">
          <cell r="E31">
            <v>0</v>
          </cell>
          <cell r="F31">
            <v>0</v>
          </cell>
          <cell r="G31">
            <v>5.8363940000000003</v>
          </cell>
          <cell r="H31">
            <v>5.6943049999999999</v>
          </cell>
          <cell r="I31">
            <v>11.160000000000002</v>
          </cell>
          <cell r="J31">
            <v>10.800000000000002</v>
          </cell>
          <cell r="K31">
            <v>7.0847999999999995</v>
          </cell>
          <cell r="L31">
            <v>11.160000000000002</v>
          </cell>
          <cell r="M31">
            <v>10.076072727272727</v>
          </cell>
          <cell r="N31">
            <v>8.7009593171565793</v>
          </cell>
          <cell r="O31">
            <v>10.790852970410581</v>
          </cell>
          <cell r="P31">
            <v>10.988169600122337</v>
          </cell>
        </row>
        <row r="37">
          <cell r="E37"/>
        </row>
        <row r="40"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/>
          <cell r="P40"/>
        </row>
        <row r="47">
          <cell r="E47">
            <v>0</v>
          </cell>
          <cell r="F47">
            <v>0</v>
          </cell>
          <cell r="G47">
            <v>0</v>
          </cell>
          <cell r="H47">
            <v>12.1</v>
          </cell>
          <cell r="I47">
            <v>0</v>
          </cell>
          <cell r="J47">
            <v>18.2</v>
          </cell>
          <cell r="K47">
            <v>23.733999999999998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6.9909999999999997</v>
          </cell>
        </row>
        <row r="48"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</row>
        <row r="49">
          <cell r="E49"/>
          <cell r="F49"/>
          <cell r="G49"/>
          <cell r="H49"/>
          <cell r="I49"/>
          <cell r="J49"/>
          <cell r="K49"/>
          <cell r="L49"/>
          <cell r="M49"/>
          <cell r="N49"/>
          <cell r="O49"/>
          <cell r="P49"/>
        </row>
        <row r="50"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5.5730000000000004</v>
          </cell>
          <cell r="M50">
            <v>5.5730000000000004</v>
          </cell>
          <cell r="N50">
            <v>5.5730000000000004</v>
          </cell>
          <cell r="O50">
            <v>5.5730000000000004</v>
          </cell>
          <cell r="P50">
            <v>0</v>
          </cell>
        </row>
        <row r="51">
          <cell r="E51"/>
          <cell r="F51"/>
          <cell r="G51"/>
          <cell r="H51"/>
          <cell r="I51"/>
          <cell r="J51"/>
          <cell r="K51"/>
          <cell r="L51"/>
          <cell r="M51"/>
          <cell r="N51"/>
          <cell r="O51"/>
          <cell r="P51"/>
        </row>
        <row r="52">
          <cell r="E52">
            <v>0.6</v>
          </cell>
        </row>
        <row r="61">
          <cell r="E61"/>
          <cell r="F61"/>
          <cell r="G61"/>
          <cell r="H61"/>
          <cell r="I61"/>
          <cell r="J61"/>
          <cell r="K61"/>
          <cell r="L61"/>
          <cell r="M61"/>
          <cell r="N61"/>
          <cell r="O61"/>
          <cell r="P61"/>
        </row>
        <row r="62">
          <cell r="E62"/>
          <cell r="F62"/>
          <cell r="G62"/>
          <cell r="H62"/>
          <cell r="I62"/>
          <cell r="J62"/>
          <cell r="K62"/>
          <cell r="L62"/>
          <cell r="M62"/>
          <cell r="N62"/>
          <cell r="O62"/>
          <cell r="P62"/>
        </row>
        <row r="63">
          <cell r="E63"/>
          <cell r="F63"/>
          <cell r="G63"/>
          <cell r="H63"/>
          <cell r="I63"/>
          <cell r="J63"/>
          <cell r="K63"/>
          <cell r="L63"/>
          <cell r="M63"/>
          <cell r="N63"/>
          <cell r="O63"/>
          <cell r="P63"/>
        </row>
        <row r="64">
          <cell r="E64">
            <v>0.8</v>
          </cell>
          <cell r="F64">
            <v>0.7</v>
          </cell>
          <cell r="G64">
            <v>0.75</v>
          </cell>
          <cell r="H64">
            <v>0.6</v>
          </cell>
          <cell r="I64">
            <v>0.65</v>
          </cell>
          <cell r="J64">
            <v>0.6</v>
          </cell>
          <cell r="K64">
            <v>0.8</v>
          </cell>
          <cell r="L64">
            <v>0.9</v>
          </cell>
          <cell r="M64">
            <v>0.8</v>
          </cell>
          <cell r="N64">
            <v>0.8</v>
          </cell>
          <cell r="O64">
            <v>0.7</v>
          </cell>
          <cell r="P64">
            <v>0.65</v>
          </cell>
        </row>
        <row r="65">
          <cell r="E65"/>
          <cell r="F65"/>
          <cell r="G65"/>
          <cell r="H65"/>
          <cell r="I65"/>
          <cell r="J65"/>
          <cell r="K65"/>
          <cell r="L65"/>
          <cell r="M65"/>
          <cell r="N65"/>
          <cell r="O65"/>
          <cell r="P65"/>
        </row>
        <row r="66">
          <cell r="E66">
            <v>6</v>
          </cell>
          <cell r="F66">
            <v>39</v>
          </cell>
          <cell r="G66">
            <v>36</v>
          </cell>
          <cell r="H66">
            <v>52</v>
          </cell>
          <cell r="I66">
            <v>42</v>
          </cell>
          <cell r="J66">
            <v>45</v>
          </cell>
          <cell r="K66">
            <v>64.366817089999998</v>
          </cell>
          <cell r="L66">
            <v>28</v>
          </cell>
          <cell r="M66">
            <v>40</v>
          </cell>
          <cell r="N66">
            <v>39</v>
          </cell>
          <cell r="O66">
            <v>42</v>
          </cell>
          <cell r="P66">
            <v>35</v>
          </cell>
        </row>
        <row r="69">
          <cell r="E69">
            <v>48.21</v>
          </cell>
          <cell r="F69">
            <v>13.25</v>
          </cell>
          <cell r="G69">
            <v>20.880000000000003</v>
          </cell>
          <cell r="H69">
            <v>0.65921776999999793</v>
          </cell>
          <cell r="I69">
            <v>15.550396230000004</v>
          </cell>
          <cell r="J69">
            <v>11.137324719999995</v>
          </cell>
          <cell r="K69">
            <v>0</v>
          </cell>
          <cell r="L69">
            <v>32.377712349999996</v>
          </cell>
          <cell r="M69">
            <v>18.606191559999999</v>
          </cell>
          <cell r="N69">
            <v>19.078135450000005</v>
          </cell>
          <cell r="O69">
            <v>17.041927360000003</v>
          </cell>
          <cell r="P69">
            <v>24.396640840000003</v>
          </cell>
        </row>
        <row r="70">
          <cell r="E70">
            <v>61.92</v>
          </cell>
          <cell r="F70">
            <v>56.777439450000003</v>
          </cell>
          <cell r="G70">
            <v>60.93</v>
          </cell>
          <cell r="H70">
            <v>57.996210340000012</v>
          </cell>
          <cell r="I70">
            <v>60.018267639999998</v>
          </cell>
          <cell r="J70">
            <v>58.166029330000001</v>
          </cell>
          <cell r="K70">
            <v>60.369780310000003</v>
          </cell>
          <cell r="L70">
            <v>61.214932699999999</v>
          </cell>
          <cell r="M70">
            <v>59.591262979999989</v>
          </cell>
          <cell r="N70">
            <v>60.629036280000001</v>
          </cell>
          <cell r="O70">
            <v>59.921856810000001</v>
          </cell>
          <cell r="P70">
            <v>61.616146459999989</v>
          </cell>
        </row>
        <row r="71">
          <cell r="E71">
            <v>4.5</v>
          </cell>
          <cell r="F71">
            <v>6.4</v>
          </cell>
          <cell r="G71">
            <v>19.46</v>
          </cell>
          <cell r="H71">
            <v>19</v>
          </cell>
          <cell r="I71">
            <v>15</v>
          </cell>
          <cell r="J71">
            <v>15</v>
          </cell>
          <cell r="K71">
            <v>15</v>
          </cell>
          <cell r="L71">
            <v>15</v>
          </cell>
          <cell r="M71">
            <v>15</v>
          </cell>
          <cell r="N71">
            <v>15</v>
          </cell>
          <cell r="O71">
            <v>15</v>
          </cell>
          <cell r="P71">
            <v>15</v>
          </cell>
        </row>
        <row r="72">
          <cell r="E72">
            <v>0.25</v>
          </cell>
          <cell r="F72">
            <v>0.4</v>
          </cell>
          <cell r="G72">
            <v>0.5</v>
          </cell>
          <cell r="H72">
            <v>0.6</v>
          </cell>
          <cell r="I72">
            <v>0.6</v>
          </cell>
          <cell r="J72">
            <v>0.5</v>
          </cell>
          <cell r="K72">
            <v>0.5</v>
          </cell>
          <cell r="L72">
            <v>0.5</v>
          </cell>
          <cell r="M72">
            <v>0.5</v>
          </cell>
          <cell r="N72">
            <v>0.5</v>
          </cell>
          <cell r="O72">
            <v>0.5</v>
          </cell>
          <cell r="P72">
            <v>0.5</v>
          </cell>
        </row>
        <row r="73"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27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7.6331829100000022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</row>
        <row r="76"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  <row r="77"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</row>
        <row r="78"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</row>
        <row r="79"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E80">
            <v>0</v>
          </cell>
          <cell r="F80">
            <v>4.2</v>
          </cell>
          <cell r="G80">
            <v>3</v>
          </cell>
          <cell r="H80">
            <v>3</v>
          </cell>
          <cell r="I80">
            <v>3.6</v>
          </cell>
          <cell r="J80">
            <v>3.6</v>
          </cell>
          <cell r="K80">
            <v>3.6</v>
          </cell>
          <cell r="L80">
            <v>3.6</v>
          </cell>
          <cell r="M80">
            <v>3.6</v>
          </cell>
          <cell r="N80">
            <v>3.6</v>
          </cell>
          <cell r="O80">
            <v>3.6</v>
          </cell>
          <cell r="P80">
            <v>3.6</v>
          </cell>
        </row>
        <row r="81">
          <cell r="E81">
            <v>0</v>
          </cell>
          <cell r="F81">
            <v>0.8</v>
          </cell>
          <cell r="G81">
            <v>1.2</v>
          </cell>
          <cell r="H81">
            <v>1.2</v>
          </cell>
          <cell r="I81">
            <v>0.6</v>
          </cell>
          <cell r="J81">
            <v>0.6</v>
          </cell>
          <cell r="K81">
            <v>0.6</v>
          </cell>
          <cell r="L81">
            <v>0.6</v>
          </cell>
          <cell r="M81">
            <v>0.6</v>
          </cell>
          <cell r="N81">
            <v>0.6</v>
          </cell>
          <cell r="O81">
            <v>0.6</v>
          </cell>
          <cell r="P81">
            <v>0.6</v>
          </cell>
        </row>
        <row r="82"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E83">
            <v>2.8</v>
          </cell>
          <cell r="F83">
            <v>5.7199999999999989</v>
          </cell>
          <cell r="G83">
            <v>10.67</v>
          </cell>
          <cell r="H83">
            <v>9.17</v>
          </cell>
          <cell r="I83">
            <v>11.22</v>
          </cell>
          <cell r="J83">
            <v>11.1</v>
          </cell>
          <cell r="K83">
            <v>10.88</v>
          </cell>
          <cell r="L83">
            <v>10.88</v>
          </cell>
          <cell r="M83">
            <v>10.88</v>
          </cell>
          <cell r="N83">
            <v>10.88</v>
          </cell>
          <cell r="O83">
            <v>10.88</v>
          </cell>
          <cell r="P83">
            <v>10.88</v>
          </cell>
        </row>
        <row r="85"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</row>
        <row r="88"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</row>
        <row r="89"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</row>
        <row r="91"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</row>
        <row r="92"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</row>
        <row r="93"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1.2</v>
          </cell>
          <cell r="J94">
            <v>1.2</v>
          </cell>
          <cell r="K94">
            <v>1.2</v>
          </cell>
          <cell r="L94">
            <v>1.2</v>
          </cell>
          <cell r="M94">
            <v>1.2</v>
          </cell>
          <cell r="N94">
            <v>1.2</v>
          </cell>
          <cell r="O94">
            <v>1.2</v>
          </cell>
          <cell r="P94">
            <v>1.2</v>
          </cell>
        </row>
        <row r="95">
          <cell r="E95">
            <v>0</v>
          </cell>
          <cell r="F95">
            <v>2.4</v>
          </cell>
          <cell r="G95">
            <v>1.2</v>
          </cell>
          <cell r="H95">
            <v>1.2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7"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</row>
        <row r="98">
          <cell r="E98">
            <v>10.93</v>
          </cell>
          <cell r="F98">
            <v>15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</row>
        <row r="99"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</row>
        <row r="101"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</row>
        <row r="103">
          <cell r="E103">
            <v>3.6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</row>
        <row r="104">
          <cell r="E104">
            <v>0.8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</row>
        <row r="105"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E106">
            <v>3.67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</row>
        <row r="108"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</row>
        <row r="111"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</row>
        <row r="112"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5">
          <cell r="E115">
            <v>3.5399999999999991</v>
          </cell>
          <cell r="F115">
            <v>1.9999999999999996</v>
          </cell>
          <cell r="G115">
            <v>2</v>
          </cell>
          <cell r="H115">
            <v>2</v>
          </cell>
          <cell r="I115">
            <v>2.0000000000000004</v>
          </cell>
          <cell r="J115">
            <v>2.0000000000000004</v>
          </cell>
          <cell r="K115">
            <v>2</v>
          </cell>
          <cell r="L115">
            <v>2</v>
          </cell>
          <cell r="M115">
            <v>2</v>
          </cell>
          <cell r="N115">
            <v>2</v>
          </cell>
          <cell r="O115">
            <v>2</v>
          </cell>
          <cell r="P115">
            <v>2</v>
          </cell>
        </row>
        <row r="116"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</row>
        <row r="117">
          <cell r="E117">
            <v>4.83</v>
          </cell>
          <cell r="F117">
            <v>5.08</v>
          </cell>
          <cell r="G117">
            <v>4.63</v>
          </cell>
          <cell r="H117">
            <v>4.63</v>
          </cell>
          <cell r="I117">
            <v>3.78</v>
          </cell>
          <cell r="J117">
            <v>3.9</v>
          </cell>
          <cell r="K117">
            <v>4.12</v>
          </cell>
          <cell r="L117">
            <v>4.12</v>
          </cell>
          <cell r="M117">
            <v>4.12</v>
          </cell>
          <cell r="N117">
            <v>4.12</v>
          </cell>
          <cell r="O117">
            <v>4.12</v>
          </cell>
          <cell r="P117">
            <v>4.12</v>
          </cell>
        </row>
        <row r="119">
          <cell r="E119">
            <v>5.4870000000000001</v>
          </cell>
          <cell r="F119">
            <v>5.32</v>
          </cell>
          <cell r="G119">
            <v>5.74</v>
          </cell>
          <cell r="H119">
            <v>5.55</v>
          </cell>
          <cell r="I119">
            <v>5.7350000000000003</v>
          </cell>
          <cell r="J119">
            <v>5.55</v>
          </cell>
          <cell r="K119">
            <v>5.8259999999999996</v>
          </cell>
          <cell r="L119">
            <v>5.8259999999999996</v>
          </cell>
          <cell r="M119">
            <v>5.8259999999999996</v>
          </cell>
          <cell r="N119">
            <v>5.8259999999999996</v>
          </cell>
          <cell r="O119">
            <v>5.8259999999999996</v>
          </cell>
          <cell r="P119">
            <v>5.8259999999999996</v>
          </cell>
        </row>
        <row r="120">
          <cell r="E120">
            <v>11</v>
          </cell>
          <cell r="F120">
            <v>6.72</v>
          </cell>
          <cell r="G120">
            <v>13.5</v>
          </cell>
          <cell r="H120">
            <v>15</v>
          </cell>
          <cell r="I120">
            <v>15.5</v>
          </cell>
          <cell r="J120">
            <v>15</v>
          </cell>
          <cell r="K120">
            <v>9.41</v>
          </cell>
          <cell r="L120">
            <v>13.19</v>
          </cell>
          <cell r="M120">
            <v>15</v>
          </cell>
          <cell r="N120">
            <v>15.5</v>
          </cell>
          <cell r="O120">
            <v>15</v>
          </cell>
          <cell r="P120">
            <v>15.08</v>
          </cell>
        </row>
        <row r="124">
          <cell r="E124">
            <v>24.5</v>
          </cell>
          <cell r="F124">
            <v>24.5</v>
          </cell>
          <cell r="G124">
            <v>26</v>
          </cell>
          <cell r="H124">
            <v>22.5</v>
          </cell>
          <cell r="I124">
            <v>23.000000000000004</v>
          </cell>
          <cell r="J124">
            <v>23.000000000000004</v>
          </cell>
          <cell r="K124">
            <v>18</v>
          </cell>
          <cell r="L124">
            <v>22</v>
          </cell>
          <cell r="M124">
            <v>19</v>
          </cell>
          <cell r="N124">
            <v>17</v>
          </cell>
          <cell r="O124">
            <v>20.5</v>
          </cell>
          <cell r="P124">
            <v>21</v>
          </cell>
        </row>
        <row r="125">
          <cell r="E125">
            <v>29.16</v>
          </cell>
          <cell r="F125">
            <v>25.272000000000002</v>
          </cell>
          <cell r="G125">
            <v>28.271999999999998</v>
          </cell>
          <cell r="H125">
            <v>27.36</v>
          </cell>
          <cell r="I125">
            <v>28.271999999999998</v>
          </cell>
          <cell r="J125">
            <v>27.36</v>
          </cell>
          <cell r="K125">
            <v>21.384</v>
          </cell>
          <cell r="L125">
            <v>28.271999999999998</v>
          </cell>
          <cell r="M125">
            <v>27.36</v>
          </cell>
          <cell r="N125">
            <v>25.296000000000003</v>
          </cell>
          <cell r="O125">
            <v>27.36</v>
          </cell>
          <cell r="P125">
            <v>28.271999999999998</v>
          </cell>
        </row>
        <row r="126">
          <cell r="E126"/>
          <cell r="F126">
            <v>1.2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1.1664000000000001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</row>
        <row r="127">
          <cell r="E127">
            <v>1.2312000000000001</v>
          </cell>
          <cell r="F127">
            <v>0</v>
          </cell>
          <cell r="G127">
            <v>1.2312000000000001</v>
          </cell>
          <cell r="H127">
            <v>1.2312000000000001</v>
          </cell>
          <cell r="I127">
            <v>1.2312000000000001</v>
          </cell>
          <cell r="J127">
            <v>1.2312000000000001</v>
          </cell>
          <cell r="K127">
            <v>0</v>
          </cell>
          <cell r="L127">
            <v>1.2312000000000001</v>
          </cell>
          <cell r="M127">
            <v>1.2312000000000001</v>
          </cell>
          <cell r="N127">
            <v>1.2312000000000001</v>
          </cell>
          <cell r="O127">
            <v>1.2312000000000001</v>
          </cell>
          <cell r="P127">
            <v>1.2312000000000001</v>
          </cell>
        </row>
        <row r="128">
          <cell r="E128">
            <v>1.2312000000000001</v>
          </cell>
          <cell r="F128">
            <v>1.2312000000000001</v>
          </cell>
          <cell r="G128">
            <v>2.4624000000000001</v>
          </cell>
          <cell r="H128">
            <v>1.2312000000000001</v>
          </cell>
          <cell r="I128">
            <v>2.4624000000000001</v>
          </cell>
          <cell r="J128">
            <v>1.2312000000000001</v>
          </cell>
          <cell r="K128">
            <v>1.2312000000000001</v>
          </cell>
          <cell r="L128">
            <v>2.4624000000000001</v>
          </cell>
          <cell r="M128">
            <v>1.2312000000000001</v>
          </cell>
          <cell r="N128">
            <v>2.4624000000000001</v>
          </cell>
          <cell r="O128">
            <v>1.2312000000000001</v>
          </cell>
          <cell r="P128">
            <v>2.4624000000000001</v>
          </cell>
        </row>
        <row r="132">
          <cell r="E132">
            <v>2.2320000000000002</v>
          </cell>
          <cell r="G132">
            <v>4.4640000000000004</v>
          </cell>
          <cell r="H132">
            <v>4.32</v>
          </cell>
          <cell r="I132">
            <v>4.4640000000000004</v>
          </cell>
          <cell r="J132">
            <v>4.32</v>
          </cell>
          <cell r="K132">
            <v>4.4640000000000004</v>
          </cell>
          <cell r="L132">
            <v>4.4640000000000004</v>
          </cell>
          <cell r="M132">
            <v>4.32</v>
          </cell>
          <cell r="N132">
            <v>4.4640000000000004</v>
          </cell>
          <cell r="O132">
            <v>4.32</v>
          </cell>
          <cell r="P132">
            <v>4.4640000000000004</v>
          </cell>
        </row>
        <row r="136">
          <cell r="E136">
            <v>35</v>
          </cell>
          <cell r="F136">
            <v>35</v>
          </cell>
          <cell r="G136">
            <v>35</v>
          </cell>
          <cell r="H136">
            <v>35</v>
          </cell>
          <cell r="I136">
            <v>35</v>
          </cell>
          <cell r="J136">
            <v>35</v>
          </cell>
          <cell r="K136">
            <v>35</v>
          </cell>
          <cell r="L136">
            <v>35</v>
          </cell>
          <cell r="M136">
            <v>35</v>
          </cell>
          <cell r="N136">
            <v>35</v>
          </cell>
          <cell r="O136">
            <v>35</v>
          </cell>
          <cell r="P136">
            <v>35</v>
          </cell>
        </row>
        <row r="137">
          <cell r="E137">
            <v>20</v>
          </cell>
          <cell r="F137">
            <v>20</v>
          </cell>
          <cell r="G137">
            <v>20</v>
          </cell>
          <cell r="H137">
            <v>20</v>
          </cell>
          <cell r="I137">
            <v>20</v>
          </cell>
          <cell r="J137">
            <v>20</v>
          </cell>
          <cell r="K137">
            <v>20</v>
          </cell>
          <cell r="L137">
            <v>20</v>
          </cell>
          <cell r="M137">
            <v>20</v>
          </cell>
          <cell r="N137">
            <v>20</v>
          </cell>
          <cell r="O137">
            <v>20</v>
          </cell>
          <cell r="P137">
            <v>20</v>
          </cell>
        </row>
        <row r="143">
          <cell r="E143">
            <v>37.808641975308639</v>
          </cell>
          <cell r="F143">
            <v>35.493827160493829</v>
          </cell>
          <cell r="G143">
            <v>35.493827160493829</v>
          </cell>
          <cell r="H143">
            <v>35.493827160493829</v>
          </cell>
          <cell r="I143">
            <v>33.950617283950614</v>
          </cell>
          <cell r="J143">
            <v>33.179012345679013</v>
          </cell>
          <cell r="K143">
            <v>20.061728395061728</v>
          </cell>
          <cell r="L143">
            <v>33.950617283950614</v>
          </cell>
          <cell r="M143">
            <v>30.864197530864196</v>
          </cell>
          <cell r="N143">
            <v>26.234567901234566</v>
          </cell>
          <cell r="O143">
            <v>30.864197530864196</v>
          </cell>
          <cell r="P143">
            <v>33.950617283950614</v>
          </cell>
        </row>
        <row r="144">
          <cell r="E144">
            <v>45</v>
          </cell>
          <cell r="F144">
            <v>39</v>
          </cell>
          <cell r="G144">
            <v>43</v>
          </cell>
          <cell r="H144">
            <v>42</v>
          </cell>
          <cell r="I144">
            <v>43</v>
          </cell>
          <cell r="J144">
            <v>42</v>
          </cell>
          <cell r="K144">
            <v>43</v>
          </cell>
          <cell r="L144">
            <v>43</v>
          </cell>
          <cell r="M144">
            <v>42</v>
          </cell>
          <cell r="N144">
            <v>39.037037037037038</v>
          </cell>
          <cell r="O144">
            <v>42</v>
          </cell>
          <cell r="P144">
            <v>43</v>
          </cell>
        </row>
        <row r="145">
          <cell r="E145"/>
          <cell r="F145"/>
          <cell r="G145"/>
          <cell r="H145"/>
          <cell r="I145"/>
          <cell r="J145"/>
          <cell r="K145"/>
          <cell r="L145"/>
          <cell r="M145"/>
          <cell r="N145"/>
          <cell r="O145"/>
          <cell r="P145"/>
        </row>
        <row r="146">
          <cell r="E146">
            <v>1.9</v>
          </cell>
          <cell r="F146">
            <v>1.9</v>
          </cell>
          <cell r="G146">
            <v>3.8</v>
          </cell>
          <cell r="H146">
            <v>3.8</v>
          </cell>
          <cell r="I146">
            <v>3.8</v>
          </cell>
          <cell r="J146">
            <v>3.8</v>
          </cell>
          <cell r="K146">
            <v>1.9</v>
          </cell>
          <cell r="L146">
            <v>1.9</v>
          </cell>
          <cell r="M146">
            <v>3.8</v>
          </cell>
          <cell r="N146">
            <v>3.8</v>
          </cell>
          <cell r="O146">
            <v>3.8</v>
          </cell>
          <cell r="P146">
            <v>3.8</v>
          </cell>
        </row>
        <row r="147">
          <cell r="E147">
            <v>1.9</v>
          </cell>
          <cell r="F147">
            <v>1.9</v>
          </cell>
          <cell r="G147">
            <v>1.9</v>
          </cell>
          <cell r="H147">
            <v>1.9</v>
          </cell>
          <cell r="I147">
            <v>1.9</v>
          </cell>
          <cell r="J147">
            <v>1.9</v>
          </cell>
          <cell r="K147">
            <v>1.9</v>
          </cell>
          <cell r="L147">
            <v>1.9</v>
          </cell>
          <cell r="M147">
            <v>1.9</v>
          </cell>
          <cell r="N147">
            <v>1.9</v>
          </cell>
          <cell r="O147">
            <v>1.9</v>
          </cell>
          <cell r="P147">
            <v>1.9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Fx"/>
      <sheetName val="Delivery"/>
      <sheetName val="Revenue"/>
      <sheetName val="COST"/>
      <sheetName val="Margin"/>
      <sheetName val="Margin Unit"/>
      <sheetName val="Production"/>
      <sheetName val="COST จาก วผก."/>
      <sheetName val="Rolling พี่เตย"/>
      <sheetName val="Bz Price "/>
      <sheetName val="Bz Delivery "/>
      <sheetName val="Bz Revenue "/>
      <sheetName val="Data (64)"/>
    </sheetNames>
    <sheetDataSet>
      <sheetData sheetId="0"/>
      <sheetData sheetId="1">
        <row r="5">
          <cell r="D5" t="e">
            <v>#DIV/0!</v>
          </cell>
          <cell r="E5" t="e">
            <v>#DIV/0!</v>
          </cell>
          <cell r="F5" t="e">
            <v>#DIV/0!</v>
          </cell>
          <cell r="G5" t="e">
            <v>#DIV/0!</v>
          </cell>
          <cell r="H5" t="e">
            <v>#DIV/0!</v>
          </cell>
          <cell r="I5" t="e">
            <v>#DIV/0!</v>
          </cell>
          <cell r="J5" t="e">
            <v>#DIV/0!</v>
          </cell>
          <cell r="K5" t="e">
            <v>#DIV/0!</v>
          </cell>
          <cell r="L5" t="e">
            <v>#DIV/0!</v>
          </cell>
          <cell r="M5" t="e">
            <v>#DIV/0!</v>
          </cell>
          <cell r="N5" t="e">
            <v>#DIV/0!</v>
          </cell>
          <cell r="O5" t="e">
            <v>#DIV/0!</v>
          </cell>
        </row>
        <row r="6">
          <cell r="D6" t="e">
            <v>#DIV/0!</v>
          </cell>
          <cell r="E6" t="e">
            <v>#DIV/0!</v>
          </cell>
          <cell r="F6" t="e">
            <v>#DIV/0!</v>
          </cell>
          <cell r="G6" t="e">
            <v>#DIV/0!</v>
          </cell>
          <cell r="H6" t="e">
            <v>#DIV/0!</v>
          </cell>
          <cell r="I6" t="e">
            <v>#DIV/0!</v>
          </cell>
          <cell r="J6" t="e">
            <v>#DIV/0!</v>
          </cell>
          <cell r="K6" t="e">
            <v>#DIV/0!</v>
          </cell>
          <cell r="L6" t="e">
            <v>#DIV/0!</v>
          </cell>
          <cell r="M6" t="e">
            <v>#DIV/0!</v>
          </cell>
          <cell r="N6" t="e">
            <v>#DIV/0!</v>
          </cell>
          <cell r="O6" t="e">
            <v>#DIV/0!</v>
          </cell>
        </row>
        <row r="153"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</row>
      </sheetData>
      <sheetData sheetId="2">
        <row r="33">
          <cell r="C33">
            <v>0</v>
          </cell>
        </row>
        <row r="102">
          <cell r="D102">
            <v>81218.18875999999</v>
          </cell>
          <cell r="E102">
            <v>60039.764689999996</v>
          </cell>
          <cell r="F102">
            <v>60132.993500000004</v>
          </cell>
          <cell r="G102">
            <v>49122.618499999997</v>
          </cell>
          <cell r="H102">
            <v>61490.11565</v>
          </cell>
          <cell r="I102">
            <v>48667.077439999994</v>
          </cell>
          <cell r="J102">
            <v>1330.4852100000044</v>
          </cell>
          <cell r="K102">
            <v>56422.739980000013</v>
          </cell>
          <cell r="L102">
            <v>35351.03772</v>
          </cell>
          <cell r="M102">
            <v>28685.122009999999</v>
          </cell>
          <cell r="N102">
            <v>74784.391319999995</v>
          </cell>
          <cell r="O102">
            <v>48679.817129999996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</sheetData>
      <sheetData sheetId="3">
        <row r="33">
          <cell r="C33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</sheetData>
      <sheetData sheetId="4"/>
      <sheetData sheetId="5"/>
      <sheetData sheetId="6"/>
      <sheetData sheetId="7"/>
      <sheetData sheetId="8"/>
      <sheetData sheetId="9">
        <row r="113"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 (64)"/>
      <sheetName val="Data (64)"/>
    </sheetNames>
    <sheetDataSet>
      <sheetData sheetId="0">
        <row r="24">
          <cell r="U24"/>
        </row>
      </sheetData>
      <sheetData sheetId="1">
        <row r="6">
          <cell r="C6">
            <v>296.98067302012294</v>
          </cell>
          <cell r="D6">
            <v>271.51452452274128</v>
          </cell>
          <cell r="E6">
            <v>297.30154302494435</v>
          </cell>
          <cell r="G6">
            <v>286.50133686841701</v>
          </cell>
          <cell r="H6">
            <v>319.72500804766247</v>
          </cell>
          <cell r="I6">
            <v>297.56547648035439</v>
          </cell>
          <cell r="K6">
            <v>191.24553880129514</v>
          </cell>
          <cell r="L6">
            <v>322.44497758428264</v>
          </cell>
          <cell r="M6">
            <v>282.15435308622193</v>
          </cell>
          <cell r="O6">
            <v>260.06265631856957</v>
          </cell>
          <cell r="P6">
            <v>311.56476813900548</v>
          </cell>
          <cell r="Q6">
            <v>302.52835408772228</v>
          </cell>
        </row>
        <row r="7">
          <cell r="C7">
            <v>0</v>
          </cell>
          <cell r="D7">
            <v>0</v>
          </cell>
          <cell r="E7">
            <v>0</v>
          </cell>
          <cell r="G7">
            <v>0</v>
          </cell>
          <cell r="H7">
            <v>0</v>
          </cell>
          <cell r="I7">
            <v>0</v>
          </cell>
          <cell r="K7">
            <v>0</v>
          </cell>
          <cell r="L7">
            <v>0</v>
          </cell>
          <cell r="M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C8">
            <v>253.31060082327633</v>
          </cell>
          <cell r="D8">
            <v>228.26161388481603</v>
          </cell>
          <cell r="E8">
            <v>257.90158806698776</v>
          </cell>
          <cell r="G8">
            <v>245.99920548336635</v>
          </cell>
          <cell r="H8">
            <v>254.19917899947842</v>
          </cell>
          <cell r="I8">
            <v>250.72873448573313</v>
          </cell>
          <cell r="K8">
            <v>266.49117710360917</v>
          </cell>
          <cell r="L8">
            <v>266.34308074090887</v>
          </cell>
          <cell r="M8">
            <v>262.19425933995524</v>
          </cell>
          <cell r="O8">
            <v>276.11744067913338</v>
          </cell>
          <cell r="P8">
            <v>273.65978419417735</v>
          </cell>
          <cell r="Q8">
            <v>280.11604247204309</v>
          </cell>
        </row>
        <row r="9">
          <cell r="C9">
            <v>0</v>
          </cell>
          <cell r="D9">
            <v>0</v>
          </cell>
          <cell r="E9">
            <v>0</v>
          </cell>
          <cell r="G9">
            <v>0</v>
          </cell>
          <cell r="H9">
            <v>0</v>
          </cell>
          <cell r="I9">
            <v>0</v>
          </cell>
          <cell r="K9">
            <v>0</v>
          </cell>
          <cell r="L9">
            <v>0</v>
          </cell>
          <cell r="M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G10">
            <v>0</v>
          </cell>
          <cell r="H10">
            <v>0</v>
          </cell>
          <cell r="I10">
            <v>0</v>
          </cell>
          <cell r="K10">
            <v>0</v>
          </cell>
          <cell r="L10">
            <v>0</v>
          </cell>
          <cell r="M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C11"/>
          <cell r="D11"/>
          <cell r="E11"/>
          <cell r="G11"/>
          <cell r="H11"/>
          <cell r="I11"/>
          <cell r="K11"/>
          <cell r="L11"/>
          <cell r="M11"/>
          <cell r="O11"/>
          <cell r="P11"/>
          <cell r="Q11"/>
        </row>
        <row r="12">
          <cell r="C12">
            <v>28.636003133152908</v>
          </cell>
          <cell r="D12">
            <v>18.759843618066466</v>
          </cell>
          <cell r="E12">
            <v>41.521176550684082</v>
          </cell>
          <cell r="G12">
            <v>39.22982090985851</v>
          </cell>
          <cell r="H12">
            <v>19.68820705478743</v>
          </cell>
          <cell r="I12">
            <v>33.377472350899012</v>
          </cell>
          <cell r="K12">
            <v>42.211058857976639</v>
          </cell>
          <cell r="L12">
            <v>34.388027827166873</v>
          </cell>
          <cell r="M12">
            <v>31.818887698020589</v>
          </cell>
          <cell r="O12">
            <v>41.662603636948255</v>
          </cell>
          <cell r="P12">
            <v>43.667921093542155</v>
          </cell>
          <cell r="Q12">
            <v>56.573664608313933</v>
          </cell>
        </row>
        <row r="25">
          <cell r="C25">
            <v>462.79838000000007</v>
          </cell>
          <cell r="D25">
            <v>407.50864000000001</v>
          </cell>
          <cell r="E25">
            <v>459.62708000000009</v>
          </cell>
          <cell r="G25">
            <v>435.59340000000003</v>
          </cell>
          <cell r="H25">
            <v>437.42798000000005</v>
          </cell>
          <cell r="I25">
            <v>431.50140000000005</v>
          </cell>
          <cell r="K25">
            <v>452.22738000000004</v>
          </cell>
          <cell r="L25">
            <v>465.96968000000004</v>
          </cell>
          <cell r="M25">
            <v>455.03040000000004</v>
          </cell>
          <cell r="O25">
            <v>474.42648000000003</v>
          </cell>
          <cell r="P25">
            <v>467.30640000000005</v>
          </cell>
          <cell r="Q25">
            <v>478.65488000000005</v>
          </cell>
        </row>
        <row r="26">
          <cell r="C26">
            <v>0</v>
          </cell>
          <cell r="D26">
            <v>0</v>
          </cell>
          <cell r="E26">
            <v>0</v>
          </cell>
          <cell r="G26">
            <v>0</v>
          </cell>
          <cell r="H26">
            <v>0</v>
          </cell>
          <cell r="I26">
            <v>0</v>
          </cell>
          <cell r="K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Q26">
            <v>0</v>
          </cell>
        </row>
        <row r="27">
          <cell r="C27">
            <v>887.61245009345816</v>
          </cell>
          <cell r="D27">
            <v>887.61245009345805</v>
          </cell>
          <cell r="E27">
            <v>887.61245009345816</v>
          </cell>
          <cell r="G27">
            <v>887.61245009345816</v>
          </cell>
          <cell r="H27">
            <v>887.61245009345816</v>
          </cell>
          <cell r="I27">
            <v>887.61245009345805</v>
          </cell>
          <cell r="K27">
            <v>887.61245009345816</v>
          </cell>
          <cell r="L27">
            <v>887.61245009345816</v>
          </cell>
          <cell r="M27">
            <v>887.61245009345816</v>
          </cell>
          <cell r="O27">
            <v>887.61245009345816</v>
          </cell>
          <cell r="P27">
            <v>887.61245009345805</v>
          </cell>
          <cell r="Q27">
            <v>887.61245009345816</v>
          </cell>
        </row>
        <row r="28">
          <cell r="C28">
            <v>682.83394033294417</v>
          </cell>
          <cell r="D28">
            <v>931.91655272006983</v>
          </cell>
          <cell r="E28">
            <v>599.39422376865548</v>
          </cell>
          <cell r="G28">
            <v>685.63663934339286</v>
          </cell>
          <cell r="H28">
            <v>564.76700212711125</v>
          </cell>
          <cell r="I28">
            <v>681.19687671225347</v>
          </cell>
          <cell r="K28">
            <v>961.93292397971481</v>
          </cell>
          <cell r="L28">
            <v>449.47988351643323</v>
          </cell>
          <cell r="M28">
            <v>916.56766210406101</v>
          </cell>
          <cell r="O28">
            <v>936.69623344266256</v>
          </cell>
          <cell r="P28">
            <v>307.58792773354918</v>
          </cell>
          <cell r="Q28">
            <v>623.32148505097132</v>
          </cell>
        </row>
        <row r="29">
          <cell r="C29">
            <v>78.702799999999982</v>
          </cell>
          <cell r="D29">
            <v>78.479599999999991</v>
          </cell>
          <cell r="E29">
            <v>80.432599999999994</v>
          </cell>
          <cell r="G29">
            <v>79.037599999999998</v>
          </cell>
          <cell r="H29">
            <v>79.037599999999998</v>
          </cell>
          <cell r="I29">
            <v>80.879000000000005</v>
          </cell>
          <cell r="K29">
            <v>83.668999999999997</v>
          </cell>
          <cell r="L29">
            <v>83.613200000000006</v>
          </cell>
          <cell r="M29">
            <v>85.343000000000004</v>
          </cell>
          <cell r="O29">
            <v>87.296000000000006</v>
          </cell>
          <cell r="P29">
            <v>89.807000000000002</v>
          </cell>
          <cell r="Q29">
            <v>88.802599999999998</v>
          </cell>
        </row>
        <row r="30">
          <cell r="C30">
            <v>1594.0806238726634</v>
          </cell>
          <cell r="D30">
            <v>1344.9980114855377</v>
          </cell>
          <cell r="E30">
            <v>1677.5203404369522</v>
          </cell>
          <cell r="G30">
            <v>1591.2779248622148</v>
          </cell>
          <cell r="H30">
            <v>1712.1475620784963</v>
          </cell>
          <cell r="I30">
            <v>1595.7176874933543</v>
          </cell>
          <cell r="K30">
            <v>1314.981640225893</v>
          </cell>
          <cell r="L30">
            <v>1827.4346806891745</v>
          </cell>
          <cell r="M30">
            <v>1360.3469021015467</v>
          </cell>
          <cell r="O30">
            <v>1340.218330762945</v>
          </cell>
          <cell r="P30">
            <v>1969.3266364720585</v>
          </cell>
          <cell r="Q30">
            <v>1653.5930791546364</v>
          </cell>
        </row>
        <row r="31">
          <cell r="C31">
            <v>133.98200000000003</v>
          </cell>
          <cell r="D31">
            <v>130.23100000000002</v>
          </cell>
          <cell r="E31">
            <v>132.95900000000003</v>
          </cell>
          <cell r="G31">
            <v>129.89000000000001</v>
          </cell>
          <cell r="H31">
            <v>125.79800000000003</v>
          </cell>
          <cell r="I31">
            <v>128.52600000000001</v>
          </cell>
          <cell r="K31">
            <v>130.572</v>
          </cell>
          <cell r="L31">
            <v>135.00500000000002</v>
          </cell>
          <cell r="M31">
            <v>136.369</v>
          </cell>
          <cell r="O31">
            <v>137.733</v>
          </cell>
          <cell r="P31">
            <v>140.46100000000001</v>
          </cell>
          <cell r="Q31">
            <v>139.09700000000001</v>
          </cell>
        </row>
        <row r="32">
          <cell r="C32">
            <v>0</v>
          </cell>
          <cell r="D32">
            <v>0</v>
          </cell>
          <cell r="E32">
            <v>0</v>
          </cell>
          <cell r="G32">
            <v>0</v>
          </cell>
          <cell r="H32">
            <v>0</v>
          </cell>
          <cell r="I32">
            <v>0</v>
          </cell>
          <cell r="K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Q32">
            <v>0</v>
          </cell>
        </row>
        <row r="44">
          <cell r="C44">
            <v>306.38217600000002</v>
          </cell>
          <cell r="D44">
            <v>269.85772800000001</v>
          </cell>
          <cell r="E44">
            <v>304.30641600000001</v>
          </cell>
          <cell r="G44">
            <v>288.46368000000001</v>
          </cell>
          <cell r="H44">
            <v>289.776096</v>
          </cell>
          <cell r="I44">
            <v>285.78528</v>
          </cell>
          <cell r="K44">
            <v>178.71211207366107</v>
          </cell>
          <cell r="L44">
            <v>349.11578760000003</v>
          </cell>
          <cell r="M44">
            <v>280.83903419592173</v>
          </cell>
          <cell r="O44">
            <v>313.99329599999999</v>
          </cell>
          <cell r="P44">
            <v>376.74890860000005</v>
          </cell>
          <cell r="Q44">
            <v>316.76097600000003</v>
          </cell>
        </row>
        <row r="45">
          <cell r="C45">
            <v>0</v>
          </cell>
          <cell r="D45">
            <v>0</v>
          </cell>
          <cell r="E45">
            <v>0</v>
          </cell>
          <cell r="G45">
            <v>0</v>
          </cell>
          <cell r="H45">
            <v>0</v>
          </cell>
          <cell r="I45">
            <v>0</v>
          </cell>
          <cell r="K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C46">
            <v>298.28644502912539</v>
          </cell>
          <cell r="D46">
            <v>261.09015658290434</v>
          </cell>
          <cell r="E46">
            <v>286.87986277627061</v>
          </cell>
          <cell r="G46">
            <v>275.51189382722771</v>
          </cell>
          <cell r="H46">
            <v>291.24834108587459</v>
          </cell>
          <cell r="I46">
            <v>277.39080922920789</v>
          </cell>
          <cell r="K46">
            <v>85.568671474999988</v>
          </cell>
          <cell r="L46">
            <v>137.87680279999998</v>
          </cell>
          <cell r="M46">
            <v>275.2770294019802</v>
          </cell>
          <cell r="O46">
            <v>286.63716953684815</v>
          </cell>
          <cell r="P46">
            <v>281.61836888366338</v>
          </cell>
          <cell r="Q46">
            <v>286.39447629742574</v>
          </cell>
        </row>
        <row r="47">
          <cell r="C47">
            <v>464.37615239294081</v>
          </cell>
          <cell r="D47">
            <v>391.32912000000005</v>
          </cell>
          <cell r="E47">
            <v>441.24160000000006</v>
          </cell>
          <cell r="G47">
            <v>418.80380000000008</v>
          </cell>
          <cell r="H47">
            <v>419.48995400000007</v>
          </cell>
          <cell r="I47">
            <v>414.95980000000009</v>
          </cell>
          <cell r="K47">
            <v>259.17808739241951</v>
          </cell>
          <cell r="L47">
            <v>447.19360000000006</v>
          </cell>
          <cell r="M47">
            <v>437.06280000000004</v>
          </cell>
          <cell r="O47">
            <v>308.63476000000003</v>
          </cell>
          <cell r="P47">
            <v>0</v>
          </cell>
          <cell r="Q47">
            <v>459.09760000000006</v>
          </cell>
        </row>
        <row r="48">
          <cell r="C48">
            <v>0</v>
          </cell>
          <cell r="D48">
            <v>0</v>
          </cell>
          <cell r="E48">
            <v>0</v>
          </cell>
          <cell r="G48">
            <v>0</v>
          </cell>
          <cell r="H48">
            <v>0</v>
          </cell>
          <cell r="I48">
            <v>0</v>
          </cell>
          <cell r="K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G49">
            <v>0</v>
          </cell>
          <cell r="H49">
            <v>0</v>
          </cell>
          <cell r="I49">
            <v>0</v>
          </cell>
          <cell r="K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G50">
            <v>0</v>
          </cell>
          <cell r="H50">
            <v>0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C51">
            <v>43.521058427774214</v>
          </cell>
          <cell r="D51">
            <v>25.368734842687367</v>
          </cell>
          <cell r="E51">
            <v>23.193482603796749</v>
          </cell>
          <cell r="G51">
            <v>28.900893539417517</v>
          </cell>
          <cell r="H51">
            <v>0</v>
          </cell>
          <cell r="I51">
            <v>43.851939084410603</v>
          </cell>
          <cell r="K51">
            <v>0</v>
          </cell>
          <cell r="L51">
            <v>81.176910000000007</v>
          </cell>
          <cell r="M51">
            <v>27.276899999999998</v>
          </cell>
          <cell r="O51">
            <v>26.705588907043317</v>
          </cell>
          <cell r="P51">
            <v>84.152910000000006</v>
          </cell>
          <cell r="Q51">
            <v>25.964375743419108</v>
          </cell>
        </row>
        <row r="76">
          <cell r="C76">
            <v>2412.0152910761644</v>
          </cell>
          <cell r="D76">
            <v>2206.8405249887765</v>
          </cell>
          <cell r="E76">
            <v>2415.761850591372</v>
          </cell>
          <cell r="G76">
            <v>2338.0689914729674</v>
          </cell>
          <cell r="H76">
            <v>2457.9014503614549</v>
          </cell>
          <cell r="I76">
            <v>2372.4473951171594</v>
          </cell>
          <cell r="K76">
            <v>1809.9585695718836</v>
          </cell>
          <cell r="L76">
            <v>2466.5946756398653</v>
          </cell>
          <cell r="M76">
            <v>2052.1875726509688</v>
          </cell>
          <cell r="O76">
            <v>1202.275289268084</v>
          </cell>
          <cell r="P76">
            <v>2309.5308341265209</v>
          </cell>
          <cell r="Q76">
            <v>2361.4001422767733</v>
          </cell>
        </row>
        <row r="104">
          <cell r="C104">
            <v>655.4231285424695</v>
          </cell>
          <cell r="D104">
            <v>871.66664646546565</v>
          </cell>
          <cell r="E104">
            <v>571.32641258944716</v>
          </cell>
          <cell r="F104">
            <v>2098.4161875973823</v>
          </cell>
          <cell r="G104">
            <v>639.78147224845372</v>
          </cell>
          <cell r="H104">
            <v>511.89539982481841</v>
          </cell>
          <cell r="I104">
            <v>629.56759239519567</v>
          </cell>
          <cell r="J104">
            <v>1781.2444644684679</v>
          </cell>
          <cell r="K104">
            <v>901.88567541088719</v>
          </cell>
          <cell r="L104">
            <v>434.44097104783071</v>
          </cell>
          <cell r="M104">
            <v>894.06945165491993</v>
          </cell>
          <cell r="N104">
            <v>2230.3960981136379</v>
          </cell>
          <cell r="O104">
            <v>922.05208418522989</v>
          </cell>
          <cell r="P104">
            <v>308.26179695390516</v>
          </cell>
          <cell r="Q104">
            <v>619.13182614067989</v>
          </cell>
          <cell r="R104">
            <v>1849.445707279815</v>
          </cell>
          <cell r="S104">
            <v>7959.5024574593035</v>
          </cell>
        </row>
        <row r="106">
          <cell r="C106">
            <v>850.71630054246953</v>
          </cell>
          <cell r="D106">
            <v>1054.1234624654658</v>
          </cell>
          <cell r="E106">
            <v>765.14181458944722</v>
          </cell>
          <cell r="F106">
            <v>2669.9815775973825</v>
          </cell>
          <cell r="G106">
            <v>826.69683224845369</v>
          </cell>
          <cell r="H106">
            <v>695.36641182481844</v>
          </cell>
          <cell r="I106">
            <v>814.5361523951957</v>
          </cell>
          <cell r="J106">
            <v>2336.5993964684676</v>
          </cell>
          <cell r="K106">
            <v>1092.2529474108871</v>
          </cell>
          <cell r="L106">
            <v>631.21191304783065</v>
          </cell>
          <cell r="M106">
            <v>1090.2321116549199</v>
          </cell>
          <cell r="N106">
            <v>2813.6969721136375</v>
          </cell>
          <cell r="O106">
            <v>1122.7637461852298</v>
          </cell>
          <cell r="P106">
            <v>510.26485695390517</v>
          </cell>
          <cell r="Q106">
            <v>821.81384814067997</v>
          </cell>
          <cell r="R106">
            <v>2454.8424512798147</v>
          </cell>
          <cell r="S106">
            <v>10275.120397459305</v>
          </cell>
        </row>
        <row r="117">
          <cell r="C117">
            <v>5631.6500888755063</v>
          </cell>
          <cell r="D117">
            <v>5119.9967884038288</v>
          </cell>
          <cell r="E117">
            <v>5684.9143924496066</v>
          </cell>
          <cell r="G117">
            <v>5592.5948416275724</v>
          </cell>
          <cell r="H117">
            <v>5838.7637734090276</v>
          </cell>
          <cell r="I117">
            <v>5625.2793036014154</v>
          </cell>
          <cell r="K117">
            <v>4330.6220023019505</v>
          </cell>
          <cell r="L117">
            <v>5900.5160345516042</v>
          </cell>
          <cell r="M117">
            <v>5154.7216860046829</v>
          </cell>
          <cell r="O117">
            <v>4139.0905364250975</v>
          </cell>
          <cell r="P117">
            <v>5413.8339158065774</v>
          </cell>
          <cell r="Q117">
            <v>5510.4803371372736</v>
          </cell>
        </row>
        <row r="121">
          <cell r="C121">
            <v>21</v>
          </cell>
          <cell r="D121">
            <v>21</v>
          </cell>
          <cell r="E121">
            <v>21</v>
          </cell>
          <cell r="G121">
            <v>21</v>
          </cell>
          <cell r="H121">
            <v>21</v>
          </cell>
          <cell r="I121">
            <v>21</v>
          </cell>
          <cell r="K121">
            <v>21</v>
          </cell>
          <cell r="L121">
            <v>21</v>
          </cell>
          <cell r="M121">
            <v>21</v>
          </cell>
          <cell r="O121">
            <v>21</v>
          </cell>
          <cell r="P121">
            <v>21</v>
          </cell>
          <cell r="Q121">
            <v>21</v>
          </cell>
        </row>
        <row r="123">
          <cell r="C123">
            <v>514.32514666999998</v>
          </cell>
          <cell r="D123">
            <v>495.14408816000002</v>
          </cell>
          <cell r="E123">
            <v>393.65570402999998</v>
          </cell>
          <cell r="G123">
            <v>256.82621899484928</v>
          </cell>
          <cell r="H123">
            <v>244.08178603008281</v>
          </cell>
          <cell r="I123">
            <v>240.78664401014112</v>
          </cell>
          <cell r="K123">
            <v>239.03747784823506</v>
          </cell>
          <cell r="L123">
            <v>237.53875789953537</v>
          </cell>
          <cell r="M123">
            <v>223.5587169273237</v>
          </cell>
          <cell r="O123">
            <v>215.85840846002711</v>
          </cell>
          <cell r="P123">
            <v>272.22078666818805</v>
          </cell>
          <cell r="Q123">
            <v>255.62487361158486</v>
          </cell>
        </row>
        <row r="124">
          <cell r="C124">
            <v>-606.15851076937224</v>
          </cell>
          <cell r="D124">
            <v>-551.08708450004701</v>
          </cell>
          <cell r="E124">
            <v>-611.89157486641579</v>
          </cell>
          <cell r="G124">
            <v>-601.95482798796127</v>
          </cell>
          <cell r="H124">
            <v>-628.45103970770072</v>
          </cell>
          <cell r="I124">
            <v>-605.47279598716261</v>
          </cell>
          <cell r="K124">
            <v>-466.12331060940971</v>
          </cell>
          <cell r="L124">
            <v>-635.09769886800007</v>
          </cell>
          <cell r="M124">
            <v>-554.82467328560233</v>
          </cell>
          <cell r="O124">
            <v>-445.50796230310715</v>
          </cell>
          <cell r="P124">
            <v>-582.71402735770687</v>
          </cell>
          <cell r="Q124">
            <v>-593.11649375751506</v>
          </cell>
        </row>
        <row r="125">
          <cell r="C125">
            <v>-39.308098328957115</v>
          </cell>
          <cell r="D125">
            <v>-35.504088813251585</v>
          </cell>
          <cell r="E125">
            <v>-39.308098328957115</v>
          </cell>
          <cell r="G125">
            <v>-38.040095157055269</v>
          </cell>
          <cell r="H125">
            <v>-39.308098328957115</v>
          </cell>
          <cell r="I125">
            <v>-38.040095157055269</v>
          </cell>
          <cell r="K125">
            <v>-39.308098328957115</v>
          </cell>
          <cell r="L125">
            <v>-39.308098328957115</v>
          </cell>
          <cell r="M125">
            <v>-38.040095157055269</v>
          </cell>
          <cell r="O125">
            <v>-39.308098328957115</v>
          </cell>
          <cell r="P125">
            <v>-38.040095157055269</v>
          </cell>
          <cell r="Q125">
            <v>-39.308098328957115</v>
          </cell>
        </row>
        <row r="126">
          <cell r="C126">
            <v>395.00708397333329</v>
          </cell>
          <cell r="D126">
            <v>395.00708397333329</v>
          </cell>
          <cell r="E126">
            <v>395.00708397333329</v>
          </cell>
          <cell r="G126">
            <v>395.00708397333329</v>
          </cell>
          <cell r="H126">
            <v>395.00708397333329</v>
          </cell>
          <cell r="I126">
            <v>395.00708397333329</v>
          </cell>
          <cell r="K126">
            <v>395.00708397333329</v>
          </cell>
          <cell r="L126">
            <v>395.00708397333329</v>
          </cell>
          <cell r="M126">
            <v>395.00708397333329</v>
          </cell>
          <cell r="O126">
            <v>395.00708397333329</v>
          </cell>
          <cell r="P126">
            <v>395.00708397333329</v>
          </cell>
          <cell r="Q126">
            <v>395.00708397333329</v>
          </cell>
        </row>
        <row r="127">
          <cell r="C127">
            <v>880.1957963430591</v>
          </cell>
          <cell r="D127">
            <v>828.52152650646553</v>
          </cell>
          <cell r="E127">
            <v>893.06288894883915</v>
          </cell>
          <cell r="G127">
            <v>887.27822215483434</v>
          </cell>
          <cell r="H127">
            <v>918.44552396957988</v>
          </cell>
          <cell r="I127">
            <v>900.80566892904858</v>
          </cell>
          <cell r="K127">
            <v>767.68430367797043</v>
          </cell>
          <cell r="L127">
            <v>944.13243608857044</v>
          </cell>
          <cell r="M127">
            <v>873.20159069618478</v>
          </cell>
          <cell r="O127">
            <v>795.02548034706319</v>
          </cell>
          <cell r="P127">
            <v>949.04746974368447</v>
          </cell>
          <cell r="Q127">
            <v>981.87116859952164</v>
          </cell>
        </row>
        <row r="132">
          <cell r="C132">
            <v>1309.8192388099999</v>
          </cell>
          <cell r="D132">
            <v>1309.8192388099999</v>
          </cell>
          <cell r="E132">
            <v>1309.8192388099999</v>
          </cell>
          <cell r="G132">
            <v>1309.8192388099999</v>
          </cell>
          <cell r="H132">
            <v>1309.8192388099999</v>
          </cell>
          <cell r="I132">
            <v>1309.8192388099999</v>
          </cell>
          <cell r="K132">
            <v>1309.8192388099999</v>
          </cell>
          <cell r="L132">
            <v>1309.8192388099999</v>
          </cell>
          <cell r="M132">
            <v>1309.8192388099999</v>
          </cell>
          <cell r="O132">
            <v>1309.8192388099999</v>
          </cell>
          <cell r="P132">
            <v>1309.8192388099999</v>
          </cell>
          <cell r="Q132">
            <v>1309.8192388099999</v>
          </cell>
        </row>
        <row r="133">
          <cell r="C133">
            <v>1309.8192388099999</v>
          </cell>
          <cell r="D133">
            <v>1309.8192388099999</v>
          </cell>
          <cell r="E133">
            <v>1309.8192388099999</v>
          </cell>
          <cell r="G133">
            <v>1309.8192388099999</v>
          </cell>
          <cell r="H133">
            <v>1309.8192388099999</v>
          </cell>
          <cell r="I133">
            <v>1309.8192388099999</v>
          </cell>
          <cell r="K133">
            <v>1309.8192388099999</v>
          </cell>
          <cell r="L133">
            <v>1309.8192388099999</v>
          </cell>
          <cell r="M133">
            <v>1309.8192388099999</v>
          </cell>
          <cell r="O133">
            <v>1309.8192388099999</v>
          </cell>
          <cell r="P133">
            <v>1309.8192388099999</v>
          </cell>
          <cell r="Q133">
            <v>1309.8192388099999</v>
          </cell>
        </row>
        <row r="135">
          <cell r="C135">
            <v>119.85103211219598</v>
          </cell>
          <cell r="D135">
            <v>121.33678870862818</v>
          </cell>
          <cell r="E135">
            <v>122.97112096470357</v>
          </cell>
          <cell r="G135">
            <v>138.45050357864332</v>
          </cell>
          <cell r="H135">
            <v>125.1220287781496</v>
          </cell>
          <cell r="I135">
            <v>127.4567891439716</v>
          </cell>
          <cell r="K135">
            <v>130.18067623743059</v>
          </cell>
          <cell r="L135">
            <v>133.44934074958141</v>
          </cell>
          <cell r="M135">
            <v>137.53517138976989</v>
          </cell>
          <cell r="O135">
            <v>151.15460685706486</v>
          </cell>
          <cell r="P135">
            <v>158.50910200940419</v>
          </cell>
          <cell r="Q135">
            <v>168.31509554585656</v>
          </cell>
        </row>
        <row r="139">
          <cell r="C139">
            <v>116.39645733863121</v>
          </cell>
          <cell r="D139">
            <v>116.39645733863121</v>
          </cell>
          <cell r="E139">
            <v>116.39645733863121</v>
          </cell>
          <cell r="G139">
            <v>116.39645733863121</v>
          </cell>
          <cell r="H139">
            <v>116.39645733863121</v>
          </cell>
          <cell r="I139">
            <v>116.39645733863121</v>
          </cell>
          <cell r="K139">
            <v>116.39645733863121</v>
          </cell>
          <cell r="L139">
            <v>116.39645733863121</v>
          </cell>
          <cell r="M139">
            <v>116.39645733863121</v>
          </cell>
          <cell r="O139">
            <v>116.39645733863121</v>
          </cell>
          <cell r="P139">
            <v>116.39645733863121</v>
          </cell>
          <cell r="Q139">
            <v>116.39645733863121</v>
          </cell>
        </row>
        <row r="140">
          <cell r="C140">
            <v>88.512279260000014</v>
          </cell>
          <cell r="D140">
            <v>88.512279260000014</v>
          </cell>
          <cell r="E140">
            <v>88.512279260000014</v>
          </cell>
          <cell r="G140">
            <v>88.512279260000014</v>
          </cell>
          <cell r="H140">
            <v>88.512279260000014</v>
          </cell>
          <cell r="I140">
            <v>88.512279260000014</v>
          </cell>
          <cell r="K140">
            <v>88.512279260000014</v>
          </cell>
          <cell r="L140">
            <v>88.512279260000014</v>
          </cell>
          <cell r="M140">
            <v>88.512279260000014</v>
          </cell>
          <cell r="O140">
            <v>88.512279260000014</v>
          </cell>
          <cell r="P140">
            <v>88.512279260000014</v>
          </cell>
          <cell r="Q140">
            <v>88.512279260000014</v>
          </cell>
        </row>
        <row r="141">
          <cell r="C141"/>
          <cell r="D141"/>
          <cell r="E141"/>
          <cell r="G141"/>
          <cell r="H141"/>
          <cell r="I141"/>
          <cell r="K141"/>
          <cell r="L141"/>
          <cell r="M141"/>
          <cell r="O141"/>
          <cell r="P141"/>
          <cell r="Q141"/>
        </row>
        <row r="142">
          <cell r="C142"/>
          <cell r="D142"/>
          <cell r="E142"/>
          <cell r="G142"/>
          <cell r="H142"/>
          <cell r="I142"/>
          <cell r="K142"/>
          <cell r="L142"/>
          <cell r="M142"/>
          <cell r="O142"/>
          <cell r="P142"/>
          <cell r="Q142"/>
        </row>
        <row r="144">
          <cell r="C144">
            <v>20.735799101111283</v>
          </cell>
          <cell r="D144">
            <v>20.189405503764817</v>
          </cell>
          <cell r="E144">
            <v>21.022897432783857</v>
          </cell>
          <cell r="G144">
            <v>20.879297262924968</v>
          </cell>
          <cell r="H144">
            <v>21.499178065626026</v>
          </cell>
          <cell r="I144">
            <v>20.739603232879645</v>
          </cell>
          <cell r="K144">
            <v>21.153410704808817</v>
          </cell>
          <cell r="L144">
            <v>21.278797409437026</v>
          </cell>
          <cell r="M144">
            <v>20.576904903296533</v>
          </cell>
          <cell r="O144">
            <v>20.745887746607707</v>
          </cell>
          <cell r="P144">
            <v>20.291051016094119</v>
          </cell>
          <cell r="Q144">
            <v>18.995873282545084</v>
          </cell>
        </row>
        <row r="147">
          <cell r="C147">
            <v>116.39645733863121</v>
          </cell>
          <cell r="D147">
            <v>116.39645733863121</v>
          </cell>
          <cell r="E147">
            <v>116.39645733863121</v>
          </cell>
          <cell r="G147">
            <v>116.39645733863121</v>
          </cell>
          <cell r="H147">
            <v>116.39645733863121</v>
          </cell>
          <cell r="I147">
            <v>116.39645733863121</v>
          </cell>
          <cell r="K147">
            <v>116.39645733863121</v>
          </cell>
          <cell r="L147">
            <v>116.39645733863121</v>
          </cell>
          <cell r="M147">
            <v>116.39645733863121</v>
          </cell>
          <cell r="O147">
            <v>116.39645733863121</v>
          </cell>
          <cell r="P147">
            <v>116.39645733863121</v>
          </cell>
          <cell r="Q147">
            <v>116.39645733863121</v>
          </cell>
          <cell r="V147">
            <v>1396.7574880635746</v>
          </cell>
        </row>
        <row r="148">
          <cell r="C148"/>
          <cell r="D148"/>
          <cell r="E148"/>
          <cell r="G148"/>
          <cell r="H148"/>
          <cell r="I148"/>
          <cell r="K148"/>
          <cell r="L148"/>
          <cell r="M148"/>
          <cell r="O148"/>
          <cell r="P148"/>
          <cell r="Q148"/>
        </row>
        <row r="152">
          <cell r="C152">
            <v>13.666666666666666</v>
          </cell>
          <cell r="D152">
            <v>13.666666666666666</v>
          </cell>
          <cell r="E152">
            <v>13.666666666666666</v>
          </cell>
          <cell r="G152">
            <v>13.666666666666666</v>
          </cell>
          <cell r="H152">
            <v>13.666666666666666</v>
          </cell>
          <cell r="I152">
            <v>13.666666666666666</v>
          </cell>
          <cell r="K152">
            <v>13.666666666666666</v>
          </cell>
          <cell r="L152">
            <v>13.666666666666666</v>
          </cell>
          <cell r="M152">
            <v>13.666666666666666</v>
          </cell>
          <cell r="O152">
            <v>13.666666666666666</v>
          </cell>
          <cell r="P152">
            <v>13.666666666666666</v>
          </cell>
          <cell r="Q152">
            <v>13.666666666666666</v>
          </cell>
        </row>
        <row r="153">
          <cell r="C153">
            <v>7.0691324344446169</v>
          </cell>
          <cell r="D153">
            <v>6.5227388370981503</v>
          </cell>
          <cell r="E153">
            <v>7.3562307661171911</v>
          </cell>
          <cell r="G153">
            <v>7.2126305962583013</v>
          </cell>
          <cell r="H153">
            <v>7.8325113989593582</v>
          </cell>
          <cell r="I153">
            <v>7.0729365662129782</v>
          </cell>
          <cell r="K153">
            <v>7.4867440381421506</v>
          </cell>
          <cell r="L153">
            <v>7.6121307427703577</v>
          </cell>
          <cell r="M153">
            <v>6.9102382366298665</v>
          </cell>
          <cell r="O153">
            <v>7.0792210799410391</v>
          </cell>
          <cell r="P153">
            <v>6.6243843494274524</v>
          </cell>
          <cell r="Q153">
            <v>5.3292066158784195</v>
          </cell>
        </row>
        <row r="154">
          <cell r="C154">
            <v>20.735799101111283</v>
          </cell>
          <cell r="D154">
            <v>20.189405503764817</v>
          </cell>
          <cell r="E154">
            <v>21.022897432783857</v>
          </cell>
          <cell r="F154">
            <v>61.948102037659957</v>
          </cell>
          <cell r="G154">
            <v>20.879297262924968</v>
          </cell>
          <cell r="H154">
            <v>21.499178065626026</v>
          </cell>
          <cell r="I154">
            <v>20.739603232879645</v>
          </cell>
          <cell r="J154">
            <v>63.118078561430636</v>
          </cell>
          <cell r="K154">
            <v>21.153410704808817</v>
          </cell>
          <cell r="L154">
            <v>21.278797409437026</v>
          </cell>
          <cell r="M154">
            <v>20.576904903296533</v>
          </cell>
          <cell r="N154">
            <v>63.009113017542376</v>
          </cell>
          <cell r="O154">
            <v>20.745887746607707</v>
          </cell>
          <cell r="P154">
            <v>20.291051016094119</v>
          </cell>
          <cell r="Q154">
            <v>18.995873282545084</v>
          </cell>
          <cell r="R154">
            <v>60.032812045246914</v>
          </cell>
          <cell r="S154">
            <v>248.10810566187988</v>
          </cell>
        </row>
        <row r="157">
          <cell r="C157">
            <v>119.85103211219598</v>
          </cell>
          <cell r="D157">
            <v>121.33678870862818</v>
          </cell>
          <cell r="E157">
            <v>122.97112096470357</v>
          </cell>
          <cell r="G157">
            <v>138.45050357864332</v>
          </cell>
          <cell r="H157">
            <v>125.1220287781496</v>
          </cell>
          <cell r="I157">
            <v>127.4567891439716</v>
          </cell>
          <cell r="K157">
            <v>130.18067623743059</v>
          </cell>
          <cell r="L157">
            <v>133.44934074958141</v>
          </cell>
          <cell r="M157">
            <v>137.53517138976989</v>
          </cell>
          <cell r="O157">
            <v>151.15460685706486</v>
          </cell>
          <cell r="P157">
            <v>158.50910200940419</v>
          </cell>
          <cell r="Q157">
            <v>168.31509554585656</v>
          </cell>
        </row>
        <row r="158">
          <cell r="C158">
            <v>0</v>
          </cell>
          <cell r="D158">
            <v>0</v>
          </cell>
          <cell r="E158">
            <v>0</v>
          </cell>
          <cell r="G158">
            <v>0</v>
          </cell>
          <cell r="H158">
            <v>0</v>
          </cell>
          <cell r="I158">
            <v>0</v>
          </cell>
          <cell r="K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</row>
        <row r="159">
          <cell r="C159"/>
          <cell r="D159">
            <v>0</v>
          </cell>
          <cell r="E159"/>
          <cell r="F159">
            <v>0</v>
          </cell>
          <cell r="G159"/>
          <cell r="H159"/>
          <cell r="I159"/>
          <cell r="J159">
            <v>0</v>
          </cell>
          <cell r="K159"/>
          <cell r="L159"/>
          <cell r="M159"/>
          <cell r="N159">
            <v>0</v>
          </cell>
          <cell r="O159"/>
          <cell r="P159"/>
          <cell r="Q159"/>
          <cell r="R159">
            <v>0</v>
          </cell>
          <cell r="S159">
            <v>0</v>
          </cell>
        </row>
        <row r="190">
          <cell r="C190">
            <v>37.153650566999993</v>
          </cell>
          <cell r="D190">
            <v>33.217588912199993</v>
          </cell>
          <cell r="E190">
            <v>36.307905572399996</v>
          </cell>
          <cell r="F190">
            <v>106.67914505159999</v>
          </cell>
          <cell r="G190">
            <v>36.118385819999993</v>
          </cell>
          <cell r="H190">
            <v>37.32233201399999</v>
          </cell>
          <cell r="I190">
            <v>37.016206425</v>
          </cell>
          <cell r="J190">
            <v>110.45692425899998</v>
          </cell>
          <cell r="K190">
            <v>6.3960901124999996</v>
          </cell>
          <cell r="L190">
            <v>39.627645123000001</v>
          </cell>
          <cell r="M190">
            <v>39.192741224999999</v>
          </cell>
          <cell r="N190">
            <v>85.21647646049999</v>
          </cell>
          <cell r="O190">
            <v>41.48314104</v>
          </cell>
          <cell r="P190">
            <v>41.369276024999998</v>
          </cell>
          <cell r="Q190">
            <v>42.242207551499995</v>
          </cell>
          <cell r="R190">
            <v>125.0946246165</v>
          </cell>
          <cell r="S190">
            <v>427.44717038759995</v>
          </cell>
        </row>
        <row r="191"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</row>
        <row r="205">
          <cell r="C205">
            <v>532.12851464007713</v>
          </cell>
          <cell r="D205">
            <v>763.22255711174796</v>
          </cell>
          <cell r="E205">
            <v>445.33658980260503</v>
          </cell>
          <cell r="F205">
            <v>1740.6876615544302</v>
          </cell>
          <cell r="G205">
            <v>520.70375115239131</v>
          </cell>
          <cell r="H205">
            <v>391.52353196959808</v>
          </cell>
          <cell r="I205">
            <v>511.65602828696018</v>
          </cell>
          <cell r="J205">
            <v>1423.8833114089496</v>
          </cell>
          <cell r="K205">
            <v>794.43816416615743</v>
          </cell>
          <cell r="L205">
            <v>299.724722502318</v>
          </cell>
          <cell r="M205">
            <v>778.8033908808186</v>
          </cell>
          <cell r="N205">
            <v>1872.9662775492941</v>
          </cell>
          <cell r="O205">
            <v>806.31898514427144</v>
          </cell>
          <cell r="P205">
            <v>161.76661309236246</v>
          </cell>
          <cell r="Q205">
            <v>488.0702408621101</v>
          </cell>
          <cell r="R205">
            <v>1456.1558390987441</v>
          </cell>
          <cell r="S205">
            <v>6493.6930896114181</v>
          </cell>
        </row>
        <row r="206">
          <cell r="C206">
            <v>0</v>
          </cell>
          <cell r="D206">
            <v>0</v>
          </cell>
          <cell r="E206">
            <v>0</v>
          </cell>
          <cell r="G206">
            <v>0</v>
          </cell>
          <cell r="H206">
            <v>0</v>
          </cell>
          <cell r="I206">
            <v>0</v>
          </cell>
          <cell r="K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Q206">
            <v>0</v>
          </cell>
        </row>
        <row r="234">
          <cell r="S234">
            <v>677.91676381000002</v>
          </cell>
        </row>
        <row r="241">
          <cell r="S241">
            <v>0</v>
          </cell>
        </row>
        <row r="253">
          <cell r="C253">
            <v>233.12770933655867</v>
          </cell>
          <cell r="D253">
            <v>207.1999669601926</v>
          </cell>
          <cell r="E253">
            <v>-162.31143438716612</v>
          </cell>
          <cell r="F253">
            <v>278.01624190958518</v>
          </cell>
          <cell r="G253">
            <v>96.5393876906994</v>
          </cell>
          <cell r="H253">
            <v>73.683129614337048</v>
          </cell>
          <cell r="I253">
            <v>68.219152212206836</v>
          </cell>
          <cell r="J253">
            <v>238.44166951724327</v>
          </cell>
          <cell r="K253">
            <v>49.955131159007308</v>
          </cell>
          <cell r="L253">
            <v>82.958325729896302</v>
          </cell>
          <cell r="M253">
            <v>53.737696040729375</v>
          </cell>
          <cell r="N253">
            <v>186.65115292963299</v>
          </cell>
          <cell r="O253">
            <v>53.429865901569784</v>
          </cell>
          <cell r="P253">
            <v>88.458797790174231</v>
          </cell>
          <cell r="Q253">
            <v>70.644375365744281</v>
          </cell>
          <cell r="R253">
            <v>212.53303905748828</v>
          </cell>
          <cell r="S253">
            <v>915.64210341394971</v>
          </cell>
        </row>
        <row r="255">
          <cell r="C255">
            <v>-161.90724148369071</v>
          </cell>
          <cell r="D255">
            <v>-311.4717733082249</v>
          </cell>
          <cell r="E255">
            <v>337.83338294628288</v>
          </cell>
          <cell r="F255">
            <v>-135.54563184563284</v>
          </cell>
          <cell r="G255">
            <v>50.218415761245254</v>
          </cell>
          <cell r="H255">
            <v>111.02100376664876</v>
          </cell>
          <cell r="I255">
            <v>126.80949098498365</v>
          </cell>
          <cell r="J255">
            <v>288.04891051287308</v>
          </cell>
          <cell r="K255">
            <v>8.6931601231422349</v>
          </cell>
          <cell r="L255">
            <v>180.8383675817021</v>
          </cell>
          <cell r="M255">
            <v>30.811871957511883</v>
          </cell>
          <cell r="N255">
            <v>220.3433996623545</v>
          </cell>
          <cell r="O255">
            <v>70.877923316346866</v>
          </cell>
          <cell r="P255">
            <v>254.20860934793319</v>
          </cell>
          <cell r="Q255">
            <v>265.91427973265593</v>
          </cell>
          <cell r="R255">
            <v>591.00081239693145</v>
          </cell>
          <cell r="S255">
            <v>963.84749072655165</v>
          </cell>
        </row>
        <row r="260">
          <cell r="C260">
            <v>81.177534246575334</v>
          </cell>
          <cell r="D260">
            <v>73.321643835616428</v>
          </cell>
          <cell r="E260">
            <v>81.177534246575334</v>
          </cell>
          <cell r="G260">
            <v>78.558904109589037</v>
          </cell>
          <cell r="H260">
            <v>81.177534246575334</v>
          </cell>
          <cell r="I260">
            <v>78.558904109589037</v>
          </cell>
          <cell r="K260">
            <v>74.412739726027382</v>
          </cell>
          <cell r="L260">
            <v>74.412739726027382</v>
          </cell>
          <cell r="M260">
            <v>72.012328767123279</v>
          </cell>
          <cell r="O260">
            <v>74.412739726027382</v>
          </cell>
          <cell r="P260">
            <v>72.012328767123279</v>
          </cell>
          <cell r="Q260">
            <v>74.412739726027382</v>
          </cell>
        </row>
        <row r="262">
          <cell r="C262">
            <v>0</v>
          </cell>
          <cell r="D262">
            <v>0</v>
          </cell>
          <cell r="E262">
            <v>0</v>
          </cell>
          <cell r="G262">
            <v>0</v>
          </cell>
          <cell r="H262">
            <v>15.703879242390281</v>
          </cell>
          <cell r="I262">
            <v>23.293947817520298</v>
          </cell>
          <cell r="K262">
            <v>-3.1528896887755664</v>
          </cell>
          <cell r="L262">
            <v>37.876790717114197</v>
          </cell>
          <cell r="M262">
            <v>2.5074478462235987</v>
          </cell>
          <cell r="O262">
            <v>9.9790098983778535</v>
          </cell>
          <cell r="P262">
            <v>54.131015674196817</v>
          </cell>
          <cell r="Q262">
            <v>52.429183074474594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S"/>
      <sheetName val="PL (58) (ไม่แยก)"/>
      <sheetName val="PL (61) (exGTM)"/>
      <sheetName val="PL (62) (แยก COOI)"/>
      <sheetName val="PL (61) (แยก COOI)"/>
      <sheetName val="PL (60) (แยก COOI)"/>
      <sheetName val="PL (59) (แยก COOI)"/>
      <sheetName val="PL (58) (แยก COOI)"/>
      <sheetName val="PL (57)"/>
      <sheetName val="PL (56)"/>
      <sheetName val="PL (55)"/>
      <sheetName val="PL (54)"/>
      <sheetName val="ค่าใช้จ่ายทำการ57"/>
      <sheetName val="ค่าใช้จ่ายทำการ58"/>
      <sheetName val="Sheet3"/>
      <sheetName val="ค่าใช้จ่ายทำการ59"/>
      <sheetName val="Sheet4"/>
      <sheetName val="ค่าใช้จ่ายทำการ60"/>
      <sheetName val="Sheet5"/>
      <sheetName val="ค่าใช้จ่ายทำการ61"/>
      <sheetName val="Sheet6"/>
      <sheetName val="ค่าใช้จ่ายทำการ62"/>
      <sheetName val="Sheet7"/>
      <sheetName val="INCS (แยก COOI ออก)"/>
      <sheetName val="PL (63) (แยก COOI)"/>
      <sheetName val="ค่าใช้จ่ายทำการ63"/>
      <sheetName val="Sheet8"/>
      <sheetName val="PL (64) (แยก COOI)"/>
      <sheetName val="ค่าใช้จ่ายทำการ64"/>
      <sheetName val="Sheet9"/>
      <sheetName val="Sheet2"/>
      <sheetName val="Sheet1"/>
      <sheetName val="ค่าใช้จ่ายทำการ56"/>
      <sheetName val="ค่าใช้จ่ายทำการ55"/>
      <sheetName val="ค่าใช้จ่ายทำการ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9">
          <cell r="Q49">
            <v>13154.813037822038</v>
          </cell>
        </row>
      </sheetData>
      <sheetData sheetId="22"/>
      <sheetData sheetId="23"/>
      <sheetData sheetId="24"/>
      <sheetData sheetId="25">
        <row r="6">
          <cell r="R6">
            <v>6724.6427000000003</v>
          </cell>
        </row>
        <row r="47">
          <cell r="Q47">
            <v>0</v>
          </cell>
        </row>
      </sheetData>
      <sheetData sheetId="26"/>
      <sheetData sheetId="27"/>
      <sheetData sheetId="28">
        <row r="6">
          <cell r="R6">
            <v>6882.4000000000005</v>
          </cell>
        </row>
        <row r="47">
          <cell r="R47">
            <v>10619.272076004821</v>
          </cell>
        </row>
        <row r="48">
          <cell r="R48">
            <v>1634.3322560753998</v>
          </cell>
        </row>
        <row r="52">
          <cell r="R52">
            <v>1396.7574880635746</v>
          </cell>
        </row>
      </sheetData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 Monthly"/>
      <sheetName val="2021-2035 Yearly"/>
    </sheetNames>
    <sheetDataSet>
      <sheetData sheetId="0">
        <row r="27">
          <cell r="C27">
            <v>532.12851464007701</v>
          </cell>
          <cell r="D27">
            <v>763.22255711174785</v>
          </cell>
          <cell r="E27">
            <v>445.33658980260498</v>
          </cell>
          <cell r="F27">
            <v>520.70375115239142</v>
          </cell>
          <cell r="G27">
            <v>391.52353196959814</v>
          </cell>
          <cell r="H27">
            <v>511.65602828696012</v>
          </cell>
          <cell r="I27">
            <v>794.43816416615732</v>
          </cell>
          <cell r="J27">
            <v>299.724722502318</v>
          </cell>
          <cell r="K27">
            <v>778.80339088081837</v>
          </cell>
          <cell r="L27">
            <v>806.31898514427132</v>
          </cell>
          <cell r="M27">
            <v>161.76661309236246</v>
          </cell>
          <cell r="N27">
            <v>488.0702408621101</v>
          </cell>
        </row>
      </sheetData>
      <sheetData sheetId="1">
        <row r="27">
          <cell r="D27">
            <v>11499.504475968082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ัวเลขจอง 22มี.ค.59"/>
      <sheetName val="จองท่อ ฝน 7พย61"/>
      <sheetName val="Vol จองท่อ สทพ (6ก.ย.59)"/>
      <sheetName val="CDCZ (6ก.ย.59)"/>
      <sheetName val="CDC EGAT (6ก.ย.59)"/>
      <sheetName val="CDC EGAT (ก.ย.63)"/>
      <sheetName val="CDC IPP (ก.ย.63)"/>
      <sheetName val="ข้อมูลการจองท่อจาก บจก กค63"/>
      <sheetName val="CDC IPP (6ก.ย.59)"/>
      <sheetName val="DCQ+25% จากเอก"/>
      <sheetName val="CDC (20 พ.ค.58 )"/>
      <sheetName val="CDC (เต้ย 28 ต.ค.57 )"/>
      <sheetName val="PL SM ระยะยาว"/>
      <sheetName val="Detail SM ระยะยาว"/>
      <sheetName val="PL SM(64)"/>
      <sheetName val="data SM(64)"/>
      <sheetName val="PL SM(63)"/>
      <sheetName val="data SM(63)"/>
      <sheetName val="PL SM(62)"/>
      <sheetName val="data SM(62)"/>
      <sheetName val="PL SM(61)"/>
      <sheetName val="data SM(61)"/>
      <sheetName val="PL SM(60)"/>
      <sheetName val="data SM(60)"/>
      <sheetName val="PL SM(59)"/>
      <sheetName val="data SM(59)"/>
      <sheetName val="INVEST"/>
      <sheetName val="Depre"/>
      <sheetName val="PjAdm&amp;WIP"/>
      <sheetName val="PL SM(58)"/>
      <sheetName val="data SM(58)"/>
      <sheetName val="PL ท่อย่อย ระยะยาว"/>
      <sheetName val="Detail ท่อย่อย ระยะยาว"/>
      <sheetName val="PLท่อย่อย(64)"/>
      <sheetName val="data ท่อย่อย(64)"/>
      <sheetName val="PLท่อย่อย(63)"/>
      <sheetName val="data ท่อย่อย(63)"/>
      <sheetName val="PLท่อย่อย(62)"/>
      <sheetName val="data ท่อย่อย(62)"/>
      <sheetName val="PLท่อย่อย(61)"/>
      <sheetName val="data ท่อย่อย(61)"/>
      <sheetName val="PLท่อย่อย(60)"/>
      <sheetName val="data ท่อย่อย(60)"/>
      <sheetName val="PLท่อย่อย(59)"/>
      <sheetName val="data ท่อย่อย(59)"/>
      <sheetName val="PLท่อย่อย(58)"/>
      <sheetName val="data ท่อย่อย(58)"/>
      <sheetName val="PL SM(57)"/>
      <sheetName val="data SM(57)"/>
      <sheetName val="PLท่อย่อย(57)"/>
      <sheetName val="data ท่อย่อย(57)"/>
      <sheetName val="PL SM(56)"/>
      <sheetName val="data SM(56)"/>
      <sheetName val="PLท่อย่อย(56)"/>
      <sheetName val="data ท่อย่อย(56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03">
          <cell r="P103">
            <v>6796.0162037437858</v>
          </cell>
        </row>
      </sheetData>
      <sheetData sheetId="14"/>
      <sheetData sheetId="15">
        <row r="2">
          <cell r="U2">
            <v>31</v>
          </cell>
          <cell r="V2">
            <v>28</v>
          </cell>
          <cell r="W2">
            <v>31</v>
          </cell>
          <cell r="X2">
            <v>90</v>
          </cell>
          <cell r="Y2">
            <v>30</v>
          </cell>
          <cell r="Z2">
            <v>31</v>
          </cell>
          <cell r="AA2">
            <v>30</v>
          </cell>
          <cell r="AB2">
            <v>91</v>
          </cell>
          <cell r="AC2">
            <v>31</v>
          </cell>
          <cell r="AD2">
            <v>31</v>
          </cell>
          <cell r="AE2">
            <v>30</v>
          </cell>
          <cell r="AF2">
            <v>92</v>
          </cell>
          <cell r="AG2">
            <v>31</v>
          </cell>
          <cell r="AH2">
            <v>30</v>
          </cell>
          <cell r="AI2">
            <v>31</v>
          </cell>
          <cell r="AJ2">
            <v>92</v>
          </cell>
          <cell r="AK2">
            <v>365</v>
          </cell>
        </row>
        <row r="104">
          <cell r="C104">
            <v>689.50329192851177</v>
          </cell>
          <cell r="D104">
            <v>654.80115083578903</v>
          </cell>
          <cell r="E104">
            <v>722.52237401938669</v>
          </cell>
          <cell r="F104">
            <v>2066.8268167836877</v>
          </cell>
          <cell r="G104">
            <v>662.30161024048402</v>
          </cell>
          <cell r="H104">
            <v>716.82231539353666</v>
          </cell>
          <cell r="I104">
            <v>704.59428550797816</v>
          </cell>
          <cell r="J104">
            <v>2083.7182111419988</v>
          </cell>
          <cell r="K104">
            <v>729.15771254272624</v>
          </cell>
          <cell r="L104">
            <v>718.72313880493277</v>
          </cell>
          <cell r="M104">
            <v>689.25681107419143</v>
          </cell>
          <cell r="N104">
            <v>2137.1376624218506</v>
          </cell>
          <cell r="O104">
            <v>690.66412529896866</v>
          </cell>
          <cell r="P104">
            <v>653.35878784738679</v>
          </cell>
          <cell r="Q104">
            <v>653.61060433890793</v>
          </cell>
          <cell r="R104">
            <v>1997.6335174852634</v>
          </cell>
          <cell r="S104">
            <v>8285.3162078328005</v>
          </cell>
          <cell r="U104">
            <v>119.22223247302637</v>
          </cell>
          <cell r="V104">
            <v>125.26413505820892</v>
          </cell>
          <cell r="W104">
            <v>125.27683260587499</v>
          </cell>
          <cell r="X104">
            <v>123.18740887861991</v>
          </cell>
          <cell r="Y104">
            <v>116.89690853685792</v>
          </cell>
          <cell r="Z104">
            <v>122.25214207099722</v>
          </cell>
          <cell r="AA104">
            <v>124.31969457780907</v>
          </cell>
          <cell r="AB104">
            <v>121.16829118286729</v>
          </cell>
          <cell r="AC104">
            <v>123.55135209200212</v>
          </cell>
          <cell r="AD104">
            <v>122.10511829471244</v>
          </cell>
          <cell r="AE104">
            <v>121.91064956450373</v>
          </cell>
          <cell r="AF104">
            <v>122.52902248829635</v>
          </cell>
          <cell r="AG104">
            <v>122.76572049198295</v>
          </cell>
          <cell r="AH104">
            <v>119.14095934112159</v>
          </cell>
          <cell r="AI104">
            <v>115.08767114197904</v>
          </cell>
          <cell r="AJ104">
            <v>118.99656435746162</v>
          </cell>
          <cell r="AK104">
            <v>121.46174051103135</v>
          </cell>
          <cell r="BE104">
            <v>186.55951338728261</v>
          </cell>
          <cell r="BF104">
            <v>186.69154883099901</v>
          </cell>
          <cell r="BG104">
            <v>186.04535947032775</v>
          </cell>
          <cell r="BH104">
            <v>186.42118230878174</v>
          </cell>
          <cell r="BI104">
            <v>188.8563232139592</v>
          </cell>
          <cell r="BJ104">
            <v>189.14433812650068</v>
          </cell>
          <cell r="BK104">
            <v>188.91999584908555</v>
          </cell>
          <cell r="BL104">
            <v>188.97685274511346</v>
          </cell>
          <cell r="BM104">
            <v>190.37603502810177</v>
          </cell>
          <cell r="BN104">
            <v>189.8742469160546</v>
          </cell>
          <cell r="BO104">
            <v>188.4595572075107</v>
          </cell>
          <cell r="BP104">
            <v>189.58575469298592</v>
          </cell>
          <cell r="BQ104">
            <v>181.47971456189097</v>
          </cell>
          <cell r="BR104">
            <v>182.79713695458429</v>
          </cell>
          <cell r="BS104">
            <v>183.20131803848764</v>
          </cell>
          <cell r="BT104">
            <v>182.47087986109017</v>
          </cell>
          <cell r="BU104">
            <v>186.88598042734523</v>
          </cell>
        </row>
        <row r="105">
          <cell r="C105">
            <v>376.49835354593631</v>
          </cell>
          <cell r="D105">
            <v>342.37812134251948</v>
          </cell>
          <cell r="E105">
            <v>377.30766227931679</v>
          </cell>
          <cell r="F105">
            <v>1096.1841371677724</v>
          </cell>
          <cell r="G105">
            <v>369.8696147707555</v>
          </cell>
          <cell r="H105">
            <v>400.46083573893389</v>
          </cell>
          <cell r="I105">
            <v>374.58021516131203</v>
          </cell>
          <cell r="J105">
            <v>1144.9106656710014</v>
          </cell>
          <cell r="K105">
            <v>397.69015810379005</v>
          </cell>
          <cell r="L105">
            <v>398.31609143793696</v>
          </cell>
          <cell r="M105">
            <v>367.2842138884331</v>
          </cell>
          <cell r="N105">
            <v>1163.2904634301601</v>
          </cell>
          <cell r="O105">
            <v>374.11780478427517</v>
          </cell>
          <cell r="P105">
            <v>370.28304714901282</v>
          </cell>
          <cell r="Q105">
            <v>373.61430218803918</v>
          </cell>
          <cell r="R105">
            <v>1118.0151541213272</v>
          </cell>
          <cell r="S105">
            <v>4522.4004203902614</v>
          </cell>
          <cell r="U105">
            <v>65.100449494038401</v>
          </cell>
          <cell r="V105">
            <v>65.497287501836681</v>
          </cell>
          <cell r="W105">
            <v>65.420685293562528</v>
          </cell>
          <cell r="X105">
            <v>65.334213649633952</v>
          </cell>
          <cell r="Y105">
            <v>65.282363593711509</v>
          </cell>
          <cell r="Z105">
            <v>68.297531945205762</v>
          </cell>
          <cell r="AA105">
            <v>66.091506703281411</v>
          </cell>
          <cell r="AB105">
            <v>66.57625933199084</v>
          </cell>
          <cell r="AC105">
            <v>67.386185323420264</v>
          </cell>
          <cell r="AD105">
            <v>67.670610333469583</v>
          </cell>
          <cell r="AE105">
            <v>64.962516685391648</v>
          </cell>
          <cell r="AF105">
            <v>66.691697455710155</v>
          </cell>
          <cell r="AG105">
            <v>66.499533088300026</v>
          </cell>
          <cell r="AH105">
            <v>67.521671531250362</v>
          </cell>
          <cell r="AI105">
            <v>65.785958273500796</v>
          </cell>
          <cell r="AJ105">
            <v>66.592395414710168</v>
          </cell>
          <cell r="AK105">
            <v>66.303165402073674</v>
          </cell>
          <cell r="BE105">
            <v>186.55951338728261</v>
          </cell>
          <cell r="BF105">
            <v>186.69154883099901</v>
          </cell>
          <cell r="BG105">
            <v>186.04535947032775</v>
          </cell>
          <cell r="BH105">
            <v>186.42336175690426</v>
          </cell>
          <cell r="BI105">
            <v>188.8563232139592</v>
          </cell>
          <cell r="BJ105">
            <v>189.14433812650068</v>
          </cell>
          <cell r="BK105">
            <v>188.91999584908555</v>
          </cell>
          <cell r="BL105">
            <v>188.97781300321515</v>
          </cell>
          <cell r="BM105">
            <v>190.37603502810177</v>
          </cell>
          <cell r="BN105">
            <v>189.8742469160546</v>
          </cell>
          <cell r="BO105">
            <v>188.4595572075107</v>
          </cell>
          <cell r="BP105">
            <v>189.59573742174791</v>
          </cell>
          <cell r="BQ105">
            <v>181.47971456189097</v>
          </cell>
          <cell r="BR105">
            <v>182.79713695458429</v>
          </cell>
          <cell r="BS105">
            <v>183.20131803848764</v>
          </cell>
          <cell r="BT105">
            <v>182.48838408760889</v>
          </cell>
          <cell r="BU105">
            <v>186.87098968683625</v>
          </cell>
        </row>
        <row r="106">
          <cell r="C106">
            <v>1320.3449860531643</v>
          </cell>
          <cell r="D106">
            <v>1205.4170154098251</v>
          </cell>
          <cell r="E106">
            <v>1329.6358550554589</v>
          </cell>
          <cell r="F106">
            <v>3855.397856518448</v>
          </cell>
          <cell r="G106">
            <v>1292.2869006372046</v>
          </cell>
          <cell r="H106">
            <v>1387.634369352819</v>
          </cell>
          <cell r="I106">
            <v>1299.4605358600238</v>
          </cell>
          <cell r="J106">
            <v>3979.3818058500474</v>
          </cell>
          <cell r="K106">
            <v>1374.2919138721986</v>
          </cell>
          <cell r="L106">
            <v>1381.5708352423055</v>
          </cell>
          <cell r="M106">
            <v>985.47542855838185</v>
          </cell>
          <cell r="N106">
            <v>3741.3381776728861</v>
          </cell>
          <cell r="O106">
            <v>299.03183260325329</v>
          </cell>
          <cell r="P106">
            <v>1243.6893404479549</v>
          </cell>
          <cell r="Q106">
            <v>1236.5864454043815</v>
          </cell>
          <cell r="R106">
            <v>2779.3076184555894</v>
          </cell>
          <cell r="S106">
            <v>14355.425458496971</v>
          </cell>
          <cell r="U106">
            <v>228.30126950016938</v>
          </cell>
          <cell r="V106">
            <v>230.59751747080554</v>
          </cell>
          <cell r="W106">
            <v>230.54312839325681</v>
          </cell>
          <cell r="X106">
            <v>229.78785359865296</v>
          </cell>
          <cell r="Y106">
            <v>228.08995371808766</v>
          </cell>
          <cell r="Z106">
            <v>236.65735625374069</v>
          </cell>
          <cell r="AA106">
            <v>229.27880662211962</v>
          </cell>
          <cell r="AB106">
            <v>231.4004489458481</v>
          </cell>
          <cell r="AC106">
            <v>232.86542980653996</v>
          </cell>
          <cell r="AD106">
            <v>234.71746095483931</v>
          </cell>
          <cell r="AE106">
            <v>174.30360889459268</v>
          </cell>
          <cell r="AF106">
            <v>214.39323783087545</v>
          </cell>
          <cell r="AG106">
            <v>53.152982810110998</v>
          </cell>
          <cell r="AH106">
            <v>226.78862502406116</v>
          </cell>
          <cell r="AI106">
            <v>217.73798225209813</v>
          </cell>
          <cell r="AJ106">
            <v>165.2312898657643</v>
          </cell>
          <cell r="AK106">
            <v>210.03781979737479</v>
          </cell>
          <cell r="BE106">
            <v>186.55951338728261</v>
          </cell>
          <cell r="BF106">
            <v>186.69154883099901</v>
          </cell>
          <cell r="BG106">
            <v>186.04535947032775</v>
          </cell>
          <cell r="BH106">
            <v>186.42305626883319</v>
          </cell>
          <cell r="BI106">
            <v>188.8563232139592</v>
          </cell>
          <cell r="BJ106">
            <v>189.14433812650068</v>
          </cell>
          <cell r="BK106">
            <v>188.91999584908555</v>
          </cell>
          <cell r="BL106">
            <v>188.97746565820214</v>
          </cell>
          <cell r="BM106">
            <v>190.37603502810177</v>
          </cell>
          <cell r="BN106">
            <v>189.8742469160546</v>
          </cell>
          <cell r="BO106">
            <v>188.4595572075107</v>
          </cell>
          <cell r="BP106">
            <v>189.68284510265855</v>
          </cell>
          <cell r="BQ106">
            <v>181.47971456189097</v>
          </cell>
          <cell r="BR106">
            <v>182.79713695458429</v>
          </cell>
          <cell r="BS106">
            <v>183.20131803848764</v>
          </cell>
          <cell r="BT106">
            <v>182.83380491999037</v>
          </cell>
          <cell r="BU106">
            <v>187.25167115592475</v>
          </cell>
        </row>
        <row r="107">
          <cell r="C107">
            <v>153.51200009847656</v>
          </cell>
          <cell r="D107">
            <v>104.60042177316204</v>
          </cell>
          <cell r="E107">
            <v>212.89414691526321</v>
          </cell>
          <cell r="F107">
            <v>471.00656878690182</v>
          </cell>
          <cell r="G107">
            <v>207.98624483321086</v>
          </cell>
          <cell r="H107">
            <v>111.33959173642393</v>
          </cell>
          <cell r="I107">
            <v>175.67647456346461</v>
          </cell>
          <cell r="J107">
            <v>495.0023111330994</v>
          </cell>
          <cell r="K107">
            <v>213.03109254518816</v>
          </cell>
          <cell r="L107">
            <v>176.44151670228837</v>
          </cell>
          <cell r="M107">
            <v>158.11342733247426</v>
          </cell>
          <cell r="N107">
            <v>547.58603657995081</v>
          </cell>
          <cell r="O107">
            <v>192.74979428907201</v>
          </cell>
          <cell r="P107">
            <v>196.83417224484523</v>
          </cell>
          <cell r="Q107">
            <v>195.73335500686764</v>
          </cell>
          <cell r="R107">
            <v>585.31732154078486</v>
          </cell>
          <cell r="S107">
            <v>2098.9122380407371</v>
          </cell>
          <cell r="U107">
            <v>26.543808532008271</v>
          </cell>
          <cell r="V107">
            <v>20.010168496824885</v>
          </cell>
          <cell r="W107">
            <v>36.913326652439913</v>
          </cell>
          <cell r="X107">
            <v>28.082843429211</v>
          </cell>
          <cell r="Y107">
            <v>36.709783976463946</v>
          </cell>
          <cell r="Z107">
            <v>18.988671662119486</v>
          </cell>
          <cell r="AA107">
            <v>30.996626159819836</v>
          </cell>
          <cell r="AB107">
            <v>28.789462918837557</v>
          </cell>
          <cell r="AC107">
            <v>36.096826610816585</v>
          </cell>
          <cell r="AD107">
            <v>29.975954725563284</v>
          </cell>
          <cell r="AE107">
            <v>27.96593420808005</v>
          </cell>
          <cell r="AF107">
            <v>31.382980952936713</v>
          </cell>
          <cell r="AG107">
            <v>34.261323997878662</v>
          </cell>
          <cell r="AH107">
            <v>35.893007867285583</v>
          </cell>
          <cell r="AI107">
            <v>34.46470397360055</v>
          </cell>
          <cell r="AJ107">
            <v>34.86192503406982</v>
          </cell>
          <cell r="AK107">
            <v>30.799529822048793</v>
          </cell>
          <cell r="BE107">
            <v>186.55951338728261</v>
          </cell>
          <cell r="BF107">
            <v>186.69154883099901</v>
          </cell>
          <cell r="BG107">
            <v>186.04535947032775</v>
          </cell>
          <cell r="BH107">
            <v>186.35599821102227</v>
          </cell>
          <cell r="BI107">
            <v>188.8563232139592</v>
          </cell>
          <cell r="BJ107">
            <v>189.14433812650068</v>
          </cell>
          <cell r="BK107">
            <v>188.91999584908555</v>
          </cell>
          <cell r="BL107">
            <v>188.9436371898494</v>
          </cell>
          <cell r="BM107">
            <v>190.37603502810177</v>
          </cell>
          <cell r="BN107">
            <v>189.8742469160546</v>
          </cell>
          <cell r="BO107">
            <v>188.4595572075107</v>
          </cell>
          <cell r="BP107">
            <v>189.65764105278933</v>
          </cell>
          <cell r="BQ107">
            <v>181.47971456189097</v>
          </cell>
          <cell r="BR107">
            <v>182.79713695458429</v>
          </cell>
          <cell r="BS107">
            <v>183.20131803848764</v>
          </cell>
          <cell r="BT107">
            <v>182.4955103064093</v>
          </cell>
          <cell r="BU107">
            <v>186.70559326740786</v>
          </cell>
        </row>
        <row r="108">
          <cell r="C108">
            <v>1197.7050478019535</v>
          </cell>
          <cell r="D108">
            <v>1103.8783971704452</v>
          </cell>
          <cell r="E108">
            <v>1225.6534166544232</v>
          </cell>
          <cell r="F108">
            <v>3527.2368616268222</v>
          </cell>
          <cell r="G108">
            <v>1201.2233610630421</v>
          </cell>
          <cell r="H108">
            <v>1231.8791126424119</v>
          </cell>
          <cell r="I108">
            <v>1198.6226647499802</v>
          </cell>
          <cell r="J108">
            <v>3631.7251384554343</v>
          </cell>
          <cell r="K108">
            <v>1250.9376785012248</v>
          </cell>
          <cell r="L108">
            <v>1242.0025565833457</v>
          </cell>
          <cell r="M108">
            <v>1186.4553863777721</v>
          </cell>
          <cell r="N108">
            <v>3679.3956214623422</v>
          </cell>
          <cell r="O108">
            <v>1179.289812676933</v>
          </cell>
          <cell r="P108">
            <v>1141.0535823854684</v>
          </cell>
          <cell r="Q108">
            <v>1181.2666880719055</v>
          </cell>
          <cell r="R108">
            <v>3501.6100831343065</v>
          </cell>
          <cell r="S108">
            <v>14339.967704678904</v>
          </cell>
          <cell r="U108">
            <v>207.0955589548752</v>
          </cell>
          <cell r="V108">
            <v>211.17307514579301</v>
          </cell>
          <cell r="W108">
            <v>212.51380363055026</v>
          </cell>
          <cell r="X108">
            <v>210.23040382478214</v>
          </cell>
          <cell r="Y108">
            <v>212.01714626593881</v>
          </cell>
          <cell r="Z108">
            <v>210.09371089455351</v>
          </cell>
          <cell r="AA108">
            <v>211.48681824509333</v>
          </cell>
          <cell r="AB108">
            <v>211.18707662705629</v>
          </cell>
          <cell r="AC108">
            <v>211.96380275906378</v>
          </cell>
          <cell r="AD108">
            <v>211.00596447487553</v>
          </cell>
          <cell r="AE108">
            <v>209.85145813386717</v>
          </cell>
          <cell r="AF108">
            <v>210.95224487247972</v>
          </cell>
          <cell r="AG108">
            <v>209.61905826434776</v>
          </cell>
          <cell r="AH108">
            <v>208.07283990612351</v>
          </cell>
          <cell r="AI108">
            <v>207.9972864964447</v>
          </cell>
          <cell r="AJ108">
            <v>208.56839005182903</v>
          </cell>
          <cell r="AK108">
            <v>210.23194172692857</v>
          </cell>
          <cell r="BE108">
            <v>186.55951338728261</v>
          </cell>
          <cell r="BF108">
            <v>186.69154883099901</v>
          </cell>
          <cell r="BG108">
            <v>186.04535947032775</v>
          </cell>
          <cell r="BH108">
            <v>186.42175428349029</v>
          </cell>
          <cell r="BI108">
            <v>188.8563232139592</v>
          </cell>
          <cell r="BJ108">
            <v>189.14433812650068</v>
          </cell>
          <cell r="BK108">
            <v>188.91999584908555</v>
          </cell>
          <cell r="BL108">
            <v>188.97495099111219</v>
          </cell>
          <cell r="BM108">
            <v>190.37603502810177</v>
          </cell>
          <cell r="BN108">
            <v>189.8742469160546</v>
          </cell>
          <cell r="BO108">
            <v>188.4595572075107</v>
          </cell>
          <cell r="BP108">
            <v>189.58523381557234</v>
          </cell>
          <cell r="BQ108">
            <v>181.47971456189097</v>
          </cell>
          <cell r="BR108">
            <v>182.79713695458429</v>
          </cell>
          <cell r="BS108">
            <v>183.20131803848764</v>
          </cell>
          <cell r="BT108">
            <v>182.48680519154993</v>
          </cell>
          <cell r="BU108">
            <v>186.87732430106078</v>
          </cell>
        </row>
        <row r="109">
          <cell r="C109">
            <v>1805.5511250340082</v>
          </cell>
          <cell r="D109">
            <v>1624.1787906378665</v>
          </cell>
          <cell r="E109">
            <v>1726.7924769238482</v>
          </cell>
          <cell r="F109">
            <v>5156.5223925957225</v>
          </cell>
          <cell r="G109">
            <v>1775.0144439329829</v>
          </cell>
          <cell r="H109">
            <v>1880.749411524451</v>
          </cell>
          <cell r="I109">
            <v>1780.644402470668</v>
          </cell>
          <cell r="J109">
            <v>5436.4082579281021</v>
          </cell>
          <cell r="K109">
            <v>278.67961916721782</v>
          </cell>
          <cell r="L109">
            <v>1884.8107637211704</v>
          </cell>
          <cell r="M109">
            <v>1681.3089381245297</v>
          </cell>
          <cell r="N109">
            <v>3844.799321012918</v>
          </cell>
          <cell r="O109">
            <v>1320.4423956725211</v>
          </cell>
          <cell r="P109">
            <v>1728.0618247035147</v>
          </cell>
          <cell r="Q109">
            <v>1786.4131921707303</v>
          </cell>
          <cell r="R109">
            <v>4834.9174125467662</v>
          </cell>
          <cell r="S109">
            <v>19272.64738408351</v>
          </cell>
          <cell r="U109">
            <v>312.19841658574325</v>
          </cell>
          <cell r="V109">
            <v>310.7070766895485</v>
          </cell>
          <cell r="W109">
            <v>299.40538847710297</v>
          </cell>
          <cell r="X109">
            <v>307.32795671395104</v>
          </cell>
          <cell r="Y109">
            <v>313.2918566039632</v>
          </cell>
          <cell r="Z109">
            <v>320.75681702431655</v>
          </cell>
          <cell r="AA109">
            <v>314.17962481379249</v>
          </cell>
          <cell r="AB109">
            <v>316.12753593721413</v>
          </cell>
          <cell r="AC109">
            <v>47.220571292491726</v>
          </cell>
          <cell r="AD109">
            <v>320.21376360582707</v>
          </cell>
          <cell r="AE109">
            <v>297.37749627156688</v>
          </cell>
          <cell r="AF109">
            <v>220.78031815211835</v>
          </cell>
          <cell r="AG109">
            <v>234.70896508882154</v>
          </cell>
          <cell r="AH109">
            <v>315.11467730351626</v>
          </cell>
          <cell r="AI109">
            <v>314.55140510179672</v>
          </cell>
          <cell r="AJ109">
            <v>287.83164994581142</v>
          </cell>
          <cell r="AK109">
            <v>282.79293956041539</v>
          </cell>
          <cell r="BE109">
            <v>186.55951338728261</v>
          </cell>
          <cell r="BF109">
            <v>186.69154883099901</v>
          </cell>
          <cell r="BG109">
            <v>186.04535947032775</v>
          </cell>
          <cell r="BH109">
            <v>186.42851064926469</v>
          </cell>
          <cell r="BI109">
            <v>188.8563232139592</v>
          </cell>
          <cell r="BJ109">
            <v>189.14433812650068</v>
          </cell>
          <cell r="BK109">
            <v>188.91999584908555</v>
          </cell>
          <cell r="BL109">
            <v>188.97673658832133</v>
          </cell>
          <cell r="BM109">
            <v>190.37603502810177</v>
          </cell>
          <cell r="BN109">
            <v>189.8742469160546</v>
          </cell>
          <cell r="BO109">
            <v>188.4595572075107</v>
          </cell>
          <cell r="BP109">
            <v>189.28905129458767</v>
          </cell>
          <cell r="BQ109">
            <v>181.47971456189097</v>
          </cell>
          <cell r="BR109">
            <v>182.79713695458429</v>
          </cell>
          <cell r="BS109">
            <v>183.20131803848764</v>
          </cell>
          <cell r="BT109">
            <v>182.58398666815083</v>
          </cell>
          <cell r="BU109">
            <v>186.71531805956855</v>
          </cell>
        </row>
        <row r="113">
          <cell r="C113">
            <v>88.535284413454946</v>
          </cell>
          <cell r="D113">
            <v>84.742891234221389</v>
          </cell>
          <cell r="E113">
            <v>90.1084606019094</v>
          </cell>
          <cell r="F113">
            <v>263.38663624958576</v>
          </cell>
          <cell r="G113">
            <v>83.91266614989118</v>
          </cell>
          <cell r="H113">
            <v>109.87813702045121</v>
          </cell>
          <cell r="I113">
            <v>91.700725287988789</v>
          </cell>
          <cell r="J113">
            <v>285.49152845833117</v>
          </cell>
          <cell r="K113">
            <v>86.833827569605134</v>
          </cell>
          <cell r="L113">
            <v>98.651132059624629</v>
          </cell>
          <cell r="M113">
            <v>86.82748064890022</v>
          </cell>
          <cell r="N113">
            <v>272.31244027813</v>
          </cell>
          <cell r="O113">
            <v>82.794771100074115</v>
          </cell>
          <cell r="P113">
            <v>80.553161028394285</v>
          </cell>
          <cell r="Q113">
            <v>83.255749956442216</v>
          </cell>
          <cell r="R113">
            <v>246.60368208491064</v>
          </cell>
          <cell r="S113">
            <v>1067.7942870709576</v>
          </cell>
          <cell r="U113">
            <v>15.308664054211397</v>
          </cell>
          <cell r="V113">
            <v>16.211402437575597</v>
          </cell>
          <cell r="W113">
            <v>15.6237411339951</v>
          </cell>
          <cell r="X113">
            <v>15.698042545405757</v>
          </cell>
          <cell r="Y113">
            <v>14.810671012027276</v>
          </cell>
          <cell r="Z113">
            <v>18.739424441810314</v>
          </cell>
          <cell r="AA113">
            <v>16.179816377800091</v>
          </cell>
          <cell r="AB113">
            <v>16.600404169131217</v>
          </cell>
          <cell r="AC113">
            <v>14.713465439645654</v>
          </cell>
          <cell r="AD113">
            <v>16.760011609028066</v>
          </cell>
          <cell r="AE113">
            <v>15.357402924259848</v>
          </cell>
          <cell r="AF113">
            <v>15.613042133007399</v>
          </cell>
          <cell r="AG113">
            <v>14.716791208272978</v>
          </cell>
          <cell r="AH113">
            <v>14.6889902782244</v>
          </cell>
          <cell r="AI113">
            <v>14.659661743642063</v>
          </cell>
          <cell r="AJ113">
            <v>14.688475541914114</v>
          </cell>
          <cell r="AK113">
            <v>15.647123930329421</v>
          </cell>
          <cell r="BE113">
            <v>186.55951338728261</v>
          </cell>
          <cell r="BF113">
            <v>186.69154883099901</v>
          </cell>
          <cell r="BG113">
            <v>186.04535947032775</v>
          </cell>
          <cell r="BH113">
            <v>186.42567518123067</v>
          </cell>
          <cell r="BI113">
            <v>188.8563232139592</v>
          </cell>
          <cell r="BJ113">
            <v>189.14433812650068</v>
          </cell>
          <cell r="BK113">
            <v>188.91999584908555</v>
          </cell>
          <cell r="BL113">
            <v>188.98753979327566</v>
          </cell>
          <cell r="BM113">
            <v>190.37603502810177</v>
          </cell>
          <cell r="BN113">
            <v>189.8742469160546</v>
          </cell>
          <cell r="BO113">
            <v>188.4595572075107</v>
          </cell>
          <cell r="BP113">
            <v>189.57982716594171</v>
          </cell>
          <cell r="BQ113">
            <v>181.47971456189097</v>
          </cell>
          <cell r="BR113">
            <v>182.79713695458429</v>
          </cell>
          <cell r="BS113">
            <v>183.20131803848764</v>
          </cell>
          <cell r="BT113">
            <v>182.48829142424844</v>
          </cell>
          <cell r="BU113">
            <v>186.96495363750947</v>
          </cell>
        </row>
      </sheetData>
      <sheetData sheetId="16"/>
      <sheetData sheetId="17">
        <row r="2">
          <cell r="U2">
            <v>31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01">
          <cell r="U101">
            <v>0</v>
          </cell>
        </row>
      </sheetData>
      <sheetData sheetId="35"/>
      <sheetData sheetId="36">
        <row r="101">
          <cell r="C101">
            <v>2.28305E-3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_P"/>
      <sheetName val="PP_Y"/>
      <sheetName val="PP12"/>
      <sheetName val="PP13"/>
      <sheetName val="PP14"/>
      <sheetName val="PP15"/>
      <sheetName val="PP16"/>
      <sheetName val="PP17"/>
      <sheetName val="PP18"/>
      <sheetName val="PP19"/>
      <sheetName val="PP20"/>
      <sheetName val="PP21"/>
    </sheetNames>
    <sheetDataSet>
      <sheetData sheetId="0"/>
      <sheetData sheetId="1">
        <row r="13">
          <cell r="I13">
            <v>31.049558333333334</v>
          </cell>
        </row>
      </sheetData>
      <sheetData sheetId="2"/>
      <sheetData sheetId="3"/>
      <sheetData sheetId="4"/>
      <sheetData sheetId="5">
        <row r="145">
          <cell r="B145">
            <v>316.32331760664601</v>
          </cell>
        </row>
      </sheetData>
      <sheetData sheetId="6"/>
      <sheetData sheetId="7"/>
      <sheetData sheetId="8">
        <row r="18">
          <cell r="S18" t="str">
            <v>v</v>
          </cell>
        </row>
      </sheetData>
      <sheetData sheetId="9">
        <row r="19">
          <cell r="B19">
            <v>0</v>
          </cell>
        </row>
      </sheetData>
      <sheetData sheetId="10">
        <row r="13">
          <cell r="B13">
            <v>30.439599999999999</v>
          </cell>
        </row>
      </sheetData>
      <sheetData sheetId="11">
        <row r="13">
          <cell r="B13">
            <v>31</v>
          </cell>
          <cell r="C13">
            <v>31</v>
          </cell>
          <cell r="D13">
            <v>31</v>
          </cell>
          <cell r="E13">
            <v>31</v>
          </cell>
          <cell r="F13">
            <v>31</v>
          </cell>
          <cell r="G13">
            <v>31</v>
          </cell>
          <cell r="H13">
            <v>31</v>
          </cell>
          <cell r="I13">
            <v>31</v>
          </cell>
          <cell r="J13">
            <v>31</v>
          </cell>
          <cell r="K13">
            <v>31</v>
          </cell>
          <cell r="L13">
            <v>31</v>
          </cell>
          <cell r="M13">
            <v>31</v>
          </cell>
          <cell r="N13">
            <v>31</v>
          </cell>
          <cell r="O13">
            <v>31</v>
          </cell>
          <cell r="P13">
            <v>31</v>
          </cell>
          <cell r="Q13">
            <v>31</v>
          </cell>
          <cell r="R13">
            <v>31</v>
          </cell>
        </row>
        <row r="18">
          <cell r="B18">
            <v>31</v>
          </cell>
          <cell r="C18">
            <v>31</v>
          </cell>
          <cell r="D18">
            <v>31</v>
          </cell>
          <cell r="E18">
            <v>31</v>
          </cell>
          <cell r="F18">
            <v>31</v>
          </cell>
          <cell r="G18">
            <v>31</v>
          </cell>
          <cell r="H18">
            <v>31</v>
          </cell>
          <cell r="I18">
            <v>31</v>
          </cell>
          <cell r="J18">
            <v>31</v>
          </cell>
          <cell r="K18">
            <v>31</v>
          </cell>
          <cell r="L18">
            <v>31</v>
          </cell>
          <cell r="M18">
            <v>31</v>
          </cell>
          <cell r="N18">
            <v>31</v>
          </cell>
          <cell r="O18">
            <v>31</v>
          </cell>
          <cell r="P18">
            <v>31</v>
          </cell>
          <cell r="Q18">
            <v>31</v>
          </cell>
          <cell r="R18">
            <v>31</v>
          </cell>
        </row>
        <row r="20">
          <cell r="B20">
            <v>13.246858949318346</v>
          </cell>
          <cell r="C20">
            <v>13.22860117793204</v>
          </cell>
          <cell r="D20">
            <v>13.22860117793204</v>
          </cell>
          <cell r="F20">
            <v>13.22860117793204</v>
          </cell>
          <cell r="G20">
            <v>13.347994714317307</v>
          </cell>
          <cell r="H20">
            <v>13.347994714317307</v>
          </cell>
          <cell r="J20">
            <v>13.347994714317307</v>
          </cell>
          <cell r="K20">
            <v>13.197568325318301</v>
          </cell>
          <cell r="L20">
            <v>13.197568325318301</v>
          </cell>
          <cell r="N20">
            <v>13.197568325318301</v>
          </cell>
          <cell r="O20">
            <v>13.008972589571291</v>
          </cell>
          <cell r="P20">
            <v>13.008972589571291</v>
          </cell>
        </row>
        <row r="21">
          <cell r="B21">
            <v>13.406496000000001</v>
          </cell>
          <cell r="C21">
            <v>13.0138</v>
          </cell>
          <cell r="D21">
            <v>13.261800000000001</v>
          </cell>
          <cell r="F21">
            <v>12.982800000000001</v>
          </cell>
          <cell r="G21">
            <v>12.610799999999999</v>
          </cell>
          <cell r="H21">
            <v>12.8588</v>
          </cell>
          <cell r="J21">
            <v>13.0448</v>
          </cell>
          <cell r="K21">
            <v>13.447800000000001</v>
          </cell>
          <cell r="L21">
            <v>13.571800000000001</v>
          </cell>
          <cell r="N21">
            <v>13.6958</v>
          </cell>
          <cell r="O21">
            <v>13.943800000000001</v>
          </cell>
          <cell r="P21">
            <v>13.819800000000001</v>
          </cell>
        </row>
        <row r="178">
          <cell r="B178">
            <v>42.710829125834209</v>
          </cell>
          <cell r="C178">
            <v>42.618281283741396</v>
          </cell>
          <cell r="D178">
            <v>43.428074902053531</v>
          </cell>
          <cell r="F178">
            <v>42.849650888973436</v>
          </cell>
          <cell r="G178">
            <v>42.849650888973436</v>
          </cell>
          <cell r="H178">
            <v>43.613170586239164</v>
          </cell>
          <cell r="J178">
            <v>44.770018612399355</v>
          </cell>
          <cell r="K178">
            <v>44.746881651876151</v>
          </cell>
          <cell r="L178">
            <v>45.464127428095466</v>
          </cell>
          <cell r="N178">
            <v>46.273921046407601</v>
          </cell>
          <cell r="O178">
            <v>47.315084269951768</v>
          </cell>
          <cell r="P178">
            <v>46.898618980534103</v>
          </cell>
        </row>
        <row r="245">
          <cell r="B245">
            <v>375.96129032258068</v>
          </cell>
          <cell r="C245">
            <v>364.96129032258068</v>
          </cell>
          <cell r="D245">
            <v>372.96129032258068</v>
          </cell>
          <cell r="F245">
            <v>363.96129032258068</v>
          </cell>
          <cell r="G245">
            <v>351.96129032258068</v>
          </cell>
          <cell r="H245">
            <v>359.96129032258068</v>
          </cell>
          <cell r="J245">
            <v>365.96129032258068</v>
          </cell>
          <cell r="K245">
            <v>378.96129032258068</v>
          </cell>
          <cell r="L245">
            <v>382.96129032258068</v>
          </cell>
          <cell r="N245">
            <v>386.96129032258068</v>
          </cell>
          <cell r="O245">
            <v>394.96129032258068</v>
          </cell>
          <cell r="P245">
            <v>390.96129032258068</v>
          </cell>
        </row>
        <row r="533">
          <cell r="B533">
            <v>11470</v>
          </cell>
          <cell r="C533">
            <v>11470</v>
          </cell>
          <cell r="D533">
            <v>11470</v>
          </cell>
          <cell r="F533">
            <v>11470</v>
          </cell>
          <cell r="G533">
            <v>11470</v>
          </cell>
          <cell r="H533">
            <v>11470</v>
          </cell>
          <cell r="J533">
            <v>11470</v>
          </cell>
          <cell r="K533">
            <v>11470</v>
          </cell>
          <cell r="L533">
            <v>11470</v>
          </cell>
          <cell r="N533">
            <v>11470</v>
          </cell>
          <cell r="O533">
            <v>11470</v>
          </cell>
          <cell r="P533">
            <v>11470</v>
          </cell>
        </row>
        <row r="534">
          <cell r="B534">
            <v>12038.912</v>
          </cell>
          <cell r="C534">
            <v>12038.912</v>
          </cell>
          <cell r="D534">
            <v>12038.912</v>
          </cell>
          <cell r="F534">
            <v>12038.912</v>
          </cell>
          <cell r="G534">
            <v>12038.912</v>
          </cell>
          <cell r="H534">
            <v>12038.912</v>
          </cell>
          <cell r="J534">
            <v>12038.912</v>
          </cell>
          <cell r="K534">
            <v>12038.912</v>
          </cell>
          <cell r="L534">
            <v>12038.912</v>
          </cell>
          <cell r="N534">
            <v>12038.912</v>
          </cell>
          <cell r="O534">
            <v>12038.912</v>
          </cell>
          <cell r="P534">
            <v>12038.912</v>
          </cell>
        </row>
        <row r="535">
          <cell r="B535">
            <v>11761.751622507298</v>
          </cell>
          <cell r="C535">
            <v>11761.6918353737</v>
          </cell>
          <cell r="D535">
            <v>11763.147509921177</v>
          </cell>
          <cell r="F535">
            <v>11761.394469876264</v>
          </cell>
          <cell r="G535">
            <v>11762.904198722728</v>
          </cell>
          <cell r="H535">
            <v>11761.362102041465</v>
          </cell>
          <cell r="J535">
            <v>11688.376399999999</v>
          </cell>
          <cell r="K535">
            <v>11767.492403025895</v>
          </cell>
          <cell r="L535">
            <v>11688.376399999999</v>
          </cell>
          <cell r="N535">
            <v>0</v>
          </cell>
          <cell r="O535">
            <v>11767.39579622044</v>
          </cell>
          <cell r="P535">
            <v>11767.396343504515</v>
          </cell>
        </row>
        <row r="539">
          <cell r="B539">
            <v>13950</v>
          </cell>
          <cell r="C539">
            <v>13950</v>
          </cell>
          <cell r="D539">
            <v>13950</v>
          </cell>
          <cell r="F539">
            <v>13950</v>
          </cell>
          <cell r="G539">
            <v>13950</v>
          </cell>
          <cell r="H539">
            <v>13950</v>
          </cell>
          <cell r="J539">
            <v>13950</v>
          </cell>
          <cell r="K539">
            <v>13950</v>
          </cell>
          <cell r="L539">
            <v>13950</v>
          </cell>
          <cell r="N539">
            <v>13950</v>
          </cell>
          <cell r="O539">
            <v>13950</v>
          </cell>
          <cell r="P539">
            <v>13950</v>
          </cell>
        </row>
        <row r="556">
          <cell r="B556">
            <v>13726.800000000001</v>
          </cell>
          <cell r="C556">
            <v>13385.800000000001</v>
          </cell>
          <cell r="D556">
            <v>13633.800000000001</v>
          </cell>
          <cell r="F556">
            <v>13354.800000000001</v>
          </cell>
          <cell r="G556">
            <v>12982.800000000001</v>
          </cell>
          <cell r="H556">
            <v>13230.800000000001</v>
          </cell>
          <cell r="J556">
            <v>13416.800000000001</v>
          </cell>
          <cell r="K556">
            <v>13819.800000000001</v>
          </cell>
          <cell r="L556">
            <v>13943.800000000001</v>
          </cell>
          <cell r="N556">
            <v>14067.800000000001</v>
          </cell>
          <cell r="O556">
            <v>14315.800000000001</v>
          </cell>
          <cell r="P556">
            <v>14191.800000000001</v>
          </cell>
        </row>
        <row r="557">
          <cell r="B557">
            <v>11239.824999999999</v>
          </cell>
          <cell r="C557">
            <v>10892.315000000001</v>
          </cell>
          <cell r="D557">
            <v>10810.01</v>
          </cell>
          <cell r="F557">
            <v>10727.705</v>
          </cell>
          <cell r="G557">
            <v>10974.619999999999</v>
          </cell>
          <cell r="H557">
            <v>10800.864999999998</v>
          </cell>
          <cell r="J557">
            <v>10636.254999999999</v>
          </cell>
          <cell r="K557">
            <v>10553.949999999999</v>
          </cell>
          <cell r="L557">
            <v>10718.56</v>
          </cell>
          <cell r="N557">
            <v>10800.864999999998</v>
          </cell>
          <cell r="O557">
            <v>10965.474999999999</v>
          </cell>
          <cell r="P557">
            <v>10791.72</v>
          </cell>
        </row>
        <row r="558">
          <cell r="B558">
            <v>14511.754762279401</v>
          </cell>
          <cell r="C558">
            <v>13540.800000000001</v>
          </cell>
          <cell r="D558">
            <v>13788.800000000001</v>
          </cell>
          <cell r="F558">
            <v>13509.800000000001</v>
          </cell>
          <cell r="G558">
            <v>13137.800000000001</v>
          </cell>
          <cell r="H558">
            <v>13385.800000000001</v>
          </cell>
          <cell r="J558">
            <v>13571.800000000001</v>
          </cell>
          <cell r="K558">
            <v>13974.800000000001</v>
          </cell>
          <cell r="L558">
            <v>14098.800000000001</v>
          </cell>
          <cell r="N558">
            <v>14222.800000000001</v>
          </cell>
          <cell r="O558">
            <v>14470.800000000001</v>
          </cell>
          <cell r="P558">
            <v>14346.800000000001</v>
          </cell>
        </row>
        <row r="559">
          <cell r="B559">
            <v>13884.800000000001</v>
          </cell>
          <cell r="C559">
            <v>13543.800000000001</v>
          </cell>
          <cell r="D559">
            <v>13791.800000000001</v>
          </cell>
          <cell r="F559">
            <v>13512.800000000001</v>
          </cell>
          <cell r="G559">
            <v>13140.800000000001</v>
          </cell>
          <cell r="H559">
            <v>13388.800000000001</v>
          </cell>
          <cell r="J559">
            <v>13574.800000000001</v>
          </cell>
          <cell r="K559">
            <v>13977.800000000001</v>
          </cell>
          <cell r="L559">
            <v>14101.800000000001</v>
          </cell>
          <cell r="N559">
            <v>14225.800000000001</v>
          </cell>
          <cell r="O559">
            <v>14473.800000000001</v>
          </cell>
          <cell r="P559">
            <v>14349.800000000001</v>
          </cell>
        </row>
        <row r="560">
          <cell r="B560">
            <v>13972.660416994475</v>
          </cell>
          <cell r="C560">
            <v>13080.449999999999</v>
          </cell>
          <cell r="D560">
            <v>13328.449999999999</v>
          </cell>
          <cell r="F560">
            <v>13049.449999999999</v>
          </cell>
          <cell r="G560">
            <v>0</v>
          </cell>
          <cell r="H560">
            <v>12925.449999999999</v>
          </cell>
          <cell r="J560">
            <v>0</v>
          </cell>
          <cell r="K560">
            <v>13529.485000000001</v>
          </cell>
          <cell r="L560">
            <v>13638.449999999999</v>
          </cell>
          <cell r="N560">
            <v>13762.449999999999</v>
          </cell>
          <cell r="O560">
            <v>14025.485000000001</v>
          </cell>
          <cell r="P560">
            <v>13886.449999999999</v>
          </cell>
        </row>
        <row r="580">
          <cell r="B580">
            <v>13913.318449163506</v>
          </cell>
          <cell r="C580">
            <v>13913.318449163506</v>
          </cell>
          <cell r="D580">
            <v>13913.318449163506</v>
          </cell>
          <cell r="F580">
            <v>13913.318449163506</v>
          </cell>
          <cell r="G580">
            <v>13913.318449163506</v>
          </cell>
          <cell r="H580">
            <v>13913.318449163506</v>
          </cell>
          <cell r="J580">
            <v>13913.318449163506</v>
          </cell>
          <cell r="K580">
            <v>13913.318449163506</v>
          </cell>
          <cell r="L580">
            <v>13913.318449163506</v>
          </cell>
          <cell r="N580">
            <v>13913.318449163506</v>
          </cell>
          <cell r="O580">
            <v>13913.318449163506</v>
          </cell>
          <cell r="P580">
            <v>13913.318449163506</v>
          </cell>
        </row>
        <row r="581">
          <cell r="B581">
            <v>13571.800000000001</v>
          </cell>
          <cell r="C581">
            <v>13230.800000000001</v>
          </cell>
          <cell r="D581">
            <v>13478.800000000001</v>
          </cell>
          <cell r="F581">
            <v>13199.800000000001</v>
          </cell>
          <cell r="G581">
            <v>12827.800000000001</v>
          </cell>
          <cell r="H581">
            <v>13075.800000000001</v>
          </cell>
          <cell r="J581">
            <v>13261.800000000001</v>
          </cell>
          <cell r="K581">
            <v>13664.800000000001</v>
          </cell>
          <cell r="L581">
            <v>13788.800000000001</v>
          </cell>
          <cell r="N581">
            <v>13912.800000000001</v>
          </cell>
          <cell r="O581">
            <v>14160.800000000001</v>
          </cell>
          <cell r="P581">
            <v>14036.800000000001</v>
          </cell>
        </row>
        <row r="582">
          <cell r="B582">
            <v>13571.800000000001</v>
          </cell>
          <cell r="C582">
            <v>13230.800000000001</v>
          </cell>
          <cell r="D582">
            <v>13478.800000000001</v>
          </cell>
          <cell r="F582">
            <v>13199.800000000001</v>
          </cell>
          <cell r="G582">
            <v>12827.800000000001</v>
          </cell>
          <cell r="H582">
            <v>13075.800000000001</v>
          </cell>
          <cell r="J582">
            <v>13261.800000000001</v>
          </cell>
          <cell r="K582">
            <v>13664.800000000001</v>
          </cell>
          <cell r="L582">
            <v>13788.800000000001</v>
          </cell>
          <cell r="N582">
            <v>13912.800000000001</v>
          </cell>
          <cell r="O582">
            <v>14160.800000000001</v>
          </cell>
          <cell r="P582">
            <v>14036.800000000001</v>
          </cell>
        </row>
        <row r="583">
          <cell r="B583">
            <v>9837.8499999999985</v>
          </cell>
          <cell r="C583">
            <v>9809.9499999999989</v>
          </cell>
          <cell r="D583">
            <v>10054.074999999999</v>
          </cell>
          <cell r="F583">
            <v>9879.6999999999989</v>
          </cell>
          <cell r="G583">
            <v>9879.6999999999989</v>
          </cell>
          <cell r="H583">
            <v>10109.875</v>
          </cell>
          <cell r="J583">
            <v>10458.625</v>
          </cell>
          <cell r="K583">
            <v>10451.650000000001</v>
          </cell>
          <cell r="L583">
            <v>10667.875</v>
          </cell>
          <cell r="N583">
            <v>10912</v>
          </cell>
          <cell r="O583">
            <v>11225.875</v>
          </cell>
          <cell r="P583">
            <v>11100.324999999999</v>
          </cell>
        </row>
        <row r="584">
          <cell r="B584">
            <v>12180.18181818182</v>
          </cell>
          <cell r="C584">
            <v>11839.18181818182</v>
          </cell>
          <cell r="D584">
            <v>12087.18181818182</v>
          </cell>
          <cell r="F584">
            <v>11808.18181818182</v>
          </cell>
          <cell r="G584">
            <v>11436.18181818182</v>
          </cell>
          <cell r="H584">
            <v>11684.18181818182</v>
          </cell>
          <cell r="J584">
            <v>11870.18181818182</v>
          </cell>
          <cell r="K584">
            <v>12273.18181818182</v>
          </cell>
          <cell r="L584">
            <v>12397.18181818182</v>
          </cell>
          <cell r="N584">
            <v>12521.18181818182</v>
          </cell>
          <cell r="O584">
            <v>12769.18181818182</v>
          </cell>
          <cell r="P584">
            <v>12645.18181818182</v>
          </cell>
        </row>
        <row r="585">
          <cell r="B585">
            <v>14044.500792618008</v>
          </cell>
          <cell r="C585">
            <v>14044.500792618006</v>
          </cell>
          <cell r="D585">
            <v>14044.500792618008</v>
          </cell>
          <cell r="F585">
            <v>14044.500792618008</v>
          </cell>
          <cell r="G585">
            <v>14044.500792618008</v>
          </cell>
          <cell r="H585">
            <v>14044.500792618006</v>
          </cell>
          <cell r="J585">
            <v>14044.500792618008</v>
          </cell>
          <cell r="K585">
            <v>14044.500792618008</v>
          </cell>
          <cell r="L585">
            <v>14044.500792618008</v>
          </cell>
          <cell r="N585">
            <v>14044.500792618008</v>
          </cell>
          <cell r="O585">
            <v>14044.500792618006</v>
          </cell>
          <cell r="P585">
            <v>14044.500792618008</v>
          </cell>
        </row>
        <row r="605">
          <cell r="B605">
            <v>1226.8090532355752</v>
          </cell>
          <cell r="C605">
            <v>1223.9400701306981</v>
          </cell>
          <cell r="D605">
            <v>1249.0436722983741</v>
          </cell>
          <cell r="F605">
            <v>1231.1125278928914</v>
          </cell>
          <cell r="G605">
            <v>1231.1125278928914</v>
          </cell>
          <cell r="H605">
            <v>1254.7816385081287</v>
          </cell>
          <cell r="J605">
            <v>1290.6439273190945</v>
          </cell>
          <cell r="K605">
            <v>1289.9266815428755</v>
          </cell>
          <cell r="L605">
            <v>1312.1613006056743</v>
          </cell>
          <cell r="N605">
            <v>1337.2649027733503</v>
          </cell>
          <cell r="O605">
            <v>1369.5409627032195</v>
          </cell>
          <cell r="P605">
            <v>1356.6305387312718</v>
          </cell>
        </row>
        <row r="606">
          <cell r="B606">
            <v>1228.4029327382848</v>
          </cell>
          <cell r="C606">
            <v>1225.5339496334075</v>
          </cell>
          <cell r="D606">
            <v>1250.6375518010836</v>
          </cell>
          <cell r="F606">
            <v>1232.7064073956008</v>
          </cell>
          <cell r="G606">
            <v>1232.7064073956008</v>
          </cell>
          <cell r="H606">
            <v>1256.3755180108383</v>
          </cell>
          <cell r="J606">
            <v>1292.2378068218043</v>
          </cell>
          <cell r="K606">
            <v>1291.5205610455851</v>
          </cell>
          <cell r="L606">
            <v>1313.7551801083837</v>
          </cell>
          <cell r="N606">
            <v>1338.8587822760599</v>
          </cell>
          <cell r="O606">
            <v>1371.1348422059293</v>
          </cell>
          <cell r="P606">
            <v>1358.2244182339814</v>
          </cell>
        </row>
        <row r="607">
          <cell r="B607">
            <v>1090.5814880000003</v>
          </cell>
          <cell r="C607">
            <v>1087.5453479999999</v>
          </cell>
          <cell r="D607">
            <v>1114.1115729999999</v>
          </cell>
          <cell r="F607">
            <v>1095.1356979999998</v>
          </cell>
          <cell r="G607">
            <v>1095.1356979999998</v>
          </cell>
          <cell r="H607">
            <v>1120.183853</v>
          </cell>
          <cell r="J607">
            <v>1158.1356029999999</v>
          </cell>
          <cell r="K607">
            <v>1157.3765680000001</v>
          </cell>
          <cell r="L607">
            <v>1180.9066529999998</v>
          </cell>
          <cell r="N607">
            <v>1207.472878</v>
          </cell>
          <cell r="O607">
            <v>1241.629453</v>
          </cell>
          <cell r="P607">
            <v>1227.966823</v>
          </cell>
        </row>
        <row r="608">
          <cell r="B608">
            <v>1058.6499999999999</v>
          </cell>
          <cell r="C608">
            <v>1055.55</v>
          </cell>
          <cell r="D608">
            <v>1082.675</v>
          </cell>
          <cell r="F608">
            <v>1063.3</v>
          </cell>
          <cell r="G608">
            <v>1063.3</v>
          </cell>
          <cell r="H608">
            <v>1088.875</v>
          </cell>
          <cell r="J608">
            <v>1127.625</v>
          </cell>
          <cell r="K608">
            <v>1126.8500000000001</v>
          </cell>
          <cell r="L608">
            <v>1150.875</v>
          </cell>
          <cell r="N608">
            <v>1178</v>
          </cell>
          <cell r="O608">
            <v>1212.875</v>
          </cell>
          <cell r="P608">
            <v>1198.925</v>
          </cell>
        </row>
        <row r="609">
          <cell r="B609">
            <v>1305.1000000000001</v>
          </cell>
          <cell r="C609">
            <v>1302</v>
          </cell>
          <cell r="D609">
            <v>1329.125</v>
          </cell>
          <cell r="F609">
            <v>1309.75</v>
          </cell>
          <cell r="G609">
            <v>1309.75</v>
          </cell>
          <cell r="H609">
            <v>1335.325</v>
          </cell>
          <cell r="J609">
            <v>1374.075</v>
          </cell>
          <cell r="K609">
            <v>1373.3000000000002</v>
          </cell>
          <cell r="L609">
            <v>1397.325</v>
          </cell>
          <cell r="N609">
            <v>1424.45</v>
          </cell>
          <cell r="O609">
            <v>1459.325</v>
          </cell>
          <cell r="P609">
            <v>1445.375</v>
          </cell>
        </row>
        <row r="610">
          <cell r="B610">
            <v>1294.91371</v>
          </cell>
          <cell r="C610">
            <v>1291.8775700000001</v>
          </cell>
          <cell r="D610">
            <v>1318.4437949999999</v>
          </cell>
          <cell r="F610">
            <v>1299.46792</v>
          </cell>
          <cell r="G610">
            <v>1299.46792</v>
          </cell>
          <cell r="H610">
            <v>1324.516075</v>
          </cell>
          <cell r="J610">
            <v>1362.4678249999999</v>
          </cell>
          <cell r="K610">
            <v>1361.7087900000001</v>
          </cell>
          <cell r="L610">
            <v>1385.238875</v>
          </cell>
          <cell r="N610">
            <v>1411.8051</v>
          </cell>
          <cell r="O610">
            <v>1445.961675</v>
          </cell>
          <cell r="P610">
            <v>1432.299045</v>
          </cell>
        </row>
        <row r="613">
          <cell r="B613">
            <v>1273.6607300000001</v>
          </cell>
          <cell r="C613">
            <v>1270.6245899999999</v>
          </cell>
          <cell r="D613">
            <v>1297.1908149999999</v>
          </cell>
          <cell r="F613">
            <v>1278.2149400000001</v>
          </cell>
          <cell r="G613">
            <v>1278.2149400000001</v>
          </cell>
          <cell r="H613">
            <v>1303.263095</v>
          </cell>
          <cell r="J613">
            <v>1341.214845</v>
          </cell>
          <cell r="K613">
            <v>1340.4558099999999</v>
          </cell>
          <cell r="L613">
            <v>1363.985895</v>
          </cell>
          <cell r="N613">
            <v>1390.5521199999998</v>
          </cell>
          <cell r="O613">
            <v>1424.708695</v>
          </cell>
          <cell r="P613">
            <v>1411.046065</v>
          </cell>
        </row>
        <row r="615">
          <cell r="B615">
            <v>1090.5814880000003</v>
          </cell>
          <cell r="C615">
            <v>1087.5453479999999</v>
          </cell>
          <cell r="D615">
            <v>1114.1115729999999</v>
          </cell>
          <cell r="F615">
            <v>1095.1356979999998</v>
          </cell>
          <cell r="G615">
            <v>1095.1356979999998</v>
          </cell>
          <cell r="H615">
            <v>1120.183853</v>
          </cell>
          <cell r="J615">
            <v>1158.1356029999999</v>
          </cell>
          <cell r="K615">
            <v>1157.3765680000001</v>
          </cell>
          <cell r="L615">
            <v>1180.9066529999998</v>
          </cell>
          <cell r="N615">
            <v>1207.472878</v>
          </cell>
          <cell r="O615">
            <v>1241.629453</v>
          </cell>
          <cell r="P615">
            <v>1227.966823</v>
          </cell>
        </row>
        <row r="638">
          <cell r="B638">
            <v>642.80716353357286</v>
          </cell>
          <cell r="C638">
            <v>642.80716353357286</v>
          </cell>
          <cell r="D638">
            <v>642.80716353357286</v>
          </cell>
          <cell r="F638">
            <v>642.80716353357286</v>
          </cell>
          <cell r="G638">
            <v>642.80716353357286</v>
          </cell>
          <cell r="H638">
            <v>642.80716353357286</v>
          </cell>
          <cell r="J638">
            <v>642.80716353357286</v>
          </cell>
          <cell r="K638">
            <v>642.80716353357286</v>
          </cell>
          <cell r="L638">
            <v>642.80716353357286</v>
          </cell>
          <cell r="N638">
            <v>642.80716353357286</v>
          </cell>
          <cell r="O638">
            <v>642.80716353357286</v>
          </cell>
          <cell r="P638">
            <v>642.80716353357286</v>
          </cell>
        </row>
        <row r="639">
          <cell r="B639">
            <v>642.80716353357286</v>
          </cell>
          <cell r="C639">
            <v>642.80716353357286</v>
          </cell>
          <cell r="D639">
            <v>642.80716353357286</v>
          </cell>
          <cell r="F639">
            <v>642.80716353357286</v>
          </cell>
          <cell r="G639">
            <v>642.80716353357286</v>
          </cell>
          <cell r="H639">
            <v>642.80716353357286</v>
          </cell>
          <cell r="J639">
            <v>642.80716353357286</v>
          </cell>
          <cell r="K639">
            <v>642.80716353357286</v>
          </cell>
          <cell r="L639">
            <v>642.80716353357286</v>
          </cell>
          <cell r="N639">
            <v>642.80716353357286</v>
          </cell>
          <cell r="O639">
            <v>642.80716353357286</v>
          </cell>
          <cell r="P639">
            <v>642.80716353357286</v>
          </cell>
        </row>
        <row r="640">
          <cell r="B640">
            <v>642.80716353357286</v>
          </cell>
          <cell r="C640">
            <v>642.80716353357286</v>
          </cell>
          <cell r="D640">
            <v>642.80716353357286</v>
          </cell>
          <cell r="F640">
            <v>642.80716353357286</v>
          </cell>
          <cell r="G640">
            <v>642.80716353357286</v>
          </cell>
          <cell r="H640">
            <v>642.80716353357286</v>
          </cell>
          <cell r="J640">
            <v>642.80716353357286</v>
          </cell>
          <cell r="K640">
            <v>642.80716353357286</v>
          </cell>
          <cell r="L640">
            <v>642.80716353357286</v>
          </cell>
          <cell r="N640">
            <v>642.80716353357286</v>
          </cell>
          <cell r="O640">
            <v>642.80716353357286</v>
          </cell>
          <cell r="P640">
            <v>642.80716353357286</v>
          </cell>
        </row>
        <row r="651">
          <cell r="B651">
            <v>9217.8499999999985</v>
          </cell>
          <cell r="C651">
            <v>9189.9499999999989</v>
          </cell>
          <cell r="D651">
            <v>9434.0749999999989</v>
          </cell>
          <cell r="F651">
            <v>9259.6999999999989</v>
          </cell>
          <cell r="G651">
            <v>9259.6999999999989</v>
          </cell>
          <cell r="H651">
            <v>9489.875</v>
          </cell>
          <cell r="J651">
            <v>9838.625</v>
          </cell>
          <cell r="K651">
            <v>9831.6500000000015</v>
          </cell>
          <cell r="L651">
            <v>10047.875</v>
          </cell>
          <cell r="N651">
            <v>10292</v>
          </cell>
          <cell r="O651">
            <v>10605.875</v>
          </cell>
          <cell r="P651">
            <v>10480.324999999999</v>
          </cell>
        </row>
        <row r="665">
          <cell r="B665">
            <v>15872</v>
          </cell>
          <cell r="C665">
            <v>15531</v>
          </cell>
          <cell r="D665">
            <v>15779</v>
          </cell>
          <cell r="F665">
            <v>15500</v>
          </cell>
          <cell r="G665">
            <v>15128</v>
          </cell>
          <cell r="H665">
            <v>15376</v>
          </cell>
          <cell r="J665">
            <v>15562</v>
          </cell>
          <cell r="K665">
            <v>15965</v>
          </cell>
          <cell r="L665">
            <v>16089</v>
          </cell>
          <cell r="N665">
            <v>16213</v>
          </cell>
          <cell r="O665">
            <v>16461</v>
          </cell>
          <cell r="P665">
            <v>16337</v>
          </cell>
        </row>
        <row r="678">
          <cell r="B678">
            <v>13354.800000000001</v>
          </cell>
          <cell r="C678">
            <v>13013.800000000001</v>
          </cell>
          <cell r="D678">
            <v>13261.800000000001</v>
          </cell>
          <cell r="F678">
            <v>12982.800000000001</v>
          </cell>
          <cell r="G678">
            <v>12610.800000000001</v>
          </cell>
          <cell r="H678">
            <v>12858.800000000001</v>
          </cell>
          <cell r="J678">
            <v>13044.800000000001</v>
          </cell>
          <cell r="K678">
            <v>13447.800000000001</v>
          </cell>
          <cell r="L678">
            <v>13571.800000000001</v>
          </cell>
          <cell r="N678">
            <v>13695.800000000001</v>
          </cell>
          <cell r="O678">
            <v>13943.800000000001</v>
          </cell>
          <cell r="P678">
            <v>13819.800000000001</v>
          </cell>
        </row>
        <row r="679">
          <cell r="B679">
            <v>13354.800000000001</v>
          </cell>
          <cell r="C679">
            <v>13013.800000000001</v>
          </cell>
          <cell r="D679">
            <v>13261.800000000001</v>
          </cell>
          <cell r="F679">
            <v>12982.800000000001</v>
          </cell>
          <cell r="G679">
            <v>12610.800000000001</v>
          </cell>
          <cell r="H679">
            <v>12858.800000000001</v>
          </cell>
          <cell r="J679">
            <v>13044.800000000001</v>
          </cell>
          <cell r="K679">
            <v>13447.800000000001</v>
          </cell>
          <cell r="L679">
            <v>13571.800000000001</v>
          </cell>
          <cell r="N679">
            <v>13695.800000000001</v>
          </cell>
          <cell r="O679">
            <v>13943.800000000001</v>
          </cell>
          <cell r="P679">
            <v>13819.800000000001</v>
          </cell>
        </row>
        <row r="680">
          <cell r="B680">
            <v>11667</v>
          </cell>
          <cell r="C680">
            <v>11326</v>
          </cell>
          <cell r="D680">
            <v>11574</v>
          </cell>
          <cell r="F680">
            <v>11295</v>
          </cell>
          <cell r="G680">
            <v>10923</v>
          </cell>
          <cell r="H680">
            <v>11171</v>
          </cell>
          <cell r="J680">
            <v>11357</v>
          </cell>
          <cell r="K680">
            <v>11760</v>
          </cell>
          <cell r="L680">
            <v>11884</v>
          </cell>
          <cell r="N680">
            <v>12008</v>
          </cell>
          <cell r="O680">
            <v>12256</v>
          </cell>
          <cell r="P680">
            <v>12132</v>
          </cell>
        </row>
        <row r="681">
          <cell r="B681">
            <v>0</v>
          </cell>
          <cell r="C681">
            <v>0</v>
          </cell>
          <cell r="D681">
            <v>0</v>
          </cell>
          <cell r="F681">
            <v>0</v>
          </cell>
          <cell r="G681">
            <v>0</v>
          </cell>
          <cell r="H681">
            <v>0</v>
          </cell>
          <cell r="J681">
            <v>0</v>
          </cell>
          <cell r="K681">
            <v>0</v>
          </cell>
          <cell r="L681">
            <v>0</v>
          </cell>
          <cell r="N681">
            <v>0</v>
          </cell>
          <cell r="O681">
            <v>0</v>
          </cell>
          <cell r="P681">
            <v>0</v>
          </cell>
        </row>
        <row r="682">
          <cell r="B682">
            <v>13354.800000000001</v>
          </cell>
          <cell r="C682">
            <v>13013.800000000001</v>
          </cell>
          <cell r="D682">
            <v>13261.800000000001</v>
          </cell>
          <cell r="F682">
            <v>12982.800000000001</v>
          </cell>
          <cell r="G682">
            <v>12610.800000000001</v>
          </cell>
          <cell r="H682">
            <v>12858.800000000001</v>
          </cell>
          <cell r="J682">
            <v>13044.800000000001</v>
          </cell>
          <cell r="K682">
            <v>13447.800000000001</v>
          </cell>
          <cell r="L682">
            <v>13571.800000000001</v>
          </cell>
          <cell r="N682">
            <v>13695.800000000001</v>
          </cell>
          <cell r="O682">
            <v>13943.800000000001</v>
          </cell>
          <cell r="P682">
            <v>13819.800000000001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W"/>
      <sheetName val="FLOW_M"/>
      <sheetName val="Production"/>
      <sheetName val="Production_M"/>
    </sheetNames>
    <sheetDataSet>
      <sheetData sheetId="0" refreshError="1"/>
      <sheetData sheetId="1" refreshError="1"/>
      <sheetData sheetId="2" refreshError="1"/>
      <sheetData sheetId="3" refreshError="1">
        <row r="23">
          <cell r="C23">
            <v>21035.776000000002</v>
          </cell>
          <cell r="D23">
            <v>16765.102999999999</v>
          </cell>
          <cell r="F23">
            <v>14945.212</v>
          </cell>
          <cell r="G23">
            <v>15248.165800000002</v>
          </cell>
          <cell r="H23">
            <v>14057.628999999999</v>
          </cell>
          <cell r="J23">
            <v>15894.864999999998</v>
          </cell>
          <cell r="K23">
            <v>13058.482000000002</v>
          </cell>
          <cell r="L23">
            <v>15938.622000000001</v>
          </cell>
          <cell r="N23">
            <v>15871.922999999997</v>
          </cell>
          <cell r="O23">
            <v>16200</v>
          </cell>
          <cell r="P23">
            <v>16120.000000000002</v>
          </cell>
          <cell r="U23">
            <v>13599.294362335168</v>
          </cell>
        </row>
        <row r="43">
          <cell r="U43">
            <v>0</v>
          </cell>
          <cell r="V43">
            <v>0</v>
          </cell>
          <cell r="W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I43">
            <v>0</v>
          </cell>
        </row>
        <row r="44">
          <cell r="U44">
            <v>5890</v>
          </cell>
          <cell r="V44">
            <v>5319.9999999999991</v>
          </cell>
          <cell r="W44">
            <v>5890</v>
          </cell>
          <cell r="Y44">
            <v>5700</v>
          </cell>
          <cell r="Z44">
            <v>5890</v>
          </cell>
          <cell r="AA44">
            <v>5700</v>
          </cell>
          <cell r="AC44">
            <v>5890</v>
          </cell>
          <cell r="AD44">
            <v>5890</v>
          </cell>
          <cell r="AE44">
            <v>5700</v>
          </cell>
          <cell r="AG44">
            <v>5890</v>
          </cell>
          <cell r="AH44">
            <v>5700</v>
          </cell>
          <cell r="AI44">
            <v>5890</v>
          </cell>
        </row>
        <row r="45">
          <cell r="U45">
            <v>7000</v>
          </cell>
          <cell r="V45">
            <v>7000</v>
          </cell>
          <cell r="W45">
            <v>7000</v>
          </cell>
          <cell r="Y45">
            <v>7000</v>
          </cell>
          <cell r="Z45">
            <v>7000</v>
          </cell>
          <cell r="AA45">
            <v>7000</v>
          </cell>
          <cell r="AC45">
            <v>7000</v>
          </cell>
          <cell r="AD45">
            <v>7000</v>
          </cell>
          <cell r="AE45">
            <v>7000</v>
          </cell>
          <cell r="AG45">
            <v>7000</v>
          </cell>
          <cell r="AH45">
            <v>7000</v>
          </cell>
          <cell r="AI45">
            <v>7000</v>
          </cell>
        </row>
        <row r="46">
          <cell r="U46">
            <v>0</v>
          </cell>
          <cell r="V46">
            <v>0</v>
          </cell>
          <cell r="W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I46">
            <v>0</v>
          </cell>
        </row>
        <row r="47">
          <cell r="U47">
            <v>49077.719512270451</v>
          </cell>
          <cell r="V47">
            <v>66980.178461745658</v>
          </cell>
          <cell r="W47">
            <v>43080.608408319167</v>
          </cell>
          <cell r="Y47">
            <v>49279.159522480026</v>
          </cell>
          <cell r="Z47">
            <v>40591.8260399672</v>
          </cell>
          <cell r="AA47">
            <v>48960.057889942735</v>
          </cell>
          <cell r="AC47">
            <v>69137.562508500487</v>
          </cell>
          <cell r="AD47">
            <v>32305.728152398955</v>
          </cell>
          <cell r="AE47">
            <v>65876.998751449326</v>
          </cell>
          <cell r="AG47">
            <v>67323.711224260711</v>
          </cell>
          <cell r="AH47">
            <v>22107.445384608582</v>
          </cell>
          <cell r="AI47">
            <v>44800.346324887469</v>
          </cell>
        </row>
        <row r="62">
          <cell r="U62">
            <v>35648.485658838348</v>
          </cell>
          <cell r="V62">
            <v>34568.623426582439</v>
          </cell>
          <cell r="W62">
            <v>38322.482339325587</v>
          </cell>
          <cell r="Y62">
            <v>34239.944573039953</v>
          </cell>
          <cell r="Z62">
            <v>40397.833697619491</v>
          </cell>
          <cell r="AA62">
            <v>37182.962694620255</v>
          </cell>
          <cell r="AC62">
            <v>33480</v>
          </cell>
          <cell r="AD62">
            <v>40987.929962526679</v>
          </cell>
          <cell r="AE62">
            <v>32400</v>
          </cell>
          <cell r="AG62">
            <v>48895.708711480976</v>
          </cell>
          <cell r="AH62">
            <v>41038.431923046279</v>
          </cell>
          <cell r="AI62">
            <v>40217.55856359467</v>
          </cell>
        </row>
        <row r="63">
          <cell r="U63">
            <v>40920</v>
          </cell>
          <cell r="V63">
            <v>36960</v>
          </cell>
          <cell r="W63">
            <v>40920</v>
          </cell>
          <cell r="Y63">
            <v>39600</v>
          </cell>
          <cell r="Z63">
            <v>40920</v>
          </cell>
          <cell r="AA63">
            <v>39600</v>
          </cell>
          <cell r="AC63">
            <v>22320</v>
          </cell>
          <cell r="AD63">
            <v>40920</v>
          </cell>
          <cell r="AE63">
            <v>28800</v>
          </cell>
          <cell r="AG63">
            <v>48360</v>
          </cell>
          <cell r="AH63">
            <v>39600</v>
          </cell>
          <cell r="AI63">
            <v>40920</v>
          </cell>
        </row>
        <row r="64">
          <cell r="U64">
            <v>120411.67235356067</v>
          </cell>
          <cell r="V64">
            <v>108849.81240087439</v>
          </cell>
          <cell r="W64">
            <v>118108.17172279888</v>
          </cell>
          <cell r="Y64">
            <v>117111.48132574782</v>
          </cell>
          <cell r="Z64">
            <v>119562.16630238047</v>
          </cell>
          <cell r="AA64">
            <v>117164.69537091375</v>
          </cell>
          <cell r="AC64">
            <v>93939.028837613951</v>
          </cell>
          <cell r="AD64">
            <v>118972.07003747328</v>
          </cell>
          <cell r="AE64">
            <v>109211.92954803215</v>
          </cell>
          <cell r="AG64">
            <v>0</v>
          </cell>
          <cell r="AH64">
            <v>107998.42715930095</v>
          </cell>
          <cell r="AI64">
            <v>111597.58120083682</v>
          </cell>
        </row>
        <row r="65">
          <cell r="U65">
            <v>2976</v>
          </cell>
          <cell r="V65">
            <v>2688</v>
          </cell>
          <cell r="W65">
            <v>2976</v>
          </cell>
          <cell r="Y65">
            <v>2880</v>
          </cell>
          <cell r="Z65">
            <v>2976</v>
          </cell>
          <cell r="AA65">
            <v>2880</v>
          </cell>
          <cell r="AC65">
            <v>0</v>
          </cell>
          <cell r="AD65">
            <v>2976</v>
          </cell>
          <cell r="AE65">
            <v>0</v>
          </cell>
          <cell r="AG65">
            <v>0</v>
          </cell>
          <cell r="AH65">
            <v>2880</v>
          </cell>
          <cell r="AI65">
            <v>2976</v>
          </cell>
        </row>
        <row r="66">
          <cell r="U66">
            <v>0</v>
          </cell>
          <cell r="V66">
            <v>0</v>
          </cell>
          <cell r="W66">
            <v>0</v>
          </cell>
          <cell r="Y66">
            <v>0</v>
          </cell>
          <cell r="Z66">
            <v>107.25088455992091</v>
          </cell>
          <cell r="AA66">
            <v>0</v>
          </cell>
          <cell r="AC66">
            <v>0</v>
          </cell>
          <cell r="AD66">
            <v>813.09813891952081</v>
          </cell>
          <cell r="AE66">
            <v>0</v>
          </cell>
          <cell r="AG66">
            <v>0</v>
          </cell>
          <cell r="AH66">
            <v>0</v>
          </cell>
          <cell r="AI66">
            <v>0</v>
          </cell>
        </row>
        <row r="67">
          <cell r="U67">
            <v>4246.5753424657532</v>
          </cell>
          <cell r="V67">
            <v>3835.6164383561645</v>
          </cell>
          <cell r="W67">
            <v>4246.5753424657532</v>
          </cell>
          <cell r="Y67">
            <v>4109.58904109589</v>
          </cell>
          <cell r="Z67">
            <v>4246.5753424657532</v>
          </cell>
          <cell r="AA67">
            <v>4109.58904109589</v>
          </cell>
          <cell r="AC67">
            <v>4246.5753424657532</v>
          </cell>
          <cell r="AD67">
            <v>4246.5753424657532</v>
          </cell>
          <cell r="AE67">
            <v>4109.58904109589</v>
          </cell>
          <cell r="AG67">
            <v>4246.5753424657532</v>
          </cell>
          <cell r="AH67">
            <v>4109.58904109589</v>
          </cell>
          <cell r="AI67">
            <v>4246.5753424657532</v>
          </cell>
        </row>
        <row r="70">
          <cell r="U70">
            <v>163650</v>
          </cell>
          <cell r="V70">
            <v>163650</v>
          </cell>
          <cell r="W70">
            <v>163650</v>
          </cell>
          <cell r="Y70">
            <v>163650</v>
          </cell>
          <cell r="Z70">
            <v>163650</v>
          </cell>
          <cell r="AA70">
            <v>163650</v>
          </cell>
          <cell r="AC70">
            <v>163650</v>
          </cell>
          <cell r="AD70">
            <v>163650</v>
          </cell>
          <cell r="AE70">
            <v>163650</v>
          </cell>
          <cell r="AG70">
            <v>163650</v>
          </cell>
          <cell r="AH70">
            <v>163650</v>
          </cell>
          <cell r="AI70">
            <v>163650</v>
          </cell>
        </row>
        <row r="71">
          <cell r="U71">
            <v>0</v>
          </cell>
          <cell r="V71">
            <v>0</v>
          </cell>
          <cell r="W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I71">
            <v>0</v>
          </cell>
        </row>
        <row r="72">
          <cell r="U72">
            <v>0</v>
          </cell>
          <cell r="V72">
            <v>0</v>
          </cell>
          <cell r="W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I72">
            <v>0</v>
          </cell>
        </row>
        <row r="73">
          <cell r="U73">
            <v>34100</v>
          </cell>
          <cell r="V73">
            <v>30800</v>
          </cell>
          <cell r="W73">
            <v>34100</v>
          </cell>
          <cell r="Y73">
            <v>33000</v>
          </cell>
          <cell r="Z73">
            <v>34100</v>
          </cell>
          <cell r="AA73">
            <v>33000</v>
          </cell>
          <cell r="AC73">
            <v>34100</v>
          </cell>
          <cell r="AD73">
            <v>34100</v>
          </cell>
          <cell r="AE73">
            <v>33000</v>
          </cell>
          <cell r="AG73">
            <v>34100</v>
          </cell>
          <cell r="AH73">
            <v>33000</v>
          </cell>
          <cell r="AI73">
            <v>34100</v>
          </cell>
        </row>
        <row r="74">
          <cell r="U74">
            <v>22320</v>
          </cell>
          <cell r="V74">
            <v>20160</v>
          </cell>
          <cell r="W74">
            <v>22320</v>
          </cell>
          <cell r="Y74">
            <v>21600</v>
          </cell>
          <cell r="Z74">
            <v>22320</v>
          </cell>
          <cell r="AA74">
            <v>21600</v>
          </cell>
          <cell r="AC74">
            <v>13320.025048719595</v>
          </cell>
          <cell r="AD74">
            <v>25262</v>
          </cell>
          <cell r="AE74">
            <v>20140.781866917318</v>
          </cell>
          <cell r="AG74">
            <v>22320</v>
          </cell>
          <cell r="AH74">
            <v>26317</v>
          </cell>
          <cell r="AI74">
            <v>22320</v>
          </cell>
        </row>
        <row r="75">
          <cell r="U75">
            <v>8000</v>
          </cell>
          <cell r="V75">
            <v>8000</v>
          </cell>
          <cell r="W75">
            <v>8000</v>
          </cell>
          <cell r="Y75">
            <v>8000</v>
          </cell>
          <cell r="Z75">
            <v>8000</v>
          </cell>
          <cell r="AA75">
            <v>8000</v>
          </cell>
          <cell r="AC75">
            <v>8000</v>
          </cell>
          <cell r="AD75">
            <v>8000</v>
          </cell>
          <cell r="AE75">
            <v>8000</v>
          </cell>
          <cell r="AG75">
            <v>8000</v>
          </cell>
          <cell r="AH75">
            <v>8000</v>
          </cell>
          <cell r="AI75">
            <v>8000</v>
          </cell>
        </row>
        <row r="76">
          <cell r="U76">
            <v>32000</v>
          </cell>
          <cell r="V76">
            <v>28900</v>
          </cell>
          <cell r="W76">
            <v>32000</v>
          </cell>
          <cell r="Y76">
            <v>31000</v>
          </cell>
          <cell r="Z76">
            <v>31930</v>
          </cell>
          <cell r="AA76">
            <v>31000</v>
          </cell>
          <cell r="AC76">
            <v>19096.810105691176</v>
          </cell>
          <cell r="AD76">
            <v>32000</v>
          </cell>
          <cell r="AE76">
            <v>31000</v>
          </cell>
          <cell r="AG76">
            <v>21700</v>
          </cell>
          <cell r="AH76">
            <v>0</v>
          </cell>
          <cell r="AI76">
            <v>32000</v>
          </cell>
        </row>
        <row r="78">
          <cell r="U78">
            <v>3114.7295596507174</v>
          </cell>
          <cell r="V78">
            <v>1939.4389980992528</v>
          </cell>
          <cell r="W78">
            <v>1740.1485246819211</v>
          </cell>
          <cell r="Y78">
            <v>2214.7211981667824</v>
          </cell>
          <cell r="Z78">
            <v>0</v>
          </cell>
          <cell r="AA78">
            <v>3392.6818087115425</v>
          </cell>
          <cell r="AC78">
            <v>0</v>
          </cell>
          <cell r="AD78">
            <v>6000</v>
          </cell>
          <cell r="AE78">
            <v>2000</v>
          </cell>
          <cell r="AG78">
            <v>1940.4676425377256</v>
          </cell>
          <cell r="AH78">
            <v>6000</v>
          </cell>
          <cell r="AI78">
            <v>1869.7633839764021</v>
          </cell>
        </row>
        <row r="79">
          <cell r="U79">
            <v>0</v>
          </cell>
          <cell r="V79">
            <v>0</v>
          </cell>
          <cell r="W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I79">
            <v>0</v>
          </cell>
        </row>
        <row r="81">
          <cell r="U81">
            <v>26538.353135313533</v>
          </cell>
          <cell r="V81">
            <v>23970.125412541256</v>
          </cell>
          <cell r="W81">
            <v>26538.353135313533</v>
          </cell>
          <cell r="Y81">
            <v>25682.277227722774</v>
          </cell>
          <cell r="Z81">
            <v>26538.353135313533</v>
          </cell>
          <cell r="AA81">
            <v>25682.277227722774</v>
          </cell>
          <cell r="AC81">
            <v>8045</v>
          </cell>
          <cell r="AD81">
            <v>13064</v>
          </cell>
          <cell r="AE81">
            <v>25682.277227722774</v>
          </cell>
          <cell r="AG81">
            <v>26538.353135313533</v>
          </cell>
          <cell r="AH81">
            <v>25682.277227722774</v>
          </cell>
          <cell r="AI81">
            <v>26538.353135313533</v>
          </cell>
        </row>
        <row r="82">
          <cell r="U82">
            <v>63200</v>
          </cell>
          <cell r="V82">
            <v>63200</v>
          </cell>
          <cell r="W82">
            <v>63200</v>
          </cell>
          <cell r="Y82">
            <v>63200</v>
          </cell>
          <cell r="Z82">
            <v>63200</v>
          </cell>
          <cell r="AA82">
            <v>63200</v>
          </cell>
          <cell r="AC82">
            <v>63200</v>
          </cell>
          <cell r="AD82">
            <v>63200</v>
          </cell>
          <cell r="AE82">
            <v>63200</v>
          </cell>
          <cell r="AG82">
            <v>63200</v>
          </cell>
          <cell r="AH82">
            <v>63200</v>
          </cell>
          <cell r="AI82">
            <v>63200</v>
          </cell>
        </row>
        <row r="83">
          <cell r="U83">
            <v>11000</v>
          </cell>
          <cell r="V83">
            <v>11000</v>
          </cell>
          <cell r="W83">
            <v>11000</v>
          </cell>
          <cell r="Y83">
            <v>11000</v>
          </cell>
          <cell r="Z83">
            <v>11000</v>
          </cell>
          <cell r="AA83">
            <v>11000</v>
          </cell>
          <cell r="AC83">
            <v>11000</v>
          </cell>
          <cell r="AD83">
            <v>11000</v>
          </cell>
          <cell r="AE83">
            <v>11000</v>
          </cell>
          <cell r="AG83">
            <v>11000</v>
          </cell>
          <cell r="AH83">
            <v>11000</v>
          </cell>
          <cell r="AI83">
            <v>11000</v>
          </cell>
        </row>
        <row r="89">
          <cell r="B89">
            <v>0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H89">
            <v>0</v>
          </cell>
          <cell r="J89">
            <v>0</v>
          </cell>
          <cell r="K89">
            <v>0</v>
          </cell>
          <cell r="L89">
            <v>0</v>
          </cell>
          <cell r="N89">
            <v>0</v>
          </cell>
          <cell r="O89">
            <v>0</v>
          </cell>
          <cell r="P89">
            <v>11321.659025595125</v>
          </cell>
        </row>
        <row r="90">
          <cell r="U90">
            <v>27049.547190433961</v>
          </cell>
          <cell r="V90">
            <v>17772.576967520694</v>
          </cell>
          <cell r="W90">
            <v>38350.545224267742</v>
          </cell>
          <cell r="Y90">
            <v>36894.405068991357</v>
          </cell>
          <cell r="Z90">
            <v>18516.135667062383</v>
          </cell>
          <cell r="AA90">
            <v>30653.171714750559</v>
          </cell>
          <cell r="AC90">
            <v>37433.596149408389</v>
          </cell>
          <cell r="AD90">
            <v>30516.952413512769</v>
          </cell>
          <cell r="AE90">
            <v>27647.56180994512</v>
          </cell>
          <cell r="AG90">
            <v>35367.235685015497</v>
          </cell>
          <cell r="AH90">
            <v>36003.645135353734</v>
          </cell>
          <cell r="AI90">
            <v>35591.086134299156</v>
          </cell>
        </row>
        <row r="91">
          <cell r="B91">
            <v>0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H91">
            <v>0</v>
          </cell>
          <cell r="J91">
            <v>0</v>
          </cell>
          <cell r="K91">
            <v>0</v>
          </cell>
          <cell r="L91">
            <v>0</v>
          </cell>
          <cell r="N91">
            <v>0</v>
          </cell>
          <cell r="O91">
            <v>0</v>
          </cell>
          <cell r="P91">
            <v>0</v>
          </cell>
        </row>
        <row r="92">
          <cell r="U92">
            <v>206479.23990713732</v>
          </cell>
          <cell r="V92">
            <v>186497.37798064016</v>
          </cell>
          <cell r="W92">
            <v>206479.23990713732</v>
          </cell>
          <cell r="Y92">
            <v>199818.61926497155</v>
          </cell>
          <cell r="Z92">
            <v>206479.23990713718</v>
          </cell>
          <cell r="AA92">
            <v>199818.6192649717</v>
          </cell>
          <cell r="AC92">
            <v>206479.23990713729</v>
          </cell>
          <cell r="AD92">
            <v>206479.23990713729</v>
          </cell>
          <cell r="AE92">
            <v>199818.61926497164</v>
          </cell>
          <cell r="AG92">
            <v>206479.23990713738</v>
          </cell>
          <cell r="AH92">
            <v>199818.61926497164</v>
          </cell>
          <cell r="AI92">
            <v>206479.23990713723</v>
          </cell>
        </row>
        <row r="93">
          <cell r="U93">
            <v>241761.61185003913</v>
          </cell>
          <cell r="V93">
            <v>221547.94210634398</v>
          </cell>
          <cell r="W93">
            <v>237719.98737507185</v>
          </cell>
          <cell r="Y93">
            <v>232416.52282291808</v>
          </cell>
          <cell r="Z93">
            <v>259368.3346898157</v>
          </cell>
          <cell r="AA93">
            <v>236844.37671268551</v>
          </cell>
          <cell r="AC93">
            <v>147995.62262588044</v>
          </cell>
          <cell r="AD93">
            <v>249663.06175043675</v>
          </cell>
          <cell r="AE93">
            <v>214769.35532459285</v>
          </cell>
          <cell r="AG93">
            <v>194242.03639794115</v>
          </cell>
          <cell r="AH93">
            <v>227231.31128208313</v>
          </cell>
          <cell r="AI93">
            <v>222738.12046545444</v>
          </cell>
        </row>
        <row r="95">
          <cell r="B95">
            <v>0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N95">
            <v>0</v>
          </cell>
          <cell r="O95">
            <v>0</v>
          </cell>
          <cell r="P95">
            <v>0</v>
          </cell>
        </row>
        <row r="98">
          <cell r="B98">
            <v>0</v>
          </cell>
          <cell r="C98">
            <v>0</v>
          </cell>
          <cell r="F98">
            <v>0</v>
          </cell>
          <cell r="G98">
            <v>0</v>
          </cell>
          <cell r="J98">
            <v>0</v>
          </cell>
          <cell r="K98">
            <v>0</v>
          </cell>
          <cell r="L98">
            <v>0</v>
          </cell>
          <cell r="N98">
            <v>0</v>
          </cell>
          <cell r="O98">
            <v>0</v>
          </cell>
          <cell r="P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  <cell r="L99">
            <v>0</v>
          </cell>
          <cell r="N99">
            <v>0</v>
          </cell>
          <cell r="O99">
            <v>0</v>
          </cell>
          <cell r="P99">
            <v>0</v>
          </cell>
        </row>
        <row r="104">
          <cell r="U104">
            <v>20383.561643835616</v>
          </cell>
          <cell r="V104">
            <v>18410.95890410959</v>
          </cell>
          <cell r="W104">
            <v>20383.561643835616</v>
          </cell>
          <cell r="Y104">
            <v>19726.027397260274</v>
          </cell>
          <cell r="Z104">
            <v>20383.561643835616</v>
          </cell>
          <cell r="AA104">
            <v>19726.027397260274</v>
          </cell>
          <cell r="AC104">
            <v>20383.561643835616</v>
          </cell>
          <cell r="AD104">
            <v>20383.561643835616</v>
          </cell>
          <cell r="AE104">
            <v>19726.027397260274</v>
          </cell>
          <cell r="AG104">
            <v>20383.561643835616</v>
          </cell>
          <cell r="AH104">
            <v>19726.027397260274</v>
          </cell>
          <cell r="AI104">
            <v>20383.561643835616</v>
          </cell>
        </row>
        <row r="105">
          <cell r="U105">
            <v>40767.123287671231</v>
          </cell>
          <cell r="V105">
            <v>36821.917808219179</v>
          </cell>
          <cell r="W105">
            <v>40767.123287671231</v>
          </cell>
          <cell r="Y105">
            <v>39452.054794520547</v>
          </cell>
          <cell r="Z105">
            <v>40767.123287671231</v>
          </cell>
          <cell r="AA105">
            <v>39452.054794520547</v>
          </cell>
          <cell r="AC105">
            <v>40767.123287671231</v>
          </cell>
          <cell r="AD105">
            <v>40767.123287671231</v>
          </cell>
          <cell r="AE105">
            <v>39452.054794520547</v>
          </cell>
          <cell r="AG105">
            <v>40767.123287671231</v>
          </cell>
          <cell r="AH105">
            <v>39452.054794520547</v>
          </cell>
          <cell r="AI105">
            <v>40767.123287671231</v>
          </cell>
        </row>
        <row r="202">
          <cell r="U202">
            <v>3000</v>
          </cell>
          <cell r="V202">
            <v>3000</v>
          </cell>
          <cell r="W202">
            <v>3000</v>
          </cell>
          <cell r="Y202">
            <v>3000</v>
          </cell>
          <cell r="Z202">
            <v>3000</v>
          </cell>
          <cell r="AA202">
            <v>3000</v>
          </cell>
          <cell r="AC202">
            <v>3000</v>
          </cell>
          <cell r="AD202">
            <v>3000</v>
          </cell>
          <cell r="AE202">
            <v>3000</v>
          </cell>
          <cell r="AG202">
            <v>3000</v>
          </cell>
          <cell r="AH202">
            <v>3000</v>
          </cell>
          <cell r="AI202">
            <v>3000</v>
          </cell>
        </row>
        <row r="215">
          <cell r="U215">
            <v>4030.62</v>
          </cell>
          <cell r="V215">
            <v>3614.556</v>
          </cell>
          <cell r="W215">
            <v>3848.5920000000001</v>
          </cell>
          <cell r="Y215">
            <v>3900.6</v>
          </cell>
          <cell r="Z215">
            <v>4030.62</v>
          </cell>
          <cell r="AA215">
            <v>3900.6</v>
          </cell>
          <cell r="AC215">
            <v>650.1</v>
          </cell>
          <cell r="AD215">
            <v>4030.62</v>
          </cell>
          <cell r="AE215">
            <v>3900.6</v>
          </cell>
          <cell r="AG215">
            <v>4030.62</v>
          </cell>
          <cell r="AH215">
            <v>3900.6</v>
          </cell>
          <cell r="AI215">
            <v>4030.62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&amp;INT"/>
      <sheetName val="SHUTD"/>
      <sheetName val="EXPENSE"/>
      <sheetName val="DEP&amp;INV"/>
      <sheetName val="Asset ยกมา"/>
      <sheetName val="Depre MT BRP Life"/>
      <sheetName val="Utility กค-ธค61"/>
      <sheetName val="แผนลงทุน กค-ธค61"/>
      <sheetName val="PL"/>
      <sheetName val="INVENTO"/>
      <sheetName val="VOLUME"/>
      <sheetName val="PRICE"/>
      <sheetName val="PL (64)"/>
      <sheetName val="Data (64)"/>
      <sheetName val="PL (63)"/>
      <sheetName val="Data (63)"/>
      <sheetName val="PL (62)"/>
      <sheetName val="Data (62)"/>
      <sheetName val="PL (61)"/>
      <sheetName val="Data (61)"/>
      <sheetName val="PL (60)"/>
      <sheetName val="Data (60)"/>
      <sheetName val="PL (59)"/>
      <sheetName val="Data (59)"/>
      <sheetName val="PL (58)"/>
      <sheetName val="Data (58)"/>
      <sheetName val="PL (57)"/>
      <sheetName val="Data (57)"/>
      <sheetName val="PL (56)"/>
      <sheetName val="Data (56)"/>
      <sheetName val="Graph Data"/>
      <sheetName val="Sheet1"/>
    </sheetNames>
    <sheetDataSet>
      <sheetData sheetId="0" refreshError="1"/>
      <sheetData sheetId="1" refreshError="1"/>
      <sheetData sheetId="2" refreshError="1"/>
      <sheetData sheetId="3">
        <row r="100">
          <cell r="CC100">
            <v>1185.0212519199999</v>
          </cell>
          <cell r="CD100">
            <v>1185.0212519199999</v>
          </cell>
          <cell r="CE100">
            <v>1185.0212519199999</v>
          </cell>
          <cell r="CF100">
            <v>1185.0212519199999</v>
          </cell>
          <cell r="CL100">
            <v>4811.8532523599997</v>
          </cell>
        </row>
        <row r="101">
          <cell r="CC101">
            <v>265.53683778000004</v>
          </cell>
          <cell r="CD101">
            <v>265.53683778000004</v>
          </cell>
          <cell r="CE101">
            <v>265.53683778000004</v>
          </cell>
          <cell r="CF101">
            <v>265.53683778000004</v>
          </cell>
          <cell r="CL101">
            <v>1056.8301245000002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>
        <row r="133">
          <cell r="Q133">
            <v>1309.8192388099999</v>
          </cell>
        </row>
      </sheetData>
      <sheetData sheetId="16" refreshError="1"/>
      <sheetData sheetId="17" refreshError="1"/>
      <sheetData sheetId="18" refreshError="1"/>
      <sheetData sheetId="19">
        <row r="2">
          <cell r="BA2">
            <v>32.700899999999997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NYA KETJUNTIWA" refreshedDate="44308.455997106481" createdVersion="6" refreshedVersion="6" minRefreshableVersion="3" recordCount="6" xr:uid="{00000000-000A-0000-FFFF-FFFF00000000}">
  <cacheSource type="worksheet">
    <worksheetSource ref="AK14:AW20" sheet="COST (Baht)"/>
  </cacheSource>
  <cacheFields count="13">
    <cacheField name="$/Ton" numFmtId="0">
      <sharedItems count="6">
        <s v="Ethane"/>
        <s v="Propane"/>
        <s v="LPG-P"/>
        <s v="LPG-D"/>
        <s v="NGL"/>
        <s v="Pentane"/>
      </sharedItems>
    </cacheField>
    <cacheField name="Jan-64" numFmtId="170">
      <sharedItems containsSemiMixedTypes="0" containsString="0" containsNumber="1" minValue="13.031222756457225" maxValue="247.12414311939318"/>
    </cacheField>
    <cacheField name="Jan-642" numFmtId="170">
      <sharedItems containsSemiMixedTypes="0" containsString="0" containsNumber="1" minValue="-41.889773498380123" maxValue="257.70026235769336"/>
    </cacheField>
    <cacheField name="Jan-643" numFmtId="170">
      <sharedItems containsSemiMixedTypes="0" containsString="0" containsNumber="1" minValue="-30.426748420886895" maxValue="198.70287528871995"/>
    </cacheField>
    <cacheField name="Jan-644" numFmtId="170">
      <sharedItems containsSemiMixedTypes="0" containsString="0" containsNumber="1" minValue="-6.7142581720082148" maxValue="184.25585760290869"/>
    </cacheField>
    <cacheField name="Jan-645" numFmtId="170">
      <sharedItems containsSemiMixedTypes="0" containsString="0" containsNumber="1" minValue="29.656102646786962" maxValue="144.57479082276689"/>
    </cacheField>
    <cacheField name="Jan-646" numFmtId="170">
      <sharedItems containsSemiMixedTypes="0" containsString="0" containsNumber="1" minValue="0.39034451338420695" maxValue="153.6093489452262"/>
    </cacheField>
    <cacheField name="Jan-647" numFmtId="170">
      <sharedItems containsSemiMixedTypes="0" containsString="0" containsNumber="1" minValue="-21.355354573365673" maxValue="115.58703697855913"/>
    </cacheField>
    <cacheField name="Jan-648" numFmtId="170">
      <sharedItems containsSemiMixedTypes="0" containsString="0" containsNumber="1" minValue="-30.031652938010097" maxValue="114.6154634637067"/>
    </cacheField>
    <cacheField name="Jan-649" numFmtId="170">
      <sharedItems containsSemiMixedTypes="0" containsString="0" containsNumber="1" minValue="-35.273831734307123" maxValue="131.07296226443776"/>
    </cacheField>
    <cacheField name="Jan-6410" numFmtId="170">
      <sharedItems containsSemiMixedTypes="0" containsString="0" containsNumber="1" minValue="-53.136366875589601" maxValue="134.77258440535559"/>
    </cacheField>
    <cacheField name="Jan-6411" numFmtId="170">
      <sharedItems containsSemiMixedTypes="0" containsString="0" containsNumber="1" minValue="-40.641138421249593" maxValue="100.62161344554426"/>
    </cacheField>
    <cacheField name="Jan-6412" numFmtId="170">
      <sharedItems containsSemiMixedTypes="0" containsString="0" containsNumber="1" minValue="-31.740710664563721" maxValue="116.224148954525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NYA KETJUNTIWA" refreshedDate="44308.455997685189" createdVersion="6" refreshedVersion="6" minRefreshableVersion="3" recordCount="8" xr:uid="{00000000-000A-0000-FFFF-FFFF01000000}">
  <cacheSource type="worksheet">
    <worksheetSource ref="T2:AF10" sheet="Price"/>
  </cacheSource>
  <cacheFields count="13">
    <cacheField name="Product" numFmtId="0">
      <sharedItems count="9">
        <s v="Ethane"/>
        <s v="Propane CP Link"/>
        <s v="Propane PP-Link"/>
        <s v="Avg Propane"/>
        <s v="LPG - P"/>
        <s v="LPG - D"/>
        <s v="NGL"/>
        <s v="Pentane"/>
        <s v="Propane" u="1"/>
      </sharedItems>
    </cacheField>
    <cacheField name="ม.ค.-64" numFmtId="1">
      <sharedItems containsSemiMixedTypes="0" containsString="0" containsNumber="1" minValue="413.28129999999999" maxValue="652.47821322560071"/>
    </cacheField>
    <cacheField name="ก.พ.-64" numFmtId="1">
      <sharedItems containsSemiMixedTypes="0" containsString="0" containsNumber="1" minValue="422.2550506887826" maxValue="698.52308566884972"/>
    </cacheField>
    <cacheField name="มี.ค.-64" numFmtId="1">
      <sharedItems containsSemiMixedTypes="0" containsString="0" containsNumber="1" minValue="421.09594412900736" maxValue="630.86746537756903"/>
    </cacheField>
    <cacheField name="เม.ย.-64" numFmtId="1">
      <sharedItems containsSemiMixedTypes="0" containsString="0" containsNumber="1" minValue="383.88276423239859" maxValue="606.09210298557491"/>
    </cacheField>
    <cacheField name="พ.ค.-64" numFmtId="1">
      <sharedItems containsSemiMixedTypes="0" containsString="0" containsNumber="1" minValue="414.80651393145814" maxValue="571.40712272727274"/>
    </cacheField>
    <cacheField name="มิ.ย.-64" numFmtId="1">
      <sharedItems containsSemiMixedTypes="0" containsString="0" containsNumber="1" minValue="414.78765986969103" maxValue="551.22732272727274"/>
    </cacheField>
    <cacheField name="ก.ค.-64" numFmtId="1">
      <sharedItems containsSemiMixedTypes="0" containsString="0" containsNumber="1" minValue="416.03164806671333" maxValue="539.07383173857329"/>
    </cacheField>
    <cacheField name="ส.ค.-64" numFmtId="1">
      <sharedItems containsSemiMixedTypes="0" containsString="0" containsNumber="1" minValue="405.06802226522348" maxValue="542.72622272727278"/>
    </cacheField>
    <cacheField name="ก.ย.-64" numFmtId="1">
      <sharedItems containsSemiMixedTypes="0" containsString="0" containsNumber="1" minValue="397.97500000000002" maxValue="544.38740993227987"/>
    </cacheField>
    <cacheField name="ต.ค.-64" numFmtId="1">
      <sharedItems containsSemiMixedTypes="0" containsString="0" containsNumber="1" minValue="391.5105439221461" maxValue="540.72990000000004"/>
    </cacheField>
    <cacheField name="พ.ย.-64" numFmtId="1">
      <sharedItems containsSemiMixedTypes="0" containsString="0" containsNumber="1" minValue="397.42950727817328" maxValue="553.80862272727279"/>
    </cacheField>
    <cacheField name="ธ.ค.-64" numFmtId="1">
      <sharedItems containsSemiMixedTypes="0" containsString="0" containsNumber="1" minValue="403.50407871548344" maxValue="559.973322727272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NYA KETJUNTIWA" refreshedDate="44308.455998032405" createdVersion="6" refreshedVersion="6" minRefreshableVersion="3" recordCount="122" xr:uid="{00000000-000A-0000-FFFF-FFFF02000000}">
  <cacheSource type="worksheet">
    <worksheetSource ref="A25:Q147" sheet="Revenue (Baht)"/>
  </cacheSource>
  <cacheFields count="17">
    <cacheField name="Product" numFmtId="0">
      <sharedItems count="10">
        <s v="Ethane"/>
        <s v="Propane"/>
        <s v="LPG-P"/>
        <s v="LPG-D"/>
        <s v="LPG-Refinery"/>
        <s v="LPG-Import/Re-Export"/>
        <s v="NGL (m3)"/>
        <s v="NGL (Ton)"/>
        <s v="Pentane"/>
        <s v="CO2" u="1"/>
      </sharedItems>
    </cacheField>
    <cacheField name="Source" numFmtId="0">
      <sharedItems containsBlank="1"/>
    </cacheField>
    <cacheField name="Company" numFmtId="0">
      <sharedItems count="101">
        <s v="C2 - GC I1"/>
        <s v="C2 - GC I4"/>
        <s v="C2 - GC PE"/>
        <s v="C2 (Additional Volume &gt;274 T/Hr) : _x000a_Additional - GC PE"/>
        <s v="C2 SPOT : _x000a_Treated by ETU - GC PE"/>
        <s v="C2 Hybrid : _x000a_Supplement - GC PE"/>
        <s v="C2 - MOC"/>
        <s v="C2 substitued C3 - MOC"/>
        <s v="C2 substitued C3 - MOC (Import)"/>
        <s v="GC Sum/Weighted"/>
        <s v="SCG Sum/Weighted"/>
        <s v="Sum/Weighted Average"/>
        <s v="C3 - GC I1"/>
        <s v="C3 - GC I1 (SPOT)"/>
        <s v="C3 - GC I1 (Import)"/>
        <s v="C3 - HMC"/>
        <s v="C3 - HMC (Import)"/>
        <s v="C3 - PTTAC"/>
        <s v="C3 - PTTAC (Import)"/>
        <s v="C3 Tier 1 : 0 - 48 KT - MOC"/>
        <s v="C3  Tier 1 : 0 - 48 KT - MOC (Import)"/>
        <s v="C3 Tier 2 : 48.001 - 400 KT - MOC "/>
        <s v="C3 Tier 2 : 48.001 - 400 KT - MOC (Import)"/>
        <s v=" PTTOR - C3 Truck (Tax)"/>
        <s v="LPG - GC I1"/>
        <s v="LPG - GC I1 (SPOT)"/>
        <s v="LPG - GC I1 (Import)"/>
        <s v="LPG - GC I4"/>
        <s v="LPG - GC I4 (SPOT)"/>
        <s v="LPG - GC I4 (Import)"/>
        <s v="LPG 48 - 240 KT - ROC"/>
        <s v="Additional LPG Tier 1 : 1 - 384 KT - ROC"/>
        <s v="Additional LPG Tier 2 : 384.001 - 720 KT - ROC"/>
        <s v="LPG SPOT : Max 400 KT (Import) - ROC"/>
        <s v="LPG : 48 - 240 KT - MOC"/>
        <s v="Additional LPG Tier 1 : 1 - 384 KT - MOC"/>
        <s v="Additional LPG Tier 2 : 384.001 - 720 KT - MOC"/>
        <s v="LPG SPOT : Max 400 KT - MOC"/>
        <s v=" PTTOR - Odorless Lpg"/>
        <s v=" PTTOR - LPG-MT (Tax)"/>
        <s v=" PTTOR - LPG-MT (Eppo Flat - Impo-Untax to TAX)"/>
        <s v=" PTTOR - LPG-BRP (Tax)"/>
        <s v=" PTTOR - LPG-KHM"/>
        <s v=" PTTOR - LPG-PTT Tank (GSP truck)"/>
        <s v=" PTTOR - LPG-PTT Tank (GSP ship)"/>
        <s v=" SGP - MT "/>
        <s v=" SGP - LPG-PTT Tank (GSP)"/>
        <s v=" WP - MT "/>
        <s v=" WP - LPG-PTT Tank (GSP)"/>
        <s v=" WP -LPG-PTT Tank (eppo flat - discount)"/>
        <s v=" PAP - MT "/>
        <s v=" PAP - LPG-PTT Tank (GSP)"/>
        <s v=" PAP - LPG-PTT Tank (GSP) Truck"/>
        <s v="BCP - MT "/>
        <s v="BCP - LPG-PTT Tank (GSP)"/>
        <s v="ESSO - MT "/>
        <s v="ESSO - LPG-PTT Tank (GSP)"/>
        <s v="IRPC - MT "/>
        <s v="IRPC - LPG-PTT Tank (GSP)"/>
        <s v="UGP - MT "/>
        <s v="UGP - LPG-PTT Tank (GSP)"/>
        <s v=" TOP - LPG-MT "/>
        <s v=" TOP - LPG-PTT Tank (GSP)"/>
        <s v=" PTTOR - LPG-LKB"/>
        <s v=" PTTOR - LPG-MT (PTTGC)"/>
        <s v=" PTTOR - LPG-MT (SPRC)"/>
        <s v=" PTTOR - LPG-PTT Tank (PTTGC ship)"/>
        <s v=" PTTOR - LPG-SPRC"/>
        <s v=" PTTOR - LPG-PTTGC"/>
        <s v=" PTTOR - LPG-IRPC"/>
        <s v=" SGP - LPG-PTT Tank (PTTGC)"/>
        <s v=" WP - LPG-PTT Tank (PTTGC-eppo)"/>
        <s v=" WP - LPG-PTT Tank (PTTGC)"/>
        <s v=" WP - LPG-SPRC"/>
        <s v=" WP - LPG-IRPC"/>
        <s v=" PAP - LPG-PTT Tank (PTTGC-eppo)"/>
        <s v=" PAP - LPG-PTT Tank (PTTGC)"/>
        <s v="BCP - LPG-PTT Tank (PTTGC)"/>
        <s v="ESSO - LPG-PTT Tank (PTTGC)"/>
        <s v="IRPC - LPG-PTT Tank (PTTGC)"/>
        <s v="UGP - LPG-PTT Tank (PTTGC)"/>
        <s v=" TOP - LPG-PTT Tank (PTTGC-eppo)"/>
        <s v=" TOP - LPG-PTT Tank (PTTGC)"/>
        <s v=" TOP - LPG-SPRC"/>
        <s v="PTTOR"/>
        <s v="PTTOR - Unknown"/>
        <s v="SGP"/>
        <s v="UGP"/>
        <s v="TBU"/>
        <s v="NGL - GC I4"/>
        <s v="NGL - ROC"/>
        <s v="NGL - MOC"/>
        <s v="NGL - MT"/>
        <s v="NGL - PTT TANK"/>
        <s v="NGL - KHM"/>
        <s v="NGL - IRPC (KHM)"/>
        <s v="Pentane Tier1 - ROC"/>
        <s v="Pentane Tier2 - ROC"/>
        <s v="Pentane Tier3 - ROC"/>
        <s v="CO2 - Linde" u="1"/>
        <s v="CO2 - Praxair" u="1"/>
      </sharedItems>
    </cacheField>
    <cacheField name="ธ.ค.-63" numFmtId="0">
      <sharedItems containsString="0" containsBlank="1" containsNumber="1" minValue="0" maxValue="2398533855.805058"/>
    </cacheField>
    <cacheField name="ม.ค.-64" numFmtId="0">
      <sharedItems containsString="0" containsBlank="1" containsNumber="1" minValue="0" maxValue="2534555512.9400997"/>
    </cacheField>
    <cacheField name="ก.พ.-64" numFmtId="0">
      <sharedItems containsString="0" containsBlank="1" containsNumber="1" minValue="0" maxValue="2314439755.573"/>
    </cacheField>
    <cacheField name="มี.ค.-64" numFmtId="0">
      <sharedItems containsString="0" containsBlank="1" containsNumber="1" minValue="0" maxValue="2671805017.0497003"/>
    </cacheField>
    <cacheField name="เม.ย.-64" numFmtId="0">
      <sharedItems containsString="0" containsBlank="1" containsNumber="1" minValue="0" maxValue="2759055817.5936866"/>
    </cacheField>
    <cacheField name="พ.ค.-64" numFmtId="0">
      <sharedItems containsString="0" containsBlank="1" containsNumber="1" minValue="0" maxValue="3001126990.3085904"/>
    </cacheField>
    <cacheField name="มิ.ย.-64" numFmtId="0">
      <sharedItems containsString="0" containsBlank="1" containsNumber="1" minValue="0" maxValue="2518746434.9745045"/>
    </cacheField>
    <cacheField name="ก.ค.-64" numFmtId="0">
      <sharedItems containsString="0" containsBlank="1" containsNumber="1" minValue="0" maxValue="2520093509.9772463"/>
    </cacheField>
    <cacheField name="ส.ค.-64" numFmtId="0">
      <sharedItems containsString="0" containsBlank="1" containsNumber="1" minValue="0" maxValue="2488953414.2956252"/>
    </cacheField>
    <cacheField name="ก.ย.-64" numFmtId="0">
      <sharedItems containsString="0" containsBlank="1" containsNumber="1" minValue="0" maxValue="2231500983.2802811"/>
    </cacheField>
    <cacheField name="ต.ค.-64" numFmtId="0">
      <sharedItems containsString="0" containsBlank="1" containsNumber="1" minValue="0" maxValue="2080129863.8343198"/>
    </cacheField>
    <cacheField name="พ.ย.-64" numFmtId="0">
      <sharedItems containsString="0" containsBlank="1" containsNumber="1" minValue="0" maxValue="2378463092.6908793"/>
    </cacheField>
    <cacheField name="ธ.ค.-64" numFmtId="0">
      <sharedItems containsString="0" containsBlank="1" containsNumber="1" minValue="0" maxValue="2455813281.7708321"/>
    </cacheField>
    <cacheField name="Total" numFmtId="0">
      <sharedItems containsString="0" containsBlank="1" containsNumber="1" minValue="0" maxValue="29139222555.4790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NYA KETJUNTIWA" refreshedDate="44308.455998263889" createdVersion="6" refreshedVersion="6" minRefreshableVersion="3" recordCount="22" xr:uid="{00000000-000A-0000-FFFF-FFFF03000000}">
  <cacheSource type="worksheet">
    <worksheetSource ref="T43:AH65" sheet="Delivery"/>
  </cacheSource>
  <cacheFields count="15">
    <cacheField name="LPG-D" numFmtId="49">
      <sharedItems containsBlank="1" count="11">
        <s v="OR"/>
        <s v="SGP"/>
        <s v="UPG"/>
        <s v="WP"/>
        <s v="PAP"/>
        <s v="IRPC"/>
        <s v="TOP"/>
        <s v="BCP"/>
        <s v="Esso"/>
        <s v="Total"/>
        <m u="1"/>
      </sharedItems>
    </cacheField>
    <cacheField name="Delivery " numFmtId="49">
      <sharedItems/>
    </cacheField>
    <cacheField name="Jan-64" numFmtId="3">
      <sharedItems containsSemiMixedTypes="0" containsString="0" containsNumber="1" minValue="0" maxValue="167161.603"/>
    </cacheField>
    <cacheField name="Feb-64" numFmtId="3">
      <sharedItems containsSemiMixedTypes="0" containsString="0" containsNumber="1" minValue="0" maxValue="135580.427"/>
    </cacheField>
    <cacheField name="Mar-64" numFmtId="3">
      <sharedItems containsSemiMixedTypes="0" containsString="0" containsNumber="1" minValue="0" maxValue="172257.57500000001"/>
    </cacheField>
    <cacheField name="Apr-64" numFmtId="3">
      <sharedItems containsSemiMixedTypes="0" containsString="0" containsNumber="1" minValue="0" maxValue="159225.42811000001"/>
    </cacheField>
    <cacheField name="May-64" numFmtId="3">
      <sharedItems containsSemiMixedTypes="0" containsString="0" containsNumber="1" minValue="0" maxValue="164738.66387000002"/>
    </cacheField>
    <cacheField name="Jun-64" numFmtId="3">
      <sharedItems containsSemiMixedTypes="0" containsString="0" containsNumber="1" minValue="0" maxValue="160703.35404999999"/>
    </cacheField>
    <cacheField name="Jul-64" numFmtId="3">
      <sharedItems containsSemiMixedTypes="0" containsString="0" containsNumber="1" minValue="0" maxValue="200159.78031"/>
    </cacheField>
    <cacheField name="Aug-64" numFmtId="3">
      <sharedItems containsSemiMixedTypes="0" containsString="0" containsNumber="1" minValue="0" maxValue="166262.64504999999"/>
    </cacheField>
    <cacheField name="Sep-64" numFmtId="3">
      <sharedItems containsSemiMixedTypes="0" containsString="0" containsNumber="1" minValue="0" maxValue="164577.45454000001"/>
    </cacheField>
    <cacheField name="Oct-64" numFmtId="3">
      <sharedItems containsSemiMixedTypes="0" containsString="0" containsNumber="1" minValue="0" maxValue="165587.17173"/>
    </cacheField>
    <cacheField name="Nov-64" numFmtId="3">
      <sharedItems containsSemiMixedTypes="0" containsString="0" containsNumber="1" minValue="0" maxValue="165243.78417"/>
    </cacheField>
    <cacheField name="Dec-64" numFmtId="3">
      <sharedItems containsSemiMixedTypes="0" containsString="0" containsNumber="1" minValue="0" maxValue="167322.7873"/>
    </cacheField>
    <cacheField name="Total" numFmtId="3">
      <sharedItems containsSemiMixedTypes="0" containsString="0" containsNumber="1" minValue="0" maxValue="1988820.67413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NYA KETJUNTIWA" refreshedDate="44308.455998611113" createdVersion="6" refreshedVersion="6" minRefreshableVersion="3" recordCount="22" xr:uid="{00000000-000A-0000-FFFF-FFFF04000000}">
  <cacheSource type="worksheet">
    <worksheetSource ref="T43:AH65" sheet="Revenue (Baht)"/>
  </cacheSource>
  <cacheFields count="15">
    <cacheField name="LPG-D (Mbaht)" numFmtId="0">
      <sharedItems count="10">
        <s v="OR"/>
        <s v="SGP"/>
        <s v="UPG"/>
        <s v="WP"/>
        <s v="PAP"/>
        <s v="IRPC"/>
        <s v="TOP"/>
        <s v="BCP"/>
        <s v="Esso"/>
        <s v="Total"/>
      </sharedItems>
    </cacheField>
    <cacheField name="Delivery Point" numFmtId="0">
      <sharedItems/>
    </cacheField>
    <cacheField name="Jan-64" numFmtId="3">
      <sharedItems containsSemiMixedTypes="0" containsString="0" containsNumber="1" minValue="0" maxValue="2320.306954775881"/>
    </cacheField>
    <cacheField name="Feb-64" numFmtId="3">
      <sharedItems containsSemiMixedTypes="0" containsString="0" containsNumber="1" minValue="0" maxValue="1882.3064041038001"/>
    </cacheField>
    <cacheField name="Mar-64" numFmtId="3">
      <sharedItems containsSemiMixedTypes="0" containsString="0" containsNumber="1" minValue="0" maxValue="2388.9589391343961"/>
    </cacheField>
    <cacheField name="Apr-64" numFmtId="3">
      <sharedItems containsSemiMixedTypes="0" containsString="0" containsNumber="1" minValue="0" maxValue="1908.9116726171121"/>
    </cacheField>
    <cacheField name="May-64" numFmtId="3">
      <sharedItems containsSemiMixedTypes="0" containsString="0" containsNumber="1" minValue="0" maxValue="2060.2557992441903"/>
    </cacheField>
    <cacheField name="Jun-64" numFmtId="3">
      <sharedItems containsSemiMixedTypes="0" containsString="0" containsNumber="1" minValue="0" maxValue="2009.5927909139987"/>
    </cacheField>
    <cacheField name="Jul-64" numFmtId="3">
      <sharedItems containsSemiMixedTypes="0" containsString="0" containsNumber="1" minValue="0" maxValue="2520.093509977246"/>
    </cacheField>
    <cacheField name="Aug-64" numFmtId="3">
      <sharedItems containsSemiMixedTypes="0" containsString="0" containsNumber="1" minValue="0" maxValue="2071.4998286433047"/>
    </cacheField>
    <cacheField name="Sep-64" numFmtId="3">
      <sharedItems containsSemiMixedTypes="0" containsString="0" containsNumber="1" minValue="0" maxValue="2050.1733146011961"/>
    </cacheField>
    <cacheField name="Oct-64" numFmtId="3">
      <sharedItems containsSemiMixedTypes="0" containsString="0" containsNumber="1" minValue="0" maxValue="2080.1298638343196"/>
    </cacheField>
    <cacheField name="Nov-64" numFmtId="3">
      <sharedItems containsSemiMixedTypes="0" containsString="0" containsNumber="1" minValue="0" maxValue="2051.1858227064208"/>
    </cacheField>
    <cacheField name="Dec-64" numFmtId="3">
      <sharedItems containsSemiMixedTypes="0" containsString="0" containsNumber="1" minValue="0" maxValue="2076.8718041550956"/>
    </cacheField>
    <cacheField name="Total" numFmtId="3">
      <sharedItems containsSemiMixedTypes="0" containsString="0" containsNumber="1" minValue="0" maxValue="25420.286704706967"/>
    </cacheField>
  </cacheFields>
  <extLst>
    <ext xmlns:x14="http://schemas.microsoft.com/office/spreadsheetml/2009/9/main" uri="{725AE2AE-9491-48be-B2B4-4EB974FC3084}">
      <x14:pivotCacheDefinition pivotCacheId="1401084612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NYA KETJUNTIWA" refreshedDate="44308.455998726851" createdVersion="6" refreshedVersion="6" minRefreshableVersion="3" recordCount="22" xr:uid="{00000000-000A-0000-FFFF-FFFF05000000}">
  <cacheSource type="worksheet">
    <worksheetSource ref="AY43:BM65" sheet="Margin (Baht)"/>
  </cacheSource>
  <cacheFields count="15">
    <cacheField name="LPG-D" numFmtId="0">
      <sharedItems containsBlank="1" count="11">
        <s v="OR"/>
        <m/>
        <s v="SGP"/>
        <s v="UPG"/>
        <s v="WP"/>
        <s v="PAP"/>
        <s v="IRPC"/>
        <s v="TOP"/>
        <s v="BCP"/>
        <s v="Esso"/>
        <s v="Total "/>
      </sharedItems>
    </cacheField>
    <cacheField name="Delivery Point" numFmtId="0">
      <sharedItems containsBlank="1"/>
    </cacheField>
    <cacheField name="Jan-64" numFmtId="3">
      <sharedItems containsSemiMixedTypes="0" containsString="0" containsNumber="1" minValue="-2561.2354707107429" maxValue="0"/>
    </cacheField>
    <cacheField name="Feb-64" numFmtId="3">
      <sharedItems containsSemiMixedTypes="0" containsString="0" containsNumber="1" minValue="-2486.2381585607282" maxValue="0"/>
    </cacheField>
    <cacheField name="Mar-64" numFmtId="3">
      <sharedItems containsSemiMixedTypes="0" containsString="0" containsNumber="1" minValue="-3169.3483934182163" maxValue="0"/>
    </cacheField>
    <cacheField name="Apr-64" numFmtId="3">
      <sharedItems containsSemiMixedTypes="0" containsString="0" containsNumber="1" minValue="-230.74386085227025" maxValue="1.719730595114837E-3"/>
    </cacheField>
    <cacheField name="May-64" numFmtId="3">
      <sharedItems containsSemiMixedTypes="0" containsString="0" containsNumber="1" minValue="-216.02564019133141" maxValue="1.8559965263624432E-3"/>
    </cacheField>
    <cacheField name="Jun-64" numFmtId="3">
      <sharedItems containsSemiMixedTypes="0" containsString="0" containsNumber="1" minValue="-206.00853245751242" maxValue="1.8123752779575844E-3"/>
    </cacheField>
    <cacheField name="Jul-64" numFmtId="3">
      <sharedItems containsSemiMixedTypes="0" containsString="0" containsNumber="1" minValue="-194.86035488764185" maxValue="2.3890266965372734E-3"/>
    </cacheField>
    <cacheField name="Aug-64" numFmtId="3">
      <sharedItems containsSemiMixedTypes="0" containsString="0" containsNumber="1" minValue="-204.10429689089517" maxValue="1.8929899887458082E-3"/>
    </cacheField>
    <cacheField name="Sep-64" numFmtId="3">
      <sharedItems containsSemiMixedTypes="0" containsString="0" containsNumber="1" minValue="-194.60130150583419" maxValue="1.8506451660358812E-3"/>
    </cacheField>
    <cacheField name="Oct-64" numFmtId="3">
      <sharedItems containsSemiMixedTypes="0" containsString="0" containsNumber="1" minValue="-182.10070058363181" maxValue="1.8726336928260128E-3"/>
    </cacheField>
    <cacheField name="Nov-64" numFmtId="3">
      <sharedItems containsSemiMixedTypes="0" containsString="0" containsNumber="1" minValue="-204.9129416102088" maxValue="1.8538573431781688E-3"/>
    </cacheField>
    <cacheField name="Dec-64" numFmtId="3">
      <sharedItems containsSemiMixedTypes="0" containsString="0" containsNumber="1" minValue="-208.72737195521523" maxValue="1.8793261363207255E-3"/>
    </cacheField>
    <cacheField name="Total" numFmtId="170">
      <sharedItems containsSemiMixedTypes="0" containsString="0" containsNumber="1" minValue="-8216.8048961082641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NYA KETJUNTIWA" refreshedDate="44308.458523032408" createdVersion="6" refreshedVersion="6" minRefreshableVersion="3" recordCount="6" xr:uid="{00000000-000A-0000-FFFF-FFFF06000000}">
  <cacheSource type="worksheet">
    <worksheetSource ref="T2:AF8" sheet="COST (Baht)"/>
  </cacheSource>
  <cacheFields count="13">
    <cacheField name="$/Ton" numFmtId="0">
      <sharedItems count="6">
        <s v="Ethane"/>
        <s v="Propane"/>
        <s v="LPG-P"/>
        <s v="LPG-D"/>
        <s v="NGL"/>
        <s v="Pentane"/>
      </sharedItems>
    </cacheField>
    <cacheField name="ม.ค.-64" numFmtId="170">
      <sharedItems containsSemiMixedTypes="0" containsString="0" containsNumber="1" minValue="365.16977460686041" maxValue="409.12177422070044"/>
    </cacheField>
    <cacheField name="ก.พ.-64" numFmtId="170">
      <sharedItems containsSemiMixedTypes="0" containsString="0" containsNumber="1" minValue="367.80221905648477" maxValue="443.31237375634237"/>
    </cacheField>
    <cacheField name="มี.ค.-64" numFmtId="170">
      <sharedItems containsSemiMixedTypes="0" containsString="0" containsNumber="1" minValue="379.36118723069501" maxValue="455.4227737152703"/>
    </cacheField>
    <cacheField name="เม.ย.-64" numFmtId="170">
      <sharedItems containsSemiMixedTypes="0" containsString="0" containsNumber="1" minValue="396.40813715974605" maxValue="517.83745031378646"/>
    </cacheField>
    <cacheField name="พ.ค.-64" numFmtId="170">
      <sharedItems containsSemiMixedTypes="0" containsString="0" containsNumber="1" minValue="396.09737353185551" maxValue="473.34748335566559"/>
    </cacheField>
    <cacheField name="มิ.ย.-64" numFmtId="170">
      <sharedItems containsSemiMixedTypes="0" containsString="0" containsNumber="1" minValue="401.74613757475043" maxValue="476.21422504899351"/>
    </cacheField>
    <cacheField name="ก.ค.-64" numFmtId="170">
      <sharedItems containsSemiMixedTypes="0" containsString="0" containsNumber="1" minValue="415.26019969479421" maxValue="559.44464705703797"/>
    </cacheField>
    <cacheField name="ส.ค.-64" numFmtId="170">
      <sharedItems containsSemiMixedTypes="0" containsString="0" containsNumber="1" minValue="412.41282091175839" maxValue="468.93726349761266"/>
    </cacheField>
    <cacheField name="ก.ย.-64" numFmtId="170">
      <sharedItems containsSemiMixedTypes="0" containsString="0" containsNumber="1" minValue="412.18242128769026" maxValue="479.25085089479524"/>
    </cacheField>
    <cacheField name="ต.ค.-64" numFmtId="170">
      <sharedItems containsSemiMixedTypes="0" containsString="0" containsNumber="1" minValue="422.56658288823132" maxValue="494.57869390815813"/>
    </cacheField>
    <cacheField name="พ.ย.-64" numFmtId="170">
      <sharedItems containsSemiMixedTypes="0" containsString="0" containsNumber="1" minValue="415.65724450723286" maxValue="484.49417730157762"/>
    </cacheField>
    <cacheField name="ธ.ค.-64" numFmtId="170">
      <sharedItems containsSemiMixedTypes="0" containsString="0" containsNumber="1" minValue="412.95908017722752" maxValue="478.408982047486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42.174446572058628"/>
    <n v="40.446456025304599"/>
    <n v="32.853360065486527"/>
    <n v="79.437511571106143"/>
    <n v="74.936746160645498"/>
    <n v="0.39034451338420695"/>
    <n v="-21.355354573365673"/>
    <n v="-30.031652938010097"/>
    <n v="-35.273831734307123"/>
    <n v="-53.136366875589601"/>
    <n v="-40.641138421249593"/>
    <n v="-31.740710664563721"/>
  </r>
  <r>
    <x v="1"/>
    <n v="247.12414311939318"/>
    <n v="257.70026235769336"/>
    <n v="85.043154426802857"/>
    <n v="107.38754319513509"/>
    <n v="98.639928471038274"/>
    <n v="75.013097678279223"/>
    <n v="-12.247691496581751"/>
    <n v="76.506164478262292"/>
    <n v="65.136559037484631"/>
    <n v="46.151206091841914"/>
    <n v="69.314445425695169"/>
    <n v="81.564340679786255"/>
  </r>
  <r>
    <x v="2"/>
    <n v="223.60970121562019"/>
    <n v="125.69610388147737"/>
    <n v="179.81944559288058"/>
    <n v="154.12750666109685"/>
    <n v="144.57479082276689"/>
    <n v="153.6093489452262"/>
    <n v="56.327594259699595"/>
    <n v="52.473863094163733"/>
    <n v="131.07296226443776"/>
    <n v="134.77258440535559"/>
    <n v="45.215574559265065"/>
    <n v="116.22414895452584"/>
  </r>
  <r>
    <x v="3"/>
    <n v="13.031222756457225"/>
    <n v="-41.889773498380123"/>
    <n v="-30.426748420886895"/>
    <n v="-6.7142581720082148"/>
    <n v="29.656102646786962"/>
    <n v="50.634096440840494"/>
    <n v="7.9289769669198336"/>
    <n v="22.875334000690714"/>
    <n v="82.822223891996146"/>
    <n v="80.126496766323442"/>
    <n v="-12.947898634664455"/>
    <n v="39.229060380809358"/>
  </r>
  <r>
    <x v="4"/>
    <n v="133.37929532952694"/>
    <n v="174.12324662821914"/>
    <n v="198.70287528871995"/>
    <n v="184.25585760290869"/>
    <n v="142.38545811838185"/>
    <n v="133.69192884346461"/>
    <n v="115.58703697855913"/>
    <n v="114.6154634637067"/>
    <n v="109.86894803148533"/>
    <n v="99.035355509243232"/>
    <n v="100.62161344554426"/>
    <n v="102.47760333644089"/>
  </r>
  <r>
    <x v="5"/>
    <n v="47.036634355531987"/>
    <n v="96.829380943515275"/>
    <n v="114.035512769305"/>
    <n v="100.29186284025394"/>
    <n v="60.90262646814449"/>
    <n v="50.253862425249451"/>
    <n v="32.73980030520579"/>
    <n v="30.587179088241555"/>
    <n v="27.817578712309626"/>
    <n v="15.433417111768676"/>
    <n v="17.342755492767139"/>
    <n v="17.040919822772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423.0602561447181"/>
    <n v="423.08108236599242"/>
    <n v="433.47271036470164"/>
    <n v="498.33650456838194"/>
    <n v="493.30928119331736"/>
    <n v="424.37143894891335"/>
    <n v="416.03164806671333"/>
    <n v="405.06802226522348"/>
    <n v="399.10259808327845"/>
    <n v="391.5105439221461"/>
    <n v="397.42950727817328"/>
    <n v="403.50407871548344"/>
  </r>
  <r>
    <x v="1"/>
    <n v="652.47821322560071"/>
    <n v="698.52308566884972"/>
    <n v="540.46592814207315"/>
    <n v="606.09210298557491"/>
    <n v="571.40712272727274"/>
    <n v="551.22732272727274"/>
    <n v="539.07383173857329"/>
    <n v="542.72622272727278"/>
    <n v="544.38740993227987"/>
    <n v="540.72990000000004"/>
    <n v="553.80862272727279"/>
    <n v="559.97332272727272"/>
  </r>
  <r>
    <x v="2"/>
    <n v="445.72809999999998"/>
    <n v="436.32499999999999"/>
    <n v="467.20780000000002"/>
    <n v="520.4"/>
    <n v="503.29"/>
    <n v="432.78500000000003"/>
    <n v="422.46"/>
    <n v="409.77499999999998"/>
    <n v="397.97500000000002"/>
    <n v="402.4"/>
    <n v="410.07"/>
    <n v="407.41500000000002"/>
  </r>
  <r>
    <x v="3"/>
    <n v="584.69479827792816"/>
    <n v="628.0850874042186"/>
    <n v="616.05405437721367"/>
    <n v="576.53740186937523"/>
    <n v="548.63660133442056"/>
    <n v="517.41279417335352"/>
    <n v="531.60070424589378"/>
    <n v="506.93073420769576"/>
    <n v="493.66875328579215"/>
    <n v="481.27927506649849"/>
    <n v="507.92197334328984"/>
    <n v="513.37329161795503"/>
  </r>
  <r>
    <x v="4"/>
    <n v="629.84613026104864"/>
    <n v="591.41372204599395"/>
    <n v="630.86746537756903"/>
    <n v="532.81541751076384"/>
    <n v="520.07869798597198"/>
    <n v="505.5485031288888"/>
    <n v="460.68386992167387"/>
    <n v="438.14936214033503"/>
    <n v="447.91105387007832"/>
    <n v="460.1587105815795"/>
    <n v="469.83570329506983"/>
    <n v="483.98668686851721"/>
  </r>
  <r>
    <x v="5"/>
    <n v="420.20844344378594"/>
    <n v="422.2550506887826"/>
    <n v="421.09594412900736"/>
    <n v="383.88276423239859"/>
    <n v="414.80651393145814"/>
    <n v="414.78765986969103"/>
    <n v="419.96653904349336"/>
    <n v="415.43654520244661"/>
    <n v="415.42695435706122"/>
    <n v="422.45634302002202"/>
    <n v="417.50066377359946"/>
    <n v="417.51359911301773"/>
  </r>
  <r>
    <x v="6"/>
    <n v="498.54906993638735"/>
    <n v="550.74076617443177"/>
    <n v="578.06406251941507"/>
    <n v="580.66399476265474"/>
    <n v="538.48283165023736"/>
    <n v="535.43806641821504"/>
    <n v="530.84723667335334"/>
    <n v="527.02828437546509"/>
    <n v="522.05136931917559"/>
    <n v="521.60193839747456"/>
    <n v="516.27885795277712"/>
    <n v="515.43668351366841"/>
  </r>
  <r>
    <x v="7"/>
    <n v="413.28129999999999"/>
    <n v="464.63160000000005"/>
    <n v="493.39670000000001"/>
    <n v="496.70000000000005"/>
    <n v="457"/>
    <n v="452"/>
    <n v="448"/>
    <n v="443"/>
    <n v="440"/>
    <n v="438"/>
    <n v="433"/>
    <n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  <s v="GSP RY"/>
    <x v="0"/>
    <n v="369421603.44"/>
    <n v="569022515.13599992"/>
    <n v="471509503.00559998"/>
    <n v="504696708.24720001"/>
    <n v="591150007.87887812"/>
    <n v="623578677.69599998"/>
    <n v="518580524.16000009"/>
    <n v="524240875.00800002"/>
    <n v="520319831.32799995"/>
    <n v="461716332.62399995"/>
    <n v="405866707.99999982"/>
    <n v="465061036.20000011"/>
    <n v="488017829.96400017"/>
    <n v="6143760549.2476768"/>
  </r>
  <r>
    <x v="0"/>
    <s v="GSP RY"/>
    <x v="1"/>
    <n v="401372710.1904"/>
    <n v="419850968.93489999"/>
    <n v="390922970.01359999"/>
    <n v="437053230.99090004"/>
    <n v="664983204.87905896"/>
    <n v="658646442.50146186"/>
    <n v="566001699.42555809"/>
    <n v="553722248.19111645"/>
    <n v="540265772.36727929"/>
    <n v="531747385.06823671"/>
    <n v="520606398.83510864"/>
    <n v="529789597.18824542"/>
    <n v="538007985.42256534"/>
    <n v="6351597903.8180313"/>
  </r>
  <r>
    <x v="0"/>
    <s v="GSP RY"/>
    <x v="2"/>
    <n v="1325140199.2639999"/>
    <n v="1322407046.8188"/>
    <n v="1249073436.0552001"/>
    <n v="1479397525.1763"/>
    <n v="1363001393.6671095"/>
    <n v="1505990472.0984569"/>
    <n v="1235450058.8718264"/>
    <n v="668880889.31911933"/>
    <n v="1227325122.9415941"/>
    <n v="1054947290.9680009"/>
    <n v="801519716.23423886"/>
    <n v="1192638433.8069301"/>
    <n v="1234986934.6173456"/>
    <n v="14335618320.574923"/>
  </r>
  <r>
    <x v="0"/>
    <s v="GSP RY"/>
    <x v="3"/>
    <n v="0"/>
    <n v="4946549.7648"/>
    <n v="7175104.6320000002"/>
    <n v="788338.32960000006"/>
    <n v="0"/>
    <n v="0"/>
    <n v="0"/>
    <n v="0"/>
    <n v="0"/>
    <n v="0"/>
    <n v="0"/>
    <n v="0"/>
    <n v="0"/>
    <n v="12909992.726400001"/>
  </r>
  <r>
    <x v="0"/>
    <s v="GSP RY"/>
    <x v="4"/>
    <n v="32831628.148800001"/>
    <n v="172033478.68559998"/>
    <n v="153992329.06659999"/>
    <n v="122109887.0457"/>
    <n v="0"/>
    <n v="0"/>
    <n v="0"/>
    <n v="0"/>
    <n v="0"/>
    <n v="0"/>
    <n v="0"/>
    <n v="0"/>
    <n v="0"/>
    <n v="448135694.79790002"/>
  </r>
  <r>
    <x v="0"/>
    <s v="GSP RY"/>
    <x v="5"/>
    <n v="42953798.399999999"/>
    <n v="46294953.600000001"/>
    <n v="41766412.799999997"/>
    <n v="48442732.799999997"/>
    <n v="51246817.568640001"/>
    <n v="52535502.012672"/>
    <n v="44904872.517120004"/>
    <n v="45588706.707455993"/>
    <n v="44697783.658751994"/>
    <n v="42710129.383680001"/>
    <n v="43396180.68096"/>
    <n v="42584689.958400004"/>
    <n v="44548300.654848002"/>
    <n v="548717082.34252799"/>
  </r>
  <r>
    <x v="0"/>
    <s v="GSP RY"/>
    <x v="6"/>
    <n v="0"/>
    <n v="0"/>
    <n v="0"/>
    <n v="79316594.459999993"/>
    <n v="88674393.600000009"/>
    <n v="160375896.00000003"/>
    <n v="153809280.00000003"/>
    <n v="100167736.31999998"/>
    <n v="156344904.00000003"/>
    <n v="140379845.23636362"/>
    <n v="120772795.70586018"/>
    <n v="148389335.53730407"/>
    <n v="150252231.11207283"/>
    <n v="1298483011.9716005"/>
  </r>
  <r>
    <x v="0"/>
    <s v="GSP RY"/>
    <x v="7"/>
    <n v="0"/>
    <n v="0"/>
    <n v="0"/>
    <n v="0"/>
    <n v="0"/>
    <n v="0"/>
    <n v="0"/>
    <n v="0"/>
    <n v="0"/>
    <n v="0"/>
    <n v="0"/>
    <n v="0"/>
    <n v="0"/>
    <n v="0"/>
  </r>
  <r>
    <x v="0"/>
    <s v="Import"/>
    <x v="8"/>
    <n v="0"/>
    <n v="0"/>
    <n v="0"/>
    <n v="0"/>
    <n v="0"/>
    <n v="0"/>
    <n v="0"/>
    <n v="0"/>
    <n v="0"/>
    <n v="0"/>
    <n v="0"/>
    <n v="0"/>
    <n v="0"/>
    <n v="0"/>
  </r>
  <r>
    <x v="0"/>
    <m/>
    <x v="9"/>
    <n v="2171719939.4431996"/>
    <n v="2534555512.9400997"/>
    <n v="2314439755.573"/>
    <n v="2592488422.5897002"/>
    <n v="2670381423.9936867"/>
    <n v="2840751094.3085904"/>
    <n v="2364937154.9745045"/>
    <n v="1792432719.2256918"/>
    <n v="2332608510.2956252"/>
    <n v="2091121138.0439177"/>
    <n v="1771389003.7503073"/>
    <n v="2230073757.1535754"/>
    <n v="2305561050.6587591"/>
    <n v="27840739543.507462"/>
  </r>
  <r>
    <x v="0"/>
    <m/>
    <x v="10"/>
    <n v="0"/>
    <n v="0"/>
    <n v="0"/>
    <n v="79316594.459999993"/>
    <n v="88674393.600000009"/>
    <n v="160375896.00000003"/>
    <n v="153809280.00000003"/>
    <n v="100167736.31999998"/>
    <n v="156344904.00000003"/>
    <n v="140379845.23636362"/>
    <n v="120772795.70586018"/>
    <n v="148389335.53730407"/>
    <n v="150252231.11207283"/>
    <n v="1298483011.9716005"/>
  </r>
  <r>
    <x v="0"/>
    <m/>
    <x v="11"/>
    <n v="2171719939.4431996"/>
    <n v="2534555512.9400997"/>
    <n v="2314439755.573"/>
    <n v="2671805017.0497003"/>
    <n v="2759055817.5936866"/>
    <n v="3001126990.3085904"/>
    <n v="2518746434.9745045"/>
    <n v="1892600455.5456917"/>
    <n v="2488953414.2956252"/>
    <n v="2231500983.2802811"/>
    <n v="1892161799.4561675"/>
    <n v="2378463092.6908793"/>
    <n v="2455813281.7708321"/>
    <n v="29139222555.479057"/>
  </r>
  <r>
    <x v="1"/>
    <s v="GSP RY"/>
    <x v="12"/>
    <n v="442734583.80059999"/>
    <n v="425969232.54079998"/>
    <n v="397237393.78400004"/>
    <n v="384784351.7166"/>
    <n v="328560667.20000005"/>
    <n v="375865496.63999999"/>
    <n v="350664292.80000001"/>
    <n v="354987502.56"/>
    <n v="356660766.00000006"/>
    <n v="347099580"/>
    <n v="362072741.04000002"/>
    <n v="352336975.20000005"/>
    <n v="368209424.15999997"/>
    <n v="4404448423.6414003"/>
  </r>
  <r>
    <x v="1"/>
    <s v="GSP RY"/>
    <x v="13"/>
    <n v="0"/>
    <n v="0"/>
    <n v="0"/>
    <n v="0"/>
    <n v="0"/>
    <n v="0"/>
    <n v="0"/>
    <n v="0"/>
    <n v="0"/>
    <n v="0"/>
    <n v="0"/>
    <n v="0"/>
    <n v="0"/>
    <n v="0"/>
  </r>
  <r>
    <x v="1"/>
    <s v="Import"/>
    <x v="14"/>
    <n v="0"/>
    <n v="0"/>
    <n v="0"/>
    <n v="0"/>
    <n v="0"/>
    <n v="0"/>
    <n v="0"/>
    <n v="0"/>
    <n v="0"/>
    <n v="0"/>
    <n v="0"/>
    <n v="0"/>
    <n v="0"/>
    <n v="0"/>
  </r>
  <r>
    <x v="1"/>
    <s v="GSP RY"/>
    <x v="15"/>
    <n v="408283792.5776"/>
    <n v="638971437.34799993"/>
    <n v="601692926.45410001"/>
    <n v="679507984.77840006"/>
    <n v="594387986.789886"/>
    <n v="559413681.84000003"/>
    <n v="522479786.39999998"/>
    <n v="402195601.49999994"/>
    <n v="531673515.36000007"/>
    <n v="376391287.80000001"/>
    <n v="0"/>
    <n v="524895883.20000005"/>
    <n v="548354910.48000002"/>
    <n v="5979965001.950386"/>
  </r>
  <r>
    <x v="1"/>
    <s v="Import"/>
    <x v="16"/>
    <n v="0"/>
    <n v="0"/>
    <n v="0"/>
    <n v="0"/>
    <n v="0"/>
    <n v="0"/>
    <n v="0"/>
    <n v="0"/>
    <n v="0"/>
    <n v="0"/>
    <n v="0"/>
    <n v="0"/>
    <n v="0"/>
    <n v="0"/>
  </r>
  <r>
    <x v="1"/>
    <s v="GSP RY"/>
    <x v="17"/>
    <n v="347595587.56440002"/>
    <n v="351569031.45059997"/>
    <n v="278424118.80000001"/>
    <n v="338794170"/>
    <n v="410320688.292"/>
    <n v="355664977.19999999"/>
    <n v="286105507.80000001"/>
    <n v="0"/>
    <n v="261551187"/>
    <n v="261278547"/>
    <n v="244554575.99999997"/>
    <n v="278753283.89999998"/>
    <n v="287912032.19999999"/>
    <n v="3354928119.6425996"/>
  </r>
  <r>
    <x v="1"/>
    <s v="Import"/>
    <x v="18"/>
    <n v="0"/>
    <n v="0"/>
    <n v="97552757.530400008"/>
    <n v="157166313.49330002"/>
    <n v="31224000"/>
    <n v="60394800"/>
    <n v="51934200"/>
    <n v="0"/>
    <n v="0"/>
    <n v="47757000"/>
    <n v="48288000"/>
    <n v="49208400"/>
    <n v="48889800"/>
    <n v="592415271.0237"/>
  </r>
  <r>
    <x v="1"/>
    <s v="GSP RY"/>
    <x v="19"/>
    <n v="0"/>
    <n v="0"/>
    <n v="189999318.83999997"/>
    <n v="215796080.51999998"/>
    <n v="188269996.83913046"/>
    <n v="122261156.96899697"/>
    <n v="192680509.55083108"/>
    <n v="0"/>
    <n v="110333528.4350242"/>
    <n v="108730427.43862693"/>
    <n v="177235314.1970723"/>
    <n v="114863568.90299253"/>
    <n v="128819339.0873372"/>
    <n v="1548989240.7800117"/>
  </r>
  <r>
    <x v="1"/>
    <s v="Import"/>
    <x v="20"/>
    <n v="0"/>
    <n v="0"/>
    <n v="0"/>
    <n v="218642681.27000001"/>
    <n v="0"/>
    <n v="0"/>
    <n v="289240449.75974643"/>
    <n v="369356397.28559464"/>
    <n v="0"/>
    <n v="0"/>
    <n v="0"/>
    <n v="0"/>
    <n v="112731230.54775226"/>
    <n v="989970758.86309326"/>
  </r>
  <r>
    <x v="1"/>
    <s v="GSP RY"/>
    <x v="21"/>
    <n v="0"/>
    <n v="0"/>
    <n v="0"/>
    <n v="0"/>
    <n v="0"/>
    <n v="0"/>
    <n v="0"/>
    <n v="0"/>
    <n v="0"/>
    <n v="0"/>
    <n v="0"/>
    <n v="0"/>
    <n v="0"/>
    <n v="0"/>
  </r>
  <r>
    <x v="1"/>
    <s v="Import"/>
    <x v="22"/>
    <n v="0"/>
    <n v="0"/>
    <n v="0"/>
    <n v="0"/>
    <n v="0"/>
    <n v="0"/>
    <n v="0"/>
    <n v="0"/>
    <n v="0"/>
    <n v="0"/>
    <n v="0"/>
    <n v="0"/>
    <n v="0"/>
    <n v="0"/>
  </r>
  <r>
    <x v="1"/>
    <s v="GSP RY"/>
    <x v="23"/>
    <n v="8801725.8399999999"/>
    <n v="8157348.0999999996"/>
    <n v="8834965.7899999991"/>
    <n v="10166202.800000001"/>
    <n v="7159881.9619646864"/>
    <n v="8179565.6990591511"/>
    <n v="8179565.6990591511"/>
    <n v="8225993.9517750116"/>
    <n v="8152116.0366828814"/>
    <n v="8152116.0366828814"/>
    <n v="8220736.5420421641"/>
    <n v="8132452.9910430331"/>
    <n v="8132452.9910430331"/>
    <n v="99693398.599352002"/>
  </r>
  <r>
    <x v="1"/>
    <m/>
    <x v="9"/>
    <n v="442734583.80059999"/>
    <n v="425969232.54079998"/>
    <n v="397237393.78400004"/>
    <n v="384784351.7166"/>
    <n v="328560667.20000005"/>
    <n v="375865496.63999999"/>
    <n v="350664292.80000001"/>
    <n v="354987502.56"/>
    <n v="356660766.00000006"/>
    <n v="347099580"/>
    <n v="362072741.04000002"/>
    <n v="352336975.20000005"/>
    <n v="368209424.15999997"/>
    <n v="4404448423.6414003"/>
  </r>
  <r>
    <x v="1"/>
    <m/>
    <x v="10"/>
    <n v="0"/>
    <n v="0"/>
    <n v="189999318.83999997"/>
    <n v="434438761.78999996"/>
    <n v="188269996.83913046"/>
    <n v="122261156.96899697"/>
    <n v="481920959.31057751"/>
    <n v="369356397.28559464"/>
    <n v="110333528.4350242"/>
    <n v="108730427.43862693"/>
    <n v="177235314.1970723"/>
    <n v="114863568.90299253"/>
    <n v="241550569.63508946"/>
    <n v="2538959999.6431055"/>
  </r>
  <r>
    <x v="1"/>
    <m/>
    <x v="11"/>
    <n v="1207415689.7825999"/>
    <n v="1424667049.4393997"/>
    <n v="1573741481.1984999"/>
    <n v="2004857784.5783"/>
    <n v="1559923221.0829811"/>
    <n v="1481779678.3480563"/>
    <n v="1701284312.0096366"/>
    <n v="1134765495.2973697"/>
    <n v="1268371112.8317072"/>
    <n v="1149408958.2753098"/>
    <n v="840371367.77911437"/>
    <n v="1328190564.1940358"/>
    <n v="1503049189.4661326"/>
    <n v="16970410214.500544"/>
  </r>
  <r>
    <x v="2"/>
    <s v="GSP RY"/>
    <x v="24"/>
    <n v="36346050.5634"/>
    <n v="45602507.748599999"/>
    <n v="37885582.794500001"/>
    <n v="166022934.7561"/>
    <n v="572745393.01565218"/>
    <n v="555388265.24776423"/>
    <n v="506372779.76122755"/>
    <n v="926498380.79447281"/>
    <n v="454430550.01095408"/>
    <n v="453331759.60403115"/>
    <n v="481556644.877298"/>
    <n v="475922559.55867541"/>
    <n v="506277182.48465961"/>
    <n v="5182034540.6539345"/>
  </r>
  <r>
    <x v="2"/>
    <s v="GSP RY"/>
    <x v="25"/>
    <n v="0"/>
    <n v="0"/>
    <n v="0"/>
    <n v="0"/>
    <n v="0"/>
    <n v="0"/>
    <n v="0"/>
    <n v="0"/>
    <n v="0"/>
    <n v="0"/>
    <n v="0"/>
    <n v="0"/>
    <n v="0"/>
    <n v="0"/>
  </r>
  <r>
    <x v="2"/>
    <s v="Import"/>
    <x v="26"/>
    <n v="0"/>
    <n v="0"/>
    <n v="0"/>
    <n v="0"/>
    <n v="0"/>
    <n v="0"/>
    <n v="0"/>
    <n v="0"/>
    <n v="0"/>
    <n v="0"/>
    <n v="0"/>
    <n v="0"/>
    <n v="0"/>
    <n v="0"/>
  </r>
  <r>
    <x v="2"/>
    <s v="GSP RY"/>
    <x v="27"/>
    <n v="427599503.44920003"/>
    <n v="571078583.78670001"/>
    <n v="377738691.95270002"/>
    <n v="465147667.18529999"/>
    <n v="0"/>
    <n v="0"/>
    <n v="0"/>
    <n v="0"/>
    <n v="0"/>
    <n v="0"/>
    <n v="0"/>
    <n v="0"/>
    <n v="0"/>
    <n v="1413964942.9247"/>
  </r>
  <r>
    <x v="2"/>
    <s v="GSP RY"/>
    <x v="28"/>
    <n v="0"/>
    <n v="0"/>
    <n v="0"/>
    <n v="0"/>
    <n v="0"/>
    <n v="0"/>
    <n v="0"/>
    <n v="0"/>
    <n v="0"/>
    <n v="0"/>
    <n v="0"/>
    <n v="0"/>
    <n v="0"/>
    <n v="0"/>
  </r>
  <r>
    <x v="2"/>
    <s v="Import"/>
    <x v="29"/>
    <n v="0"/>
    <n v="0"/>
    <n v="0"/>
    <n v="0"/>
    <n v="0"/>
    <n v="0"/>
    <n v="0"/>
    <n v="0"/>
    <n v="0"/>
    <n v="0"/>
    <n v="0"/>
    <n v="0"/>
    <n v="0"/>
    <n v="0"/>
  </r>
  <r>
    <x v="2"/>
    <s v="GSP RY"/>
    <x v="30"/>
    <n v="0"/>
    <n v="0"/>
    <n v="0"/>
    <n v="70449830"/>
    <n v="320850000"/>
    <n v="154800000"/>
    <n v="35100000"/>
    <n v="30600000"/>
    <n v="28800000"/>
    <n v="29700000"/>
    <n v="30600000"/>
    <n v="31500000"/>
    <n v="32400000"/>
    <n v="764799830"/>
  </r>
  <r>
    <x v="2"/>
    <s v="GSP RY"/>
    <x v="31"/>
    <n v="0"/>
    <n v="0"/>
    <n v="0"/>
    <n v="0"/>
    <n v="0"/>
    <n v="0"/>
    <n v="0"/>
    <n v="0"/>
    <n v="0"/>
    <n v="0"/>
    <n v="0"/>
    <n v="0"/>
    <n v="0"/>
    <n v="0"/>
  </r>
  <r>
    <x v="2"/>
    <s v="GSP RY"/>
    <x v="32"/>
    <n v="0"/>
    <n v="0"/>
    <n v="0"/>
    <n v="0"/>
    <n v="0"/>
    <n v="0"/>
    <n v="0"/>
    <n v="0"/>
    <n v="0"/>
    <n v="0"/>
    <n v="0"/>
    <n v="0"/>
    <n v="0"/>
    <n v="0"/>
  </r>
  <r>
    <x v="2"/>
    <s v="Import"/>
    <x v="33"/>
    <n v="0"/>
    <n v="0"/>
    <n v="265417270.43000001"/>
    <n v="0"/>
    <n v="0"/>
    <n v="0"/>
    <n v="0"/>
    <n v="0"/>
    <n v="0"/>
    <n v="0"/>
    <n v="0"/>
    <n v="0"/>
    <n v="0"/>
    <n v="265417270.43000001"/>
  </r>
  <r>
    <x v="2"/>
    <s v="GSP RY"/>
    <x v="34"/>
    <n v="0"/>
    <n v="0"/>
    <n v="0"/>
    <n v="0"/>
    <n v="0"/>
    <n v="0"/>
    <n v="0"/>
    <n v="0"/>
    <n v="0"/>
    <n v="0"/>
    <n v="0"/>
    <n v="0"/>
    <n v="0"/>
    <n v="0"/>
  </r>
  <r>
    <x v="2"/>
    <s v="GSP RY"/>
    <x v="35"/>
    <n v="0"/>
    <n v="0"/>
    <n v="0"/>
    <n v="0"/>
    <n v="0"/>
    <n v="0"/>
    <n v="0"/>
    <n v="0"/>
    <n v="0"/>
    <n v="0"/>
    <n v="0"/>
    <n v="0"/>
    <n v="0"/>
    <n v="0"/>
  </r>
  <r>
    <x v="2"/>
    <s v="GSP RY"/>
    <x v="36"/>
    <n v="0"/>
    <n v="0"/>
    <n v="0"/>
    <n v="0"/>
    <n v="0"/>
    <n v="0"/>
    <n v="0"/>
    <n v="0"/>
    <n v="0"/>
    <n v="0"/>
    <n v="0"/>
    <n v="0"/>
    <n v="0"/>
    <n v="0"/>
  </r>
  <r>
    <x v="2"/>
    <s v="Import"/>
    <x v="37"/>
    <n v="0"/>
    <n v="0"/>
    <n v="0"/>
    <n v="0"/>
    <n v="0"/>
    <n v="0"/>
    <n v="0"/>
    <n v="0"/>
    <n v="0"/>
    <n v="0"/>
    <n v="0"/>
    <n v="0"/>
    <n v="0"/>
    <n v="0"/>
  </r>
  <r>
    <x v="2"/>
    <m/>
    <x v="9"/>
    <n v="463945554.01260006"/>
    <n v="616681091.53530002"/>
    <n v="415624274.74720001"/>
    <n v="631170601.94140005"/>
    <n v="572745393.01565218"/>
    <n v="555388265.24776423"/>
    <n v="506372779.76122755"/>
    <n v="926498380.79447281"/>
    <n v="454430550.01095408"/>
    <n v="453331759.60403115"/>
    <n v="481556644.877298"/>
    <n v="475922559.55867541"/>
    <n v="506277182.48465961"/>
    <n v="6595999483.5786362"/>
  </r>
  <r>
    <x v="2"/>
    <m/>
    <x v="10"/>
    <n v="0"/>
    <n v="0"/>
    <n v="265417270.43000001"/>
    <n v="70449830"/>
    <n v="320850000"/>
    <n v="154800000"/>
    <n v="35100000"/>
    <n v="30600000"/>
    <n v="28800000"/>
    <n v="29700000"/>
    <n v="30600000"/>
    <n v="31500000"/>
    <n v="32400000"/>
    <n v="1030217100.4300001"/>
  </r>
  <r>
    <x v="2"/>
    <m/>
    <x v="11"/>
    <n v="463945554.01260006"/>
    <n v="616681091.53530002"/>
    <n v="681041545.17720008"/>
    <n v="701620431.94140005"/>
    <n v="893595393.01565218"/>
    <n v="710188265.24776423"/>
    <n v="541472779.76122761"/>
    <n v="957098380.79447281"/>
    <n v="483230550.01095408"/>
    <n v="483031759.60403115"/>
    <n v="512156644.877298"/>
    <n v="507422559.55867541"/>
    <n v="538677182.48465967"/>
    <n v="7626216584.0086365"/>
  </r>
  <r>
    <x v="3"/>
    <s v="GSP RY"/>
    <x v="38"/>
    <n v="5323808.6300000008"/>
    <n v="6831661.3499999996"/>
    <n v="6524353.0299999993"/>
    <n v="7844209.3700000001"/>
    <n v="8986398.0011009872"/>
    <n v="10136594.580355247"/>
    <n v="9356856.5357125364"/>
    <n v="12546622.987452937"/>
    <n v="14004133.988246355"/>
    <n v="12448119.100663427"/>
    <n v="12552901.247975411"/>
    <n v="10880791.115812832"/>
    <n v="10103591.75039763"/>
    <n v="122216233.05771735"/>
  </r>
  <r>
    <x v="3"/>
    <s v="GSP RY"/>
    <x v="39"/>
    <n v="479390346.32323599"/>
    <n v="656076544.59959996"/>
    <n v="244024969.05179998"/>
    <n v="274340703.93119997"/>
    <n v="7919168.9857752183"/>
    <n v="194753842.89132056"/>
    <n v="139484342.17798057"/>
    <n v="0"/>
    <n v="403814892.02906686"/>
    <n v="232056457.68464977"/>
    <n v="239945426.16474178"/>
    <n v="211828530.82431382"/>
    <n v="303246485.97643441"/>
    <n v="2907491364.3168826"/>
  </r>
  <r>
    <x v="3"/>
    <s v="GSP RY"/>
    <x v="40"/>
    <n v="0"/>
    <n v="0"/>
    <n v="0"/>
    <n v="0"/>
    <n v="624674888.93740332"/>
    <n v="526009837.97796518"/>
    <n v="563581969.26210558"/>
    <n v="810708546.26241088"/>
    <n v="349216055.00068241"/>
    <n v="498880078.57240349"/>
    <n v="490502420.68728614"/>
    <n v="522053527.55483049"/>
    <n v="435044606.29569209"/>
    <n v="4820671930.5507803"/>
  </r>
  <r>
    <x v="3"/>
    <s v="GSP RY"/>
    <x v="41"/>
    <n v="863013474.26143098"/>
    <n v="844022900.59000003"/>
    <n v="779274173.51999998"/>
    <n v="863810037.62999976"/>
    <n v="696707235.63326514"/>
    <n v="751671410.40558445"/>
    <n v="728473896.75463974"/>
    <n v="760365341.11774302"/>
    <n v="763472760.87950969"/>
    <n v="743222348.94227886"/>
    <n v="762530488.69941771"/>
    <n v="744819445.8403796"/>
    <n v="765879205.08995426"/>
    <n v="9204249245.1027718"/>
  </r>
  <r>
    <x v="3"/>
    <s v="KHM"/>
    <x v="42"/>
    <n v="210943343.29978064"/>
    <n v="153087179.7834"/>
    <n v="94011140.150000006"/>
    <n v="185733156.47219998"/>
    <n v="180194679.50117403"/>
    <n v="194122678.3013919"/>
    <n v="187860656.42070183"/>
    <n v="118520190.45251951"/>
    <n v="164505705.90925005"/>
    <n v="187080029.46465132"/>
    <n v="194943269.76033166"/>
    <n v="186447688.41243947"/>
    <n v="187442076.08397248"/>
    <n v="2033948450.7120323"/>
  </r>
  <r>
    <x v="3"/>
    <s v="GSP RY"/>
    <x v="43"/>
    <n v="7440556.2517269533"/>
    <n v="3558221.4819999998"/>
    <n v="5330083.1900000004"/>
    <n v="7020727.5239999993"/>
    <n v="7121250.8118477706"/>
    <n v="7424784.8225651253"/>
    <n v="6187320.6854709378"/>
    <n v="6222440.7027173508"/>
    <n v="6160875.7734739082"/>
    <n v="6160875.7734739082"/>
    <n v="6212734.997156349"/>
    <n v="6139165.3713237401"/>
    <n v="6139165.3713237401"/>
    <n v="73677646.505352825"/>
  </r>
  <r>
    <x v="3"/>
    <s v="GSP RY"/>
    <x v="44"/>
    <n v="94659194.092645913"/>
    <n v="50461363.438200004"/>
    <n v="168647599.6866"/>
    <n v="268297766.0214"/>
    <n v="223679396.82430765"/>
    <n v="184125596.65974566"/>
    <n v="184125596.65974566"/>
    <n v="185170716.90789783"/>
    <n v="183323769.03059456"/>
    <n v="183323769.03059456"/>
    <n v="184866898.39953896"/>
    <n v="182659809.62456068"/>
    <n v="182659809.62456068"/>
    <n v="2181342091.9077463"/>
  </r>
  <r>
    <x v="3"/>
    <s v="GSP RY"/>
    <x v="45"/>
    <n v="353282597.73999995"/>
    <n v="349276701.10000002"/>
    <n v="343738284.62000006"/>
    <n v="349726701.75999999"/>
    <n v="0"/>
    <n v="0"/>
    <n v="0"/>
    <n v="341231497.44590217"/>
    <n v="0"/>
    <n v="0"/>
    <n v="0"/>
    <n v="0"/>
    <n v="0"/>
    <n v="1383973184.9259021"/>
  </r>
  <r>
    <x v="3"/>
    <s v="GSP RY"/>
    <x v="46"/>
    <n v="0"/>
    <n v="0"/>
    <n v="0"/>
    <n v="0"/>
    <n v="0"/>
    <n v="0"/>
    <n v="0"/>
    <n v="0"/>
    <n v="0"/>
    <n v="0"/>
    <n v="0"/>
    <n v="0"/>
    <n v="0"/>
    <n v="0"/>
  </r>
  <r>
    <x v="3"/>
    <s v="GSP RY"/>
    <x v="47"/>
    <n v="0"/>
    <n v="0"/>
    <n v="0"/>
    <n v="0"/>
    <n v="0"/>
    <n v="0"/>
    <n v="0"/>
    <n v="0"/>
    <n v="0"/>
    <n v="0"/>
    <n v="0"/>
    <n v="0"/>
    <n v="0"/>
    <n v="0"/>
  </r>
  <r>
    <x v="3"/>
    <s v="GSP RY"/>
    <x v="48"/>
    <n v="126343128.640838"/>
    <n v="25936824.116881236"/>
    <n v="0"/>
    <n v="141451729.42459616"/>
    <n v="109127414.02308185"/>
    <n v="139212261.04252562"/>
    <n v="137723359.85490501"/>
    <n v="135759949.09012789"/>
    <n v="134420296.22979057"/>
    <n v="134420296.22979057"/>
    <n v="135551780.2047888"/>
    <n v="133950905.14667125"/>
    <n v="133950905.14667125"/>
    <n v="1361505720.5098305"/>
  </r>
  <r>
    <x v="3"/>
    <s v="GSP RY"/>
    <x v="49"/>
    <m/>
    <n v="0"/>
    <n v="35258938.76158762"/>
    <n v="0"/>
    <m/>
    <m/>
    <m/>
    <m/>
    <m/>
    <m/>
    <m/>
    <m/>
    <m/>
    <m/>
  </r>
  <r>
    <x v="3"/>
    <s v="GSP RY"/>
    <x v="50"/>
    <n v="0"/>
    <n v="0"/>
    <n v="0"/>
    <n v="0"/>
    <n v="0"/>
    <n v="0"/>
    <n v="0"/>
    <n v="0"/>
    <n v="0"/>
    <n v="0"/>
    <n v="0"/>
    <n v="0"/>
    <n v="0"/>
    <n v="0"/>
  </r>
  <r>
    <x v="3"/>
    <s v="GSP RY"/>
    <x v="51"/>
    <n v="17177033.205400001"/>
    <n v="10648595.2698"/>
    <n v="26951393.921400003"/>
    <n v="42731637.410999998"/>
    <n v="36278353.185585901"/>
    <n v="45384167.10272143"/>
    <n v="45384167.10272143"/>
    <n v="45641773.393454745"/>
    <n v="45198505.902901962"/>
    <n v="45198505.902901962"/>
    <n v="45578964.706798442"/>
    <n v="45049263.400803648"/>
    <n v="45049263.400803648"/>
    <n v="479094590.7008931"/>
  </r>
  <r>
    <x v="3"/>
    <s v="GSP RY"/>
    <x v="52"/>
    <n v="8595459.1799999997"/>
    <n v="11131261.726"/>
    <n v="11129270.114"/>
    <n v="17135687.390000001"/>
    <n v="14222886.713570392"/>
    <n v="7414625.4600153249"/>
    <n v="7414625.4600153249"/>
    <n v="7456711.8148801867"/>
    <n v="7382833.8997880556"/>
    <n v="7382833.8997880556"/>
    <n v="7444978.9662845889"/>
    <n v="7356695.4152854579"/>
    <n v="7356695.4152854579"/>
    <n v="112829106.27491283"/>
  </r>
  <r>
    <x v="3"/>
    <s v="GSP RY"/>
    <x v="53"/>
    <n v="0"/>
    <n v="0"/>
    <n v="0"/>
    <n v="0"/>
    <n v="0"/>
    <n v="0"/>
    <n v="0"/>
    <n v="0"/>
    <n v="0"/>
    <n v="0"/>
    <n v="0"/>
    <n v="0"/>
    <n v="0"/>
    <n v="0"/>
  </r>
  <r>
    <x v="3"/>
    <s v="GSP RY"/>
    <x v="54"/>
    <n v="0"/>
    <n v="0"/>
    <n v="0"/>
    <n v="0"/>
    <n v="0"/>
    <n v="0"/>
    <n v="0"/>
    <n v="0"/>
    <n v="0"/>
    <n v="0"/>
    <n v="0"/>
    <n v="0"/>
    <n v="0"/>
    <n v="0"/>
  </r>
  <r>
    <x v="3"/>
    <s v="GSP RY"/>
    <x v="55"/>
    <n v="0"/>
    <n v="0"/>
    <n v="0"/>
    <n v="0"/>
    <n v="0"/>
    <n v="0"/>
    <n v="0"/>
    <n v="0"/>
    <n v="0"/>
    <n v="0"/>
    <n v="0"/>
    <n v="0"/>
    <n v="0"/>
    <n v="0"/>
  </r>
  <r>
    <x v="3"/>
    <s v="GSP RY"/>
    <x v="56"/>
    <n v="0"/>
    <n v="0"/>
    <n v="0"/>
    <n v="0"/>
    <n v="0"/>
    <n v="0"/>
    <n v="0"/>
    <n v="0"/>
    <n v="0"/>
    <n v="0"/>
    <n v="0"/>
    <n v="0"/>
    <n v="0"/>
    <n v="0"/>
  </r>
  <r>
    <x v="3"/>
    <s v="GSP RY"/>
    <x v="57"/>
    <n v="0"/>
    <n v="0"/>
    <n v="0"/>
    <n v="0"/>
    <n v="0"/>
    <n v="0"/>
    <n v="0"/>
    <n v="0"/>
    <n v="0"/>
    <n v="0"/>
    <n v="0"/>
    <n v="0"/>
    <n v="0"/>
    <n v="0"/>
  </r>
  <r>
    <x v="3"/>
    <s v="GSP RY"/>
    <x v="58"/>
    <n v="0"/>
    <n v="0"/>
    <n v="0"/>
    <n v="0"/>
    <n v="0"/>
    <n v="0"/>
    <n v="0"/>
    <n v="0"/>
    <n v="0"/>
    <n v="0"/>
    <n v="0"/>
    <n v="0"/>
    <n v="0"/>
    <n v="0"/>
  </r>
  <r>
    <x v="3"/>
    <s v="GSP RY"/>
    <x v="59"/>
    <n v="232364914.18000001"/>
    <n v="209275701.32000002"/>
    <n v="202675136.81999999"/>
    <n v="230866582.20000002"/>
    <n v="0"/>
    <n v="0"/>
    <n v="0"/>
    <n v="96469719.80213964"/>
    <n v="0"/>
    <n v="0"/>
    <n v="0"/>
    <n v="0"/>
    <n v="0"/>
    <n v="739287140.14213967"/>
  </r>
  <r>
    <x v="3"/>
    <s v="GSP RY"/>
    <x v="60"/>
    <n v="0"/>
    <n v="0"/>
    <n v="0"/>
    <n v="0"/>
    <n v="0"/>
    <n v="0"/>
    <n v="0"/>
    <n v="0"/>
    <n v="0"/>
    <n v="0"/>
    <n v="0"/>
    <n v="0"/>
    <n v="0"/>
    <n v="0"/>
  </r>
  <r>
    <x v="3"/>
    <s v="GSP RY"/>
    <x v="61"/>
    <n v="0"/>
    <n v="0"/>
    <n v="0"/>
    <n v="0"/>
    <n v="0"/>
    <n v="0"/>
    <n v="0"/>
    <n v="0"/>
    <n v="0"/>
    <n v="0"/>
    <n v="0"/>
    <n v="0"/>
    <n v="0"/>
    <n v="0"/>
  </r>
  <r>
    <x v="3"/>
    <s v="GSP RY"/>
    <x v="62"/>
    <n v="0"/>
    <n v="0"/>
    <n v="0"/>
    <n v="0"/>
    <n v="0"/>
    <n v="0"/>
    <n v="0"/>
    <n v="0"/>
    <n v="0"/>
    <n v="0"/>
    <n v="0"/>
    <n v="0"/>
    <n v="0"/>
    <n v="0"/>
  </r>
  <r>
    <x v="3"/>
    <m/>
    <x v="11"/>
    <n v="2398533855.805058"/>
    <n v="2320306954.7758813"/>
    <n v="1917565342.8653879"/>
    <n v="2388958939.1343956"/>
    <n v="1908911672.6171122"/>
    <n v="2060255799.2441905"/>
    <n v="2009592790.9139984"/>
    <n v="2520093509.9772463"/>
    <n v="2071499828.6433043"/>
    <n v="2050173314.6011958"/>
    <n v="2080129863.8343198"/>
    <n v="2051185822.7064207"/>
    <n v="2076871804.1550953"/>
    <n v="25455545643.468548"/>
  </r>
  <r>
    <x v="4"/>
    <s v="LKB"/>
    <x v="63"/>
    <n v="79671184.260000005"/>
    <n v="79769619.700000003"/>
    <n v="75555859.079999998"/>
    <n v="85475545.780000016"/>
    <n v="97158313.892807171"/>
    <n v="95052237.775080428"/>
    <n v="85326036.556529433"/>
    <n v="81270319.864580318"/>
    <n v="77774719.864580318"/>
    <n v="79886477.226757571"/>
    <n v="81639189.454207361"/>
    <n v="84114904.178561896"/>
    <n v="86590618.902916417"/>
    <n v="1009613842.2760208"/>
  </r>
  <r>
    <x v="4"/>
    <s v="GC"/>
    <x v="64"/>
    <n v="0"/>
    <n v="0"/>
    <n v="0"/>
    <n v="0"/>
    <n v="0"/>
    <n v="0"/>
    <n v="0"/>
    <n v="0"/>
    <n v="0"/>
    <n v="0"/>
    <n v="0"/>
    <n v="0"/>
    <n v="0"/>
    <n v="0"/>
  </r>
  <r>
    <x v="4"/>
    <s v="SPRC"/>
    <x v="65"/>
    <m/>
    <m/>
    <n v="7892540.8847999992"/>
    <n v="0"/>
    <m/>
    <m/>
    <m/>
    <m/>
    <m/>
    <m/>
    <m/>
    <m/>
    <m/>
    <m/>
  </r>
  <r>
    <x v="4"/>
    <s v="GC"/>
    <x v="66"/>
    <n v="68752428.355448976"/>
    <n v="163660514.07960001"/>
    <n v="125416932.57600001"/>
    <n v="0"/>
    <n v="0"/>
    <n v="0"/>
    <n v="0"/>
    <n v="0"/>
    <n v="0"/>
    <n v="0"/>
    <n v="0"/>
    <n v="0"/>
    <n v="0"/>
    <n v="289077446.65560001"/>
  </r>
  <r>
    <x v="4"/>
    <s v="SPRC"/>
    <x v="67"/>
    <n v="84891128.459999993"/>
    <n v="46663573.640599996"/>
    <n v="27979925.93"/>
    <n v="27947427.259800002"/>
    <n v="0"/>
    <n v="0"/>
    <n v="0"/>
    <n v="0"/>
    <n v="0"/>
    <n v="0"/>
    <n v="0"/>
    <n v="0"/>
    <n v="0"/>
    <n v="102590926.8304"/>
  </r>
  <r>
    <x v="4"/>
    <s v="GC"/>
    <x v="68"/>
    <n v="0"/>
    <n v="0"/>
    <n v="0"/>
    <n v="0"/>
    <n v="0"/>
    <n v="0"/>
    <n v="0"/>
    <n v="0"/>
    <n v="0"/>
    <n v="0"/>
    <n v="0"/>
    <n v="0"/>
    <n v="0"/>
    <n v="0"/>
  </r>
  <r>
    <x v="4"/>
    <s v="IRPC"/>
    <x v="69"/>
    <n v="9579097.3347039334"/>
    <n v="0"/>
    <n v="0"/>
    <n v="0"/>
    <n v="0"/>
    <n v="18893255.239098862"/>
    <n v="17453255.239098862"/>
    <n v="15738240.974533116"/>
    <n v="15018240.974533116"/>
    <n v="15453206.44563039"/>
    <n v="15805790.044557896"/>
    <n v="16315720.986752441"/>
    <n v="16825651.928946991"/>
    <n v="131503361.83315167"/>
  </r>
  <r>
    <x v="4"/>
    <s v="GC"/>
    <x v="70"/>
    <n v="0"/>
    <n v="0"/>
    <n v="0"/>
    <n v="0"/>
    <n v="0"/>
    <n v="0"/>
    <n v="0"/>
    <n v="0"/>
    <n v="0"/>
    <n v="0"/>
    <n v="0"/>
    <n v="0"/>
    <n v="0"/>
    <n v="0"/>
  </r>
  <r>
    <x v="4"/>
    <s v="GC"/>
    <x v="71"/>
    <n v="0"/>
    <n v="0"/>
    <n v="0"/>
    <n v="0"/>
    <n v="20257221.146123886"/>
    <n v="0"/>
    <n v="0"/>
    <n v="0"/>
    <n v="0"/>
    <n v="0"/>
    <n v="0"/>
    <n v="0"/>
    <n v="0"/>
    <n v="20257221.146123886"/>
  </r>
  <r>
    <x v="4"/>
    <s v="GC"/>
    <x v="72"/>
    <n v="53617883.447836049"/>
    <n v="62805600.021501839"/>
    <n v="44129411.168389209"/>
    <n v="0"/>
    <n v="0"/>
    <n v="0"/>
    <n v="0"/>
    <n v="0"/>
    <n v="0"/>
    <n v="0"/>
    <n v="0"/>
    <n v="0"/>
    <n v="0"/>
    <n v="106935011.18989104"/>
  </r>
  <r>
    <x v="4"/>
    <s v="SPRC"/>
    <x v="73"/>
    <n v="8572246.6098528374"/>
    <n v="60772617.94161693"/>
    <n v="69445896.640192449"/>
    <n v="64194538.611303553"/>
    <n v="0"/>
    <n v="0"/>
    <n v="0"/>
    <n v="0"/>
    <n v="0"/>
    <n v="0"/>
    <n v="0"/>
    <n v="0"/>
    <n v="0"/>
    <n v="194413053.19311291"/>
  </r>
  <r>
    <x v="4"/>
    <s v="IRPC"/>
    <x v="74"/>
    <n v="16366897.611473223"/>
    <n v="0"/>
    <n v="33529390.409830723"/>
    <n v="16778966.069075283"/>
    <n v="0"/>
    <n v="0"/>
    <n v="0"/>
    <n v="0"/>
    <n v="0"/>
    <n v="0"/>
    <n v="0"/>
    <n v="0"/>
    <n v="0"/>
    <n v="50308356.478906006"/>
  </r>
  <r>
    <x v="4"/>
    <s v="GC"/>
    <x v="75"/>
    <n v="0"/>
    <n v="0"/>
    <n v="0"/>
    <n v="0"/>
    <n v="0"/>
    <n v="0"/>
    <n v="0"/>
    <n v="0"/>
    <n v="0"/>
    <n v="0"/>
    <n v="0"/>
    <n v="0"/>
    <n v="0"/>
    <n v="0"/>
  </r>
  <r>
    <x v="4"/>
    <s v="GC"/>
    <x v="76"/>
    <n v="33818405.027600005"/>
    <n v="40722182.911199994"/>
    <n v="31388486.808599997"/>
    <n v="0"/>
    <n v="0"/>
    <n v="0"/>
    <n v="0"/>
    <n v="0"/>
    <n v="0"/>
    <n v="0"/>
    <n v="0"/>
    <n v="0"/>
    <n v="0"/>
    <n v="72110669.719799995"/>
  </r>
  <r>
    <x v="4"/>
    <s v="GC"/>
    <x v="77"/>
    <n v="0"/>
    <n v="0"/>
    <n v="0"/>
    <n v="0"/>
    <n v="0"/>
    <n v="0"/>
    <n v="0"/>
    <n v="0"/>
    <n v="0"/>
    <n v="0"/>
    <n v="0"/>
    <n v="0"/>
    <n v="0"/>
    <n v="0"/>
  </r>
  <r>
    <x v="4"/>
    <s v="GC"/>
    <x v="78"/>
    <n v="0"/>
    <n v="0"/>
    <n v="0"/>
    <n v="0"/>
    <n v="0"/>
    <n v="0"/>
    <n v="0"/>
    <n v="0"/>
    <n v="0"/>
    <n v="0"/>
    <n v="0"/>
    <n v="0"/>
    <n v="0"/>
    <n v="0"/>
  </r>
  <r>
    <x v="4"/>
    <s v="GC"/>
    <x v="79"/>
    <n v="0"/>
    <n v="0"/>
    <n v="0"/>
    <n v="0"/>
    <n v="0"/>
    <n v="0"/>
    <n v="0"/>
    <n v="0"/>
    <n v="0"/>
    <n v="0"/>
    <n v="0"/>
    <n v="0"/>
    <n v="0"/>
    <n v="0"/>
  </r>
  <r>
    <x v="4"/>
    <s v="GC"/>
    <x v="80"/>
    <n v="0"/>
    <n v="0"/>
    <n v="0"/>
    <n v="0"/>
    <n v="0"/>
    <n v="0"/>
    <n v="0"/>
    <n v="0"/>
    <n v="0"/>
    <n v="0"/>
    <n v="0"/>
    <n v="0"/>
    <n v="0"/>
    <n v="0"/>
  </r>
  <r>
    <x v="4"/>
    <s v="GC"/>
    <x v="81"/>
    <n v="0"/>
    <n v="0"/>
    <n v="0"/>
    <n v="0"/>
    <n v="0"/>
    <n v="0"/>
    <n v="0"/>
    <n v="0"/>
    <n v="0"/>
    <n v="0"/>
    <n v="0"/>
    <n v="0"/>
    <n v="0"/>
    <n v="0"/>
  </r>
  <r>
    <x v="4"/>
    <s v="GC"/>
    <x v="82"/>
    <n v="0"/>
    <n v="0"/>
    <n v="0"/>
    <n v="0"/>
    <n v="0"/>
    <n v="0"/>
    <n v="0"/>
    <n v="0"/>
    <n v="0"/>
    <n v="0"/>
    <n v="0"/>
    <n v="0"/>
    <n v="0"/>
    <n v="0"/>
  </r>
  <r>
    <x v="4"/>
    <s v="SPRC"/>
    <x v="83"/>
    <n v="0"/>
    <n v="0"/>
    <n v="0"/>
    <n v="0"/>
    <n v="0"/>
    <n v="0"/>
    <n v="0"/>
    <n v="0"/>
    <n v="0"/>
    <n v="0"/>
    <n v="0"/>
    <n v="0"/>
    <n v="0"/>
    <n v="0"/>
  </r>
  <r>
    <x v="4"/>
    <m/>
    <x v="11"/>
    <n v="355269271.106915"/>
    <n v="374624488.59451878"/>
    <n v="415338443.49781245"/>
    <n v="194396477.72017884"/>
    <n v="117415535.03893106"/>
    <n v="113945493.01417929"/>
    <n v="102779291.79562829"/>
    <n v="97008560.839113429"/>
    <n v="92792960.839113429"/>
    <n v="95339683.672387958"/>
    <n v="97444979.49876526"/>
    <n v="100430625.16531433"/>
    <n v="103416270.8318634"/>
    <n v="1976809889.3230062"/>
  </r>
  <r>
    <x v="5"/>
    <s v="MT Import"/>
    <x v="84"/>
    <n v="285297776.36482662"/>
    <n v="82255200.694199979"/>
    <n v="472391279.44919997"/>
    <n v="510779719.21319997"/>
    <n v="830318732.47090137"/>
    <n v="645157624.17112446"/>
    <n v="719408405.41327453"/>
    <n v="917140963.58116794"/>
    <n v="409166624.34682828"/>
    <n v="858240431.32754707"/>
    <n v="896954266.16596496"/>
    <n v="303932038.4580133"/>
    <n v="634950459.22704327"/>
    <n v="7280695744.518466"/>
  </r>
  <r>
    <x v="5"/>
    <s v="Import"/>
    <x v="85"/>
    <m/>
    <m/>
    <m/>
    <n v="0"/>
    <m/>
    <m/>
    <m/>
    <m/>
    <m/>
    <m/>
    <m/>
    <m/>
    <m/>
    <m/>
  </r>
  <r>
    <x v="5"/>
    <s v="Import"/>
    <x v="86"/>
    <m/>
    <m/>
    <m/>
    <n v="0"/>
    <m/>
    <m/>
    <m/>
    <m/>
    <m/>
    <m/>
    <m/>
    <m/>
    <m/>
    <m/>
  </r>
  <r>
    <x v="5"/>
    <s v="Import"/>
    <x v="87"/>
    <m/>
    <m/>
    <m/>
    <n v="0"/>
    <m/>
    <m/>
    <m/>
    <m/>
    <m/>
    <m/>
    <m/>
    <m/>
    <m/>
    <m/>
  </r>
  <r>
    <x v="5"/>
    <s v="BRP Re Export"/>
    <x v="84"/>
    <n v="9188235.2399999984"/>
    <n v="6340153.6400000006"/>
    <n v="2796129.1799999997"/>
    <n v="7431326.3400000017"/>
    <n v="0"/>
    <n v="0"/>
    <n v="0"/>
    <n v="0"/>
    <n v="0"/>
    <n v="0"/>
    <n v="0"/>
    <n v="0"/>
    <n v="0"/>
    <n v="16567609.160000002"/>
  </r>
  <r>
    <x v="5"/>
    <s v="MT Re Export"/>
    <x v="88"/>
    <n v="95704312.488189295"/>
    <n v="42764023.037086397"/>
    <n v="35293419.7461197"/>
    <n v="44660968.224522501"/>
    <n v="179850000"/>
    <n v="168300000"/>
    <n v="155100000"/>
    <n v="138600000"/>
    <n v="132000000"/>
    <n v="135300000"/>
    <n v="138600000"/>
    <n v="141900000"/>
    <n v="145200000"/>
    <n v="1457568411.0077286"/>
  </r>
  <r>
    <x v="5"/>
    <m/>
    <x v="11"/>
    <n v="390190324.09301591"/>
    <n v="131359377.37128638"/>
    <n v="510480828.37531966"/>
    <n v="562872013.77772248"/>
    <n v="1010168732.4709014"/>
    <n v="813457624.17112446"/>
    <n v="874508405.41327453"/>
    <n v="1055740963.5811679"/>
    <n v="541166624.34682822"/>
    <n v="993540431.32754707"/>
    <n v="1035554266.165965"/>
    <n v="445832038.4580133"/>
    <n v="780150459.22704327"/>
    <n v="8754831764.6861954"/>
  </r>
  <r>
    <x v="6"/>
    <s v="GSP RY"/>
    <x v="89"/>
    <m/>
    <m/>
    <m/>
    <m/>
    <m/>
    <m/>
    <m/>
    <m/>
    <m/>
    <m/>
    <m/>
    <m/>
    <m/>
    <n v="0"/>
  </r>
  <r>
    <x v="6"/>
    <s v="GSP RY"/>
    <x v="90"/>
    <m/>
    <m/>
    <m/>
    <m/>
    <m/>
    <m/>
    <m/>
    <m/>
    <m/>
    <m/>
    <m/>
    <m/>
    <m/>
    <n v="0"/>
  </r>
  <r>
    <x v="6"/>
    <s v="GSP RY"/>
    <x v="91"/>
    <m/>
    <m/>
    <m/>
    <m/>
    <m/>
    <m/>
    <m/>
    <m/>
    <m/>
    <m/>
    <m/>
    <m/>
    <m/>
    <n v="0"/>
  </r>
  <r>
    <x v="6"/>
    <s v="GSP RY"/>
    <x v="92"/>
    <m/>
    <m/>
    <m/>
    <m/>
    <m/>
    <m/>
    <m/>
    <m/>
    <m/>
    <m/>
    <m/>
    <m/>
    <m/>
    <n v="0"/>
  </r>
  <r>
    <x v="6"/>
    <s v="GSP RY"/>
    <x v="93"/>
    <m/>
    <m/>
    <m/>
    <m/>
    <m/>
    <m/>
    <m/>
    <m/>
    <m/>
    <m/>
    <m/>
    <m/>
    <m/>
    <n v="0"/>
  </r>
  <r>
    <x v="6"/>
    <s v="KHM"/>
    <x v="94"/>
    <m/>
    <m/>
    <m/>
    <m/>
    <m/>
    <m/>
    <m/>
    <m/>
    <m/>
    <m/>
    <m/>
    <m/>
    <m/>
    <n v="0"/>
  </r>
  <r>
    <x v="6"/>
    <s v="KHM"/>
    <x v="95"/>
    <m/>
    <m/>
    <m/>
    <m/>
    <m/>
    <m/>
    <m/>
    <m/>
    <m/>
    <m/>
    <m/>
    <m/>
    <m/>
    <m/>
  </r>
  <r>
    <x v="6"/>
    <m/>
    <x v="9"/>
    <n v="0"/>
    <n v="0"/>
    <n v="0"/>
    <n v="0"/>
    <n v="0"/>
    <n v="0"/>
    <n v="0"/>
    <n v="0"/>
    <n v="0"/>
    <n v="0"/>
    <n v="0"/>
    <n v="0"/>
    <n v="0"/>
    <n v="0"/>
  </r>
  <r>
    <x v="6"/>
    <m/>
    <x v="10"/>
    <n v="0"/>
    <n v="0"/>
    <n v="0"/>
    <n v="0"/>
    <n v="0"/>
    <n v="0"/>
    <n v="0"/>
    <n v="0"/>
    <n v="0"/>
    <n v="0"/>
    <n v="0"/>
    <n v="0"/>
    <n v="0"/>
    <n v="0"/>
  </r>
  <r>
    <x v="6"/>
    <m/>
    <x v="11"/>
    <n v="0"/>
    <n v="0"/>
    <n v="0"/>
    <n v="0"/>
    <n v="0"/>
    <n v="0"/>
    <n v="0"/>
    <n v="0"/>
    <n v="0"/>
    <n v="0"/>
    <n v="0"/>
    <n v="0"/>
    <n v="0"/>
    <n v="0"/>
  </r>
  <r>
    <x v="7"/>
    <s v="GSP RY"/>
    <x v="89"/>
    <n v="296213217.58560002"/>
    <n v="370576178.1936"/>
    <n v="410035722.31299996"/>
    <n v="471928074.72480005"/>
    <n v="394335000.00000006"/>
    <n v="375705000.00000006"/>
    <n v="372255000.00000006"/>
    <n v="289170000"/>
    <n v="350130000"/>
    <n v="300675000"/>
    <n v="268005000"/>
    <n v="320107500"/>
    <n v="326025000"/>
    <n v="4248947475.2314"/>
  </r>
  <r>
    <x v="7"/>
    <s v="GSP RY"/>
    <x v="90"/>
    <n v="123728698.51999998"/>
    <n v="0"/>
    <n v="0"/>
    <n v="0"/>
    <n v="479921760.00000006"/>
    <n v="462247200"/>
    <n v="443232000"/>
    <n v="343854720"/>
    <n v="450372960"/>
    <n v="433382400"/>
    <n v="399170880.00000006"/>
    <n v="427636800"/>
    <n v="439346880"/>
    <n v="3879165600"/>
  </r>
  <r>
    <x v="7"/>
    <s v="GSP RY"/>
    <x v="91"/>
    <n v="239028323.09999996"/>
    <n v="448442364.94999999"/>
    <n v="431631514.27999997"/>
    <n v="505383558.81999999"/>
    <n v="0"/>
    <n v="0"/>
    <n v="0"/>
    <n v="0"/>
    <n v="0"/>
    <n v="0"/>
    <n v="0"/>
    <n v="0"/>
    <n v="0"/>
    <n v="1385457438.05"/>
  </r>
  <r>
    <x v="7"/>
    <s v="GSP RY"/>
    <x v="92"/>
    <n v="15882787.560000001"/>
    <n v="0"/>
    <n v="17711051.866900001"/>
    <n v="0"/>
    <n v="0"/>
    <n v="0"/>
    <n v="0"/>
    <n v="15744982.920198508"/>
    <n v="0"/>
    <n v="0"/>
    <n v="0"/>
    <n v="0"/>
    <n v="0"/>
    <n v="33456034.787098508"/>
  </r>
  <r>
    <x v="7"/>
    <s v="GSP RY"/>
    <x v="93"/>
    <n v="15514724.612000002"/>
    <n v="0"/>
    <n v="0"/>
    <n v="0"/>
    <n v="0"/>
    <n v="0"/>
    <n v="0"/>
    <n v="0"/>
    <n v="0"/>
    <n v="0"/>
    <n v="0"/>
    <n v="0"/>
    <n v="0"/>
    <n v="0"/>
  </r>
  <r>
    <x v="7"/>
    <s v="KHM"/>
    <x v="94"/>
    <n v="0"/>
    <n v="15788502.3168"/>
    <n v="0"/>
    <n v="18953427.035700001"/>
    <n v="37195253.987085745"/>
    <n v="49988757.940628611"/>
    <n v="33006711.587085743"/>
    <n v="16619704.193542868"/>
    <n v="33272650.787085738"/>
    <n v="49859112.580628604"/>
    <n v="33206165.987085741"/>
    <n v="50736711.940628611"/>
    <n v="34602346.787085742"/>
    <n v="373229345.1433574"/>
  </r>
  <r>
    <x v="7"/>
    <s v="KHM"/>
    <x v="95"/>
    <n v="25419523.113400005"/>
    <n v="15893305.01"/>
    <n v="19991540.199999999"/>
    <n v="39880747.109999999"/>
    <n v="0"/>
    <n v="0"/>
    <n v="0"/>
    <n v="0"/>
    <n v="0"/>
    <n v="0"/>
    <n v="0"/>
    <n v="0"/>
    <n v="0"/>
    <m/>
  </r>
  <r>
    <x v="7"/>
    <m/>
    <x v="9"/>
    <n v="296213217.58560002"/>
    <n v="370576178.1936"/>
    <n v="410035722.31299996"/>
    <n v="471928074.72480005"/>
    <n v="394335000.00000006"/>
    <n v="375705000.00000006"/>
    <n v="372255000.00000006"/>
    <n v="289170000"/>
    <n v="350130000"/>
    <n v="300675000"/>
    <n v="268005000"/>
    <n v="320107500"/>
    <n v="326025000"/>
    <n v="4248947475.2314"/>
  </r>
  <r>
    <x v="7"/>
    <m/>
    <x v="10"/>
    <n v="362757021.61999995"/>
    <n v="448442364.94999999"/>
    <n v="431631514.27999997"/>
    <n v="505383558.81999999"/>
    <n v="479921760.00000006"/>
    <n v="462247200"/>
    <n v="443232000"/>
    <n v="343854720"/>
    <n v="450372960"/>
    <n v="433382400"/>
    <n v="399170880.00000006"/>
    <n v="427636800"/>
    <n v="439346880"/>
    <n v="5264623038.0500002"/>
  </r>
  <r>
    <x v="7"/>
    <m/>
    <x v="11"/>
    <n v="715787274.49099994"/>
    <n v="850700350.47039998"/>
    <n v="879369828.65989995"/>
    <n v="1036145807.6905"/>
    <n v="911452013.98708582"/>
    <n v="887940957.94062865"/>
    <n v="848493711.58708572"/>
    <n v="665389407.1137414"/>
    <n v="833775610.78708577"/>
    <n v="783916512.58062863"/>
    <n v="700382045.9870857"/>
    <n v="798481011.94062865"/>
    <n v="799974226.78708577"/>
    <n v="9996021485.5318546"/>
  </r>
  <r>
    <x v="8"/>
    <s v="GSP RY"/>
    <x v="96"/>
    <n v="0"/>
    <n v="0"/>
    <n v="0"/>
    <n v="0"/>
    <n v="0"/>
    <n v="0"/>
    <n v="0"/>
    <n v="0"/>
    <n v="0"/>
    <n v="0"/>
    <n v="0"/>
    <n v="0"/>
    <n v="0"/>
    <n v="0"/>
  </r>
  <r>
    <x v="8"/>
    <s v="GSP RY"/>
    <x v="97"/>
    <n v="23434393.5"/>
    <n v="27682702.400000002"/>
    <n v="56245578.899999999"/>
    <n v="68177595.989999995"/>
    <n v="64372320"/>
    <n v="61201440"/>
    <n v="58579200"/>
    <n v="59996160"/>
    <n v="59326560"/>
    <n v="57024000"/>
    <n v="58656960"/>
    <n v="56116800"/>
    <n v="57585600"/>
    <n v="684964917.28999996"/>
  </r>
  <r>
    <x v="8"/>
    <s v="GSP RY"/>
    <x v="98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s v="Odorless Lpg"/>
    <n v="404.82"/>
    <n v="386.61"/>
    <n v="464.82"/>
    <n v="600"/>
    <n v="650"/>
    <n v="600"/>
    <n v="800"/>
    <n v="900"/>
    <n v="800"/>
    <n v="800"/>
    <n v="700"/>
    <n v="650"/>
    <n v="7756.25"/>
  </r>
  <r>
    <x v="0"/>
    <s v="KHM"/>
    <n v="11072.573"/>
    <n v="6799.6890000000003"/>
    <n v="13433.808999999999"/>
    <n v="15000"/>
    <n v="15500"/>
    <n v="15000"/>
    <n v="9410"/>
    <n v="13190"/>
    <n v="15000"/>
    <n v="15500"/>
    <n v="15000"/>
    <n v="15080"/>
    <n v="159986.071"/>
  </r>
  <r>
    <x v="0"/>
    <s v="BRP"/>
    <n v="60578.483999999997"/>
    <n v="55915.62"/>
    <n v="61981.756000000001"/>
    <n v="57996.210340000012"/>
    <n v="60018.267639999998"/>
    <n v="58166.029329999998"/>
    <n v="60369.780310000002"/>
    <n v="61214.932699999998"/>
    <n v="59591.262979999992"/>
    <n v="60629.03628"/>
    <n v="59921.856810000005"/>
    <n v="61616.146459999989"/>
    <n v="717999.38284999994"/>
  </r>
  <r>
    <x v="0"/>
    <s v="MT"/>
    <n v="47453.061999999998"/>
    <n v="17649.971000000001"/>
    <n v="19842.664000000001"/>
    <n v="52659.217769999996"/>
    <n v="57550.396230000006"/>
    <n v="56137.324719999997"/>
    <n v="64366.817089999997"/>
    <n v="60377.712349999994"/>
    <n v="58606.191559999999"/>
    <n v="58078.135450000002"/>
    <n v="59041.927360000001"/>
    <n v="59396.640840000007"/>
    <n v="611160.06037000008"/>
  </r>
  <r>
    <x v="0"/>
    <s v="PTT Tank"/>
    <n v="3942.6190000000001"/>
    <n v="12710.496999999999"/>
    <n v="20117.213"/>
    <n v="19600"/>
    <n v="15600"/>
    <n v="15500"/>
    <n v="15500"/>
    <n v="15500"/>
    <n v="15500"/>
    <n v="15500"/>
    <n v="15500"/>
    <n v="15500"/>
    <n v="180470.329"/>
  </r>
  <r>
    <x v="1"/>
    <s v="MT"/>
    <n v="25189.797999999999"/>
    <n v="24790.367999999999"/>
    <n v="25222.252"/>
    <n v="0"/>
    <n v="0"/>
    <n v="0"/>
    <n v="27000"/>
    <n v="0"/>
    <n v="0"/>
    <n v="0"/>
    <n v="0"/>
    <n v="0"/>
    <n v="102202.41800000001"/>
  </r>
  <r>
    <x v="1"/>
    <s v="PTT Tank"/>
    <n v="0"/>
    <n v="0"/>
    <n v="0"/>
    <n v="0"/>
    <n v="0"/>
    <n v="0"/>
    <n v="0"/>
    <n v="0"/>
    <n v="0"/>
    <n v="0"/>
    <n v="0"/>
    <n v="0"/>
    <n v="0"/>
  </r>
  <r>
    <x v="2"/>
    <s v="MT"/>
    <n v="15092.941000000001"/>
    <n v="14616.909"/>
    <n v="16650.073"/>
    <n v="0"/>
    <n v="0"/>
    <n v="0"/>
    <n v="7633.1829100000023"/>
    <n v="0"/>
    <n v="0"/>
    <n v="0"/>
    <n v="0"/>
    <n v="0"/>
    <n v="53993.105909999998"/>
  </r>
  <r>
    <x v="2"/>
    <s v="PTT Tank"/>
    <n v="0"/>
    <n v="0"/>
    <n v="0"/>
    <n v="0"/>
    <n v="0"/>
    <n v="0"/>
    <n v="0"/>
    <n v="0"/>
    <n v="0"/>
    <n v="0"/>
    <n v="0"/>
    <n v="0"/>
    <n v="0"/>
  </r>
  <r>
    <x v="3"/>
    <s v="MT"/>
    <n v="0"/>
    <n v="0"/>
    <n v="0"/>
    <n v="0"/>
    <n v="0"/>
    <n v="0"/>
    <n v="0"/>
    <n v="0"/>
    <n v="0"/>
    <n v="0"/>
    <n v="0"/>
    <n v="0"/>
    <n v="0"/>
  </r>
  <r>
    <x v="3"/>
    <s v="PTT Tank"/>
    <n v="1882.905"/>
    <n v="0"/>
    <n v="10282.893"/>
    <n v="9170"/>
    <n v="11220"/>
    <n v="11100"/>
    <n v="10880"/>
    <n v="10880"/>
    <n v="10880"/>
    <n v="10880"/>
    <n v="10880"/>
    <n v="10880"/>
    <n v="108935.79800000001"/>
  </r>
  <r>
    <x v="4"/>
    <s v="MT"/>
    <n v="0"/>
    <n v="0"/>
    <n v="0"/>
    <n v="0"/>
    <n v="0"/>
    <n v="0"/>
    <n v="0"/>
    <n v="0"/>
    <n v="0"/>
    <n v="0"/>
    <n v="0"/>
    <n v="0"/>
    <n v="0"/>
  </r>
  <r>
    <x v="4"/>
    <s v="PTT Tank"/>
    <n v="1544.4010000000001"/>
    <n v="2710.7629999999999"/>
    <n v="4262.0950000000003"/>
    <n v="4200"/>
    <n v="4200"/>
    <n v="4200"/>
    <n v="4200"/>
    <n v="4200"/>
    <n v="4200"/>
    <n v="4200"/>
    <n v="4200"/>
    <n v="4200"/>
    <n v="46317.258999999998"/>
  </r>
  <r>
    <x v="5"/>
    <s v="MT"/>
    <n v="0"/>
    <n v="0"/>
    <n v="0"/>
    <n v="0"/>
    <n v="0"/>
    <n v="0"/>
    <n v="0"/>
    <n v="0"/>
    <n v="0"/>
    <n v="0"/>
    <n v="0"/>
    <n v="0"/>
    <n v="0"/>
  </r>
  <r>
    <x v="5"/>
    <s v="PTT Tank"/>
    <n v="0"/>
    <n v="0"/>
    <n v="0"/>
    <n v="0"/>
    <n v="0"/>
    <n v="0"/>
    <n v="0"/>
    <n v="0"/>
    <n v="0"/>
    <n v="0"/>
    <n v="0"/>
    <n v="0"/>
    <n v="0"/>
  </r>
  <r>
    <x v="6"/>
    <s v="MT"/>
    <n v="0"/>
    <n v="0"/>
    <n v="0"/>
    <n v="0"/>
    <n v="0"/>
    <n v="0"/>
    <n v="0"/>
    <n v="0"/>
    <n v="0"/>
    <n v="0"/>
    <n v="0"/>
    <n v="0"/>
    <n v="0"/>
  </r>
  <r>
    <x v="6"/>
    <s v="PTT Tank"/>
    <n v="0"/>
    <n v="0"/>
    <n v="0"/>
    <n v="0"/>
    <n v="0"/>
    <n v="0"/>
    <n v="0"/>
    <n v="0"/>
    <n v="0"/>
    <n v="0"/>
    <n v="0"/>
    <n v="0"/>
    <n v="0"/>
  </r>
  <r>
    <x v="7"/>
    <s v="MT"/>
    <n v="0"/>
    <n v="0"/>
    <n v="0"/>
    <n v="0"/>
    <n v="0"/>
    <n v="0"/>
    <n v="0"/>
    <n v="0"/>
    <n v="0"/>
    <n v="0"/>
    <n v="0"/>
    <n v="0"/>
    <n v="0"/>
  </r>
  <r>
    <x v="7"/>
    <s v="PTT Tank"/>
    <n v="0"/>
    <n v="0"/>
    <n v="0"/>
    <n v="0"/>
    <n v="0"/>
    <n v="0"/>
    <n v="0"/>
    <n v="0"/>
    <n v="0"/>
    <n v="0"/>
    <n v="0"/>
    <n v="0"/>
    <n v="0"/>
  </r>
  <r>
    <x v="8"/>
    <s v="MT"/>
    <n v="0"/>
    <n v="0"/>
    <n v="0"/>
    <n v="0"/>
    <n v="0"/>
    <n v="0"/>
    <n v="0"/>
    <n v="0"/>
    <n v="0"/>
    <n v="0"/>
    <n v="0"/>
    <n v="0"/>
    <n v="0"/>
  </r>
  <r>
    <x v="8"/>
    <s v="PTT Tank"/>
    <n v="0"/>
    <n v="0"/>
    <n v="0"/>
    <n v="0"/>
    <n v="0"/>
    <n v="0"/>
    <n v="0"/>
    <n v="0"/>
    <n v="0"/>
    <n v="0"/>
    <n v="0"/>
    <n v="0"/>
    <n v="0"/>
  </r>
  <r>
    <x v="9"/>
    <s v="All"/>
    <n v="167161.603"/>
    <n v="135580.427"/>
    <n v="172257.57500000001"/>
    <n v="159225.42811000001"/>
    <n v="164738.66387000002"/>
    <n v="160703.35404999999"/>
    <n v="200159.78031"/>
    <n v="166262.64504999999"/>
    <n v="164577.45454000001"/>
    <n v="165587.17173"/>
    <n v="165243.78417"/>
    <n v="167322.7873"/>
    <n v="1988820.674130000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s v="Odorless Lpg"/>
    <n v="6.8316613499999992"/>
    <n v="6.5243530299999994"/>
    <n v="7.8442093699999997"/>
    <n v="8.9863980011009872"/>
    <n v="10.136594580355247"/>
    <n v="9.3568565357125362"/>
    <n v="12.546622987452936"/>
    <n v="14.004133988246355"/>
    <n v="12.448119100663428"/>
    <n v="12.552901247975411"/>
    <n v="10.880791115812832"/>
    <n v="10.10359175039763"/>
    <n v="122.21623305771736"/>
  </r>
  <r>
    <x v="0"/>
    <s v="KHM"/>
    <n v="153.08717978339999"/>
    <n v="94.011140150000003"/>
    <n v="185.73315647219997"/>
    <n v="180.19467950117402"/>
    <n v="194.12267830139189"/>
    <n v="187.86065642070184"/>
    <n v="118.5201904525195"/>
    <n v="164.50570590925005"/>
    <n v="187.08002946465132"/>
    <n v="194.94326976033167"/>
    <n v="186.44768841243948"/>
    <n v="187.44207608397249"/>
    <n v="2033.9484507120324"/>
  </r>
  <r>
    <x v="0"/>
    <s v="BRP"/>
    <n v="844.02290059000006"/>
    <n v="779.27417351999998"/>
    <n v="863.81003762999978"/>
    <n v="696.7072356332651"/>
    <n v="751.67141040558442"/>
    <n v="728.47389675463978"/>
    <n v="760.36534111774301"/>
    <n v="763.47276087950968"/>
    <n v="743.22234894227881"/>
    <n v="762.53048869941767"/>
    <n v="744.81944584037956"/>
    <n v="765.87920508995421"/>
    <n v="9204.2492451027701"/>
  </r>
  <r>
    <x v="0"/>
    <s v="MT"/>
    <n v="656.07654459959997"/>
    <n v="244.02496905179999"/>
    <n v="274.34070393119998"/>
    <n v="632.59405792317853"/>
    <n v="720.76368086928574"/>
    <n v="703.06631144008611"/>
    <n v="810.70854626241089"/>
    <n v="753.03094702974931"/>
    <n v="730.93653625705326"/>
    <n v="730.44784685202785"/>
    <n v="733.88205837914427"/>
    <n v="738.29109227212643"/>
    <n v="7728.1632948676624"/>
  </r>
  <r>
    <x v="0"/>
    <s v="PTT Tank"/>
    <n v="54.019584920200003"/>
    <n v="173.9776828766"/>
    <n v="275.31849354540003"/>
    <n v="230.80064763615542"/>
    <n v="191.5503814823108"/>
    <n v="190.31291734521659"/>
    <n v="191.39315761061519"/>
    <n v="189.48464480406847"/>
    <n v="189.48464480406847"/>
    <n v="191.07963339669533"/>
    <n v="188.79897499588441"/>
    <n v="188.79897499588441"/>
    <n v="2255.0197384130988"/>
  </r>
  <r>
    <x v="1"/>
    <s v="MT"/>
    <n v="349.27670110000003"/>
    <n v="343.73828462000006"/>
    <n v="349.72670175999997"/>
    <n v="0"/>
    <n v="0"/>
    <n v="0"/>
    <n v="341.23149744590216"/>
    <n v="0"/>
    <n v="0"/>
    <n v="0"/>
    <n v="0"/>
    <n v="0"/>
    <n v="1383.9731849259024"/>
  </r>
  <r>
    <x v="1"/>
    <s v="PTT Tank"/>
    <n v="0"/>
    <n v="0"/>
    <n v="0"/>
    <n v="0"/>
    <n v="0"/>
    <n v="0"/>
    <n v="0"/>
    <n v="0"/>
    <n v="0"/>
    <n v="0"/>
    <n v="0"/>
    <n v="0"/>
    <n v="0"/>
  </r>
  <r>
    <x v="2"/>
    <s v="MT"/>
    <n v="209.27570132000002"/>
    <n v="202.67513682000001"/>
    <n v="230.86658220000001"/>
    <n v="0"/>
    <n v="0"/>
    <n v="0"/>
    <n v="96.469719802139636"/>
    <n v="0"/>
    <n v="0"/>
    <n v="0"/>
    <n v="0"/>
    <n v="0"/>
    <n v="739.28714014213961"/>
  </r>
  <r>
    <x v="2"/>
    <s v="PTT Tank"/>
    <n v="0"/>
    <n v="0"/>
    <n v="0"/>
    <n v="0"/>
    <n v="0"/>
    <n v="0"/>
    <n v="0"/>
    <n v="0"/>
    <n v="0"/>
    <n v="0"/>
    <n v="0"/>
    <n v="0"/>
    <n v="0"/>
  </r>
  <r>
    <x v="3"/>
    <s v="MT"/>
    <n v="0"/>
    <n v="0"/>
    <n v="0"/>
    <n v="0"/>
    <n v="0"/>
    <n v="0"/>
    <n v="0"/>
    <n v="0"/>
    <n v="0"/>
    <n v="0"/>
    <n v="0"/>
    <n v="0"/>
    <n v="0"/>
  </r>
  <r>
    <x v="3"/>
    <s v="PTT Tank"/>
    <n v="25.936824116881237"/>
    <n v="0"/>
    <n v="141.45172942459615"/>
    <n v="109.12741402308185"/>
    <n v="139.21226104252563"/>
    <n v="137.723359854905"/>
    <n v="135.75994909012789"/>
    <n v="134.42029622979058"/>
    <n v="134.42029622979058"/>
    <n v="135.5517802047888"/>
    <n v="133.95090514667126"/>
    <n v="133.95090514667126"/>
    <n v="1361.5057205098299"/>
  </r>
  <r>
    <x v="4"/>
    <s v="MT"/>
    <n v="0"/>
    <n v="0"/>
    <n v="0"/>
    <n v="0"/>
    <n v="0"/>
    <n v="0"/>
    <n v="0"/>
    <n v="0"/>
    <n v="0"/>
    <n v="0"/>
    <n v="0"/>
    <n v="0"/>
    <n v="0"/>
  </r>
  <r>
    <x v="4"/>
    <s v="PTT Tank"/>
    <n v="21.779856995799999"/>
    <n v="38.080664035400005"/>
    <n v="59.867324801000002"/>
    <n v="50.501239899156296"/>
    <n v="52.798792562736757"/>
    <n v="52.798792562736757"/>
    <n v="53.098485208334928"/>
    <n v="52.581339802690017"/>
    <n v="52.581339802690017"/>
    <n v="53.023943673083032"/>
    <n v="52.405958816089111"/>
    <n v="52.405958816089111"/>
    <n v="591.92369697580602"/>
  </r>
  <r>
    <x v="5"/>
    <s v="MT"/>
    <n v="0"/>
    <n v="0"/>
    <n v="0"/>
    <n v="0"/>
    <n v="0"/>
    <n v="0"/>
    <n v="0"/>
    <n v="0"/>
    <n v="0"/>
    <n v="0"/>
    <n v="0"/>
    <n v="0"/>
    <n v="0"/>
  </r>
  <r>
    <x v="5"/>
    <s v="PTT Tank"/>
    <n v="0"/>
    <n v="0"/>
    <n v="0"/>
    <n v="0"/>
    <n v="0"/>
    <n v="0"/>
    <n v="0"/>
    <n v="0"/>
    <n v="0"/>
    <n v="0"/>
    <n v="0"/>
    <n v="0"/>
    <n v="0"/>
  </r>
  <r>
    <x v="6"/>
    <s v="MT"/>
    <n v="0"/>
    <n v="0"/>
    <n v="0"/>
    <n v="0"/>
    <n v="0"/>
    <n v="0"/>
    <n v="0"/>
    <n v="0"/>
    <n v="0"/>
    <n v="0"/>
    <n v="0"/>
    <n v="0"/>
    <n v="0"/>
  </r>
  <r>
    <x v="6"/>
    <s v="PTT Tank"/>
    <n v="0"/>
    <n v="0"/>
    <n v="0"/>
    <n v="0"/>
    <n v="0"/>
    <n v="0"/>
    <n v="0"/>
    <n v="0"/>
    <n v="0"/>
    <n v="0"/>
    <n v="0"/>
    <n v="0"/>
    <n v="0"/>
  </r>
  <r>
    <x v="7"/>
    <s v="MT"/>
    <n v="0"/>
    <n v="0"/>
    <n v="0"/>
    <n v="0"/>
    <n v="0"/>
    <n v="0"/>
    <n v="0"/>
    <n v="0"/>
    <n v="0"/>
    <n v="0"/>
    <n v="0"/>
    <n v="0"/>
    <n v="0"/>
  </r>
  <r>
    <x v="7"/>
    <s v="PTT Tank"/>
    <n v="0"/>
    <n v="0"/>
    <n v="0"/>
    <n v="0"/>
    <n v="0"/>
    <n v="0"/>
    <n v="0"/>
    <n v="0"/>
    <n v="0"/>
    <n v="0"/>
    <n v="0"/>
    <n v="0"/>
    <n v="0"/>
  </r>
  <r>
    <x v="8"/>
    <s v="MT"/>
    <n v="0"/>
    <n v="0"/>
    <n v="0"/>
    <n v="0"/>
    <n v="0"/>
    <n v="0"/>
    <n v="0"/>
    <n v="0"/>
    <n v="0"/>
    <n v="0"/>
    <n v="0"/>
    <n v="0"/>
    <n v="0"/>
  </r>
  <r>
    <x v="8"/>
    <s v="PTT Tank"/>
    <n v="0"/>
    <n v="0"/>
    <n v="0"/>
    <n v="0"/>
    <n v="0"/>
    <n v="0"/>
    <n v="0"/>
    <n v="0"/>
    <n v="0"/>
    <n v="0"/>
    <n v="0"/>
    <n v="0"/>
    <n v="0"/>
  </r>
  <r>
    <x v="9"/>
    <s v="All"/>
    <n v="2320.306954775881"/>
    <n v="1882.3064041038001"/>
    <n v="2388.9589391343961"/>
    <n v="1908.9116726171121"/>
    <n v="2060.2557992441903"/>
    <n v="2009.5927909139987"/>
    <n v="2520.093509977246"/>
    <n v="2071.4998286433047"/>
    <n v="2050.1733146011961"/>
    <n v="2080.1298638343196"/>
    <n v="2051.1858227064208"/>
    <n v="2076.8718041550956"/>
    <n v="25420.28670470696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s v="Odorless Lpg"/>
    <n v="-5.4058990310287056"/>
    <n v="-5.478903092826406"/>
    <n v="-6.8260383814441372"/>
    <n v="-9.195619871940103"/>
    <n v="-9.1104582885996486"/>
    <n v="-8.4721907380995436"/>
    <n v="-13.032931750568315"/>
    <n v="-12.363106280159187"/>
    <n v="-11.305581791194761"/>
    <n v="-11.576301017313313"/>
    <n v="-9.917298195046806"/>
    <n v="-9.0922667561148298"/>
    <n v="-111.77659519433574"/>
  </r>
  <r>
    <x v="1"/>
    <s v="KHM"/>
    <n v="-160.18802601972553"/>
    <n v="-117.55154208363835"/>
    <n v="-196.2392577192407"/>
    <n v="-230.74386085227025"/>
    <n v="-216.02564019133141"/>
    <n v="-206.00853245751242"/>
    <n v="-194.86035488764185"/>
    <n v="-204.10429689089517"/>
    <n v="-194.60130150583419"/>
    <n v="-182.10070058363181"/>
    <n v="-204.9129416102088"/>
    <n v="-208.72737195521523"/>
    <n v="-2316.0638267571458"/>
  </r>
  <r>
    <x v="1"/>
    <s v="BRP"/>
    <n v="-991.31264611038182"/>
    <n v="-1079.1462175766358"/>
    <n v="-1234.4575266320398"/>
    <n v="6.9670723563326515E-4"/>
    <n v="7.5167141040558439E-4"/>
    <n v="7.2847389675463983E-4"/>
    <n v="7.6036534111774304E-4"/>
    <n v="7.6347276087950964E-4"/>
    <n v="7.4322234894227881E-4"/>
    <n v="7.6253048869941772E-4"/>
    <n v="7.4481944584037956E-4"/>
    <n v="7.6587920508995426E-4"/>
    <n v="-3304.9096731769241"/>
  </r>
  <r>
    <x v="1"/>
    <s v="MT"/>
    <n v="-776.52687321473047"/>
    <n v="-340.63647249813988"/>
    <n v="-395.19574210521534"/>
    <n v="6.3259405792317851E-4"/>
    <n v="7.2076368086928578E-4"/>
    <n v="7.0306631144008609E-4"/>
    <n v="8.1070854626241089E-4"/>
    <n v="7.5303094702974934E-4"/>
    <n v="7.3093653625705326E-4"/>
    <n v="7.304478468520278E-4"/>
    <n v="7.3388205837914423E-4"/>
    <n v="7.3829109227212643E-4"/>
    <n v="-1512.3525340970089"/>
  </r>
  <r>
    <x v="1"/>
    <s v="PTT Tank"/>
    <n v="-64.517430458167823"/>
    <n v="-245.30685590110986"/>
    <n v="-400.6637907360473"/>
    <n v="2.3080064763615542E-4"/>
    <n v="1.915503814823108E-4"/>
    <n v="1.903129173452166E-4"/>
    <n v="1.9139315761061519E-4"/>
    <n v="1.8948464480406847E-4"/>
    <n v="1.8948464480406847E-4"/>
    <n v="1.9107963339669534E-4"/>
    <n v="1.8879897499588441E-4"/>
    <n v="1.8879897499588441E-4"/>
    <n v="-710.48632539134792"/>
  </r>
  <r>
    <x v="2"/>
    <s v="MT"/>
    <n v="-412.20848993975039"/>
    <n v="-478.44291018658294"/>
    <n v="-502.33812237538689"/>
    <n v="0"/>
    <n v="0"/>
    <n v="0"/>
    <n v="3.4123149744590218E-4"/>
    <n v="0"/>
    <n v="0"/>
    <n v="0"/>
    <n v="0"/>
    <n v="0"/>
    <n v="-1392.9891812702228"/>
  </r>
  <r>
    <x v="1"/>
    <s v="PTT Tank"/>
    <n v="0"/>
    <n v="0"/>
    <n v="0"/>
    <n v="0"/>
    <n v="0"/>
    <n v="0"/>
    <n v="0"/>
    <n v="0"/>
    <n v="0"/>
    <n v="0"/>
    <n v="0"/>
    <n v="0"/>
    <n v="0"/>
  </r>
  <r>
    <x v="3"/>
    <s v="MT"/>
    <n v="-246.98246561404528"/>
    <n v="-282.09974454160812"/>
    <n v="-331.6106114645562"/>
    <n v="0"/>
    <n v="0"/>
    <n v="0"/>
    <n v="9.6469719802139633E-5"/>
    <n v="0"/>
    <n v="0"/>
    <n v="0"/>
    <n v="0"/>
    <n v="0"/>
    <n v="-860.69272515048988"/>
  </r>
  <r>
    <x v="1"/>
    <s v="PTT Tank"/>
    <n v="0"/>
    <n v="0"/>
    <n v="0"/>
    <n v="0"/>
    <n v="0"/>
    <n v="0"/>
    <n v="0"/>
    <n v="0"/>
    <n v="0"/>
    <n v="0"/>
    <n v="0"/>
    <n v="0"/>
    <n v="0"/>
  </r>
  <r>
    <x v="4"/>
    <s v="MT"/>
    <n v="0"/>
    <n v="0"/>
    <n v="0"/>
    <n v="0"/>
    <n v="0"/>
    <n v="0"/>
    <n v="0"/>
    <n v="0"/>
    <n v="0"/>
    <n v="0"/>
    <n v="0"/>
    <n v="0"/>
    <n v="0"/>
  </r>
  <r>
    <x v="1"/>
    <s v="PTT Tank"/>
    <n v="-30.812054588984495"/>
    <n v="0"/>
    <n v="-204.7988891189454"/>
    <n v="1.0912741402308185E-4"/>
    <n v="1.3921226104252562E-4"/>
    <n v="1.3772335985490501E-4"/>
    <n v="1.3575994909012789E-4"/>
    <n v="1.3442029622979059E-4"/>
    <n v="1.3442029622979059E-4"/>
    <n v="1.355517802047888E-4"/>
    <n v="1.3395090514667127E-4"/>
    <n v="1.3395090514667127E-4"/>
    <n v="-235.60974959076293"/>
  </r>
  <r>
    <x v="5"/>
    <s v="MT"/>
    <n v="0"/>
    <n v="0"/>
    <n v="0"/>
    <n v="0"/>
    <n v="0"/>
    <n v="0"/>
    <n v="0"/>
    <n v="0"/>
    <n v="0"/>
    <n v="0"/>
    <n v="0"/>
    <n v="0"/>
    <n v="0"/>
  </r>
  <r>
    <x v="1"/>
    <s v="PTT Tank"/>
    <n v="-25.272739180541617"/>
    <n v="-52.316501566473747"/>
    <n v="-84.885869043937831"/>
    <n v="5.0501239899156296E-5"/>
    <n v="5.2798792562736759E-5"/>
    <n v="5.2798792562736759E-5"/>
    <n v="5.3098485208334928E-5"/>
    <n v="5.2581339802690018E-5"/>
    <n v="5.2581339802690018E-5"/>
    <n v="5.3023943673083032E-5"/>
    <n v="5.240595881608911E-5"/>
    <n v="5.240595881608911E-5"/>
    <n v="-162.474637595102"/>
  </r>
  <r>
    <x v="6"/>
    <s v="MT"/>
    <n v="0"/>
    <n v="0"/>
    <n v="0"/>
    <n v="0"/>
    <n v="0"/>
    <n v="0"/>
    <n v="0"/>
    <n v="0"/>
    <n v="0"/>
    <n v="0"/>
    <n v="0"/>
    <n v="0"/>
    <n v="0"/>
  </r>
  <r>
    <x v="1"/>
    <s v="PTT Tank"/>
    <n v="0"/>
    <n v="0"/>
    <n v="0"/>
    <n v="0"/>
    <n v="0"/>
    <n v="0"/>
    <n v="0"/>
    <n v="0"/>
    <n v="0"/>
    <n v="0"/>
    <n v="0"/>
    <n v="0"/>
    <n v="0"/>
  </r>
  <r>
    <x v="7"/>
    <s v="MT"/>
    <n v="0"/>
    <n v="0"/>
    <n v="0"/>
    <n v="0"/>
    <n v="0"/>
    <n v="0"/>
    <n v="0"/>
    <n v="0"/>
    <n v="0"/>
    <n v="0"/>
    <n v="0"/>
    <n v="0"/>
    <n v="0"/>
  </r>
  <r>
    <x v="1"/>
    <s v="PTT Tank"/>
    <n v="0"/>
    <n v="0"/>
    <n v="0"/>
    <n v="0"/>
    <n v="0"/>
    <n v="0"/>
    <n v="0"/>
    <n v="0"/>
    <n v="0"/>
    <n v="0"/>
    <n v="0"/>
    <n v="0"/>
    <n v="0"/>
  </r>
  <r>
    <x v="8"/>
    <s v="MT"/>
    <n v="0"/>
    <n v="0"/>
    <n v="0"/>
    <n v="0"/>
    <n v="0"/>
    <n v="0"/>
    <n v="0"/>
    <n v="0"/>
    <n v="0"/>
    <n v="0"/>
    <n v="0"/>
    <n v="0"/>
    <n v="0"/>
  </r>
  <r>
    <x v="1"/>
    <s v="PTT Tank"/>
    <n v="0"/>
    <n v="0"/>
    <n v="0"/>
    <n v="0"/>
    <n v="0"/>
    <n v="0"/>
    <n v="0"/>
    <n v="0"/>
    <n v="0"/>
    <n v="0"/>
    <n v="0"/>
    <n v="0"/>
    <n v="0"/>
  </r>
  <r>
    <x v="9"/>
    <s v="MT"/>
    <n v="0"/>
    <n v="0"/>
    <n v="0"/>
    <n v="0"/>
    <n v="0"/>
    <n v="0"/>
    <n v="0"/>
    <n v="0"/>
    <n v="0"/>
    <n v="0"/>
    <n v="0"/>
    <n v="0"/>
    <n v="0"/>
  </r>
  <r>
    <x v="1"/>
    <s v="PTT Tank"/>
    <n v="0"/>
    <n v="0"/>
    <n v="0"/>
    <n v="0"/>
    <n v="0"/>
    <n v="0"/>
    <n v="0"/>
    <n v="0"/>
    <n v="0"/>
    <n v="0"/>
    <n v="0"/>
    <n v="0"/>
    <n v="0"/>
  </r>
  <r>
    <x v="10"/>
    <m/>
    <n v="-2561.2354707107429"/>
    <n v="-2486.2381585607282"/>
    <n v="-3169.3483934182163"/>
    <n v="1.719730595114837E-3"/>
    <n v="1.8559965263624432E-3"/>
    <n v="1.8123752779575844E-3"/>
    <n v="2.3890266965372734E-3"/>
    <n v="1.8929899887458082E-3"/>
    <n v="1.8506451660358812E-3"/>
    <n v="1.8726336928260128E-3"/>
    <n v="1.8538573431781688E-3"/>
    <n v="1.8793261363207255E-3"/>
    <n v="-8216.804896108264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380.88580957265947"/>
    <n v="382.63462634068782"/>
    <n v="400.61935029921511"/>
    <n v="418.8989929972758"/>
    <n v="418.37253503267186"/>
    <n v="423.98109443552914"/>
    <n v="437.387002640079"/>
    <n v="435.09967520323357"/>
    <n v="434.37642981758557"/>
    <n v="444.6469107977357"/>
    <n v="438.07064569942287"/>
    <n v="435.24478938004717"/>
  </r>
  <r>
    <x v="1"/>
    <n v="405.35407010620753"/>
    <n v="440.82282331115636"/>
    <n v="455.4227737152703"/>
    <n v="498.70455979043982"/>
    <n v="472.76719425623446"/>
    <n v="476.21422504899351"/>
    <n v="551.32152323515504"/>
    <n v="466.22005824901049"/>
    <n v="479.25085089479524"/>
    <n v="494.57869390815813"/>
    <n v="484.49417730157762"/>
    <n v="478.40898204748646"/>
  </r>
  <r>
    <x v="2"/>
    <n v="403.00358647838164"/>
    <n v="431.45561409032024"/>
    <n v="448.33671935909706"/>
    <n v="491.20760784459651"/>
    <n v="465.34214042262897"/>
    <n v="468.8025727620672"/>
    <n v="543.94592225339329"/>
    <n v="458.65777348518554"/>
    <n v="471.85284805149672"/>
    <n v="487.21858460498993"/>
    <n v="477.02304357084768"/>
    <n v="470.98041231321326"/>
  </r>
  <r>
    <x v="3"/>
    <n v="409.12177422070044"/>
    <n v="443.31237375634237"/>
    <n v="447.14750513252227"/>
    <n v="517.83745031378646"/>
    <n v="473.34748335566559"/>
    <n v="476.13235006542845"/>
    <n v="559.44464705703797"/>
    <n v="468.93726349761266"/>
    <n v="474.50621792671325"/>
    <n v="481.53632457769663"/>
    <n v="477.39011242719084"/>
    <n v="472.33222558481867"/>
  </r>
  <r>
    <x v="4"/>
    <n v="365.16977460686041"/>
    <n v="376.61751954621263"/>
    <n v="379.36118723069512"/>
    <n v="396.40813715974605"/>
    <n v="396.09737353185551"/>
    <n v="401.74613757475043"/>
    <n v="415.26019969479421"/>
    <n v="412.41282091175839"/>
    <n v="412.18242128769026"/>
    <n v="422.56658288823132"/>
    <n v="415.65724450723286"/>
    <n v="412.95908017722752"/>
  </r>
  <r>
    <x v="5"/>
    <n v="366.244665644468"/>
    <n v="367.80221905648477"/>
    <n v="379.36118723069501"/>
    <n v="396.4081371597461"/>
    <n v="396.09737353185551"/>
    <n v="401.74613757475055"/>
    <n v="415.26019969479421"/>
    <n v="412.41282091175844"/>
    <n v="412.18242128769037"/>
    <n v="422.56658288823132"/>
    <n v="415.65724450723286"/>
    <n v="412.959080177227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0" firstHeaderRow="1" firstDataRow="1" firstDataCol="1"/>
  <pivotFields count="17">
    <pivotField axis="axisRow" showAll="0">
      <items count="11">
        <item h="1" m="1" x="9"/>
        <item x="0"/>
        <item sd="0" x="3"/>
        <item x="5"/>
        <item x="2"/>
        <item x="4"/>
        <item h="1" x="6"/>
        <item x="7"/>
        <item x="8"/>
        <item x="1"/>
        <item t="default"/>
      </items>
    </pivotField>
    <pivotField showAll="0"/>
    <pivotField axis="axisRow" showAll="0">
      <items count="102">
        <item x="51"/>
        <item x="52"/>
        <item x="76"/>
        <item x="75"/>
        <item x="50"/>
        <item x="23"/>
        <item x="41"/>
        <item x="69"/>
        <item x="42"/>
        <item x="63"/>
        <item x="40"/>
        <item x="64"/>
        <item x="39"/>
        <item x="44"/>
        <item x="43"/>
        <item x="66"/>
        <item x="68"/>
        <item x="67"/>
        <item x="38"/>
        <item x="46"/>
        <item x="70"/>
        <item x="45"/>
        <item x="61"/>
        <item x="62"/>
        <item x="82"/>
        <item x="81"/>
        <item x="83"/>
        <item x="74"/>
        <item x="48"/>
        <item x="72"/>
        <item x="71"/>
        <item x="73"/>
        <item x="47"/>
        <item x="35"/>
        <item x="31"/>
        <item x="36"/>
        <item x="32"/>
        <item x="54"/>
        <item x="77"/>
        <item x="53"/>
        <item x="0"/>
        <item x="1"/>
        <item x="2"/>
        <item x="6"/>
        <item x="3"/>
        <item x="5"/>
        <item x="4"/>
        <item x="7"/>
        <item x="8"/>
        <item x="12"/>
        <item x="14"/>
        <item x="13"/>
        <item x="15"/>
        <item x="16"/>
        <item x="17"/>
        <item x="18"/>
        <item x="20"/>
        <item x="19"/>
        <item x="21"/>
        <item x="22"/>
        <item m="1" x="99"/>
        <item m="1" x="100"/>
        <item x="56"/>
        <item x="78"/>
        <item x="55"/>
        <item h="1" x="9"/>
        <item x="58"/>
        <item x="79"/>
        <item x="57"/>
        <item x="24"/>
        <item x="26"/>
        <item x="25"/>
        <item x="27"/>
        <item x="29"/>
        <item x="28"/>
        <item x="34"/>
        <item x="30"/>
        <item x="37"/>
        <item x="33"/>
        <item x="89"/>
        <item x="95"/>
        <item x="94"/>
        <item x="91"/>
        <item x="92"/>
        <item x="93"/>
        <item x="90"/>
        <item x="96"/>
        <item x="97"/>
        <item x="98"/>
        <item x="84"/>
        <item x="85"/>
        <item h="1" x="10"/>
        <item h="1" x="11"/>
        <item x="88"/>
        <item x="60"/>
        <item x="80"/>
        <item x="59"/>
        <item h="1" x="49"/>
        <item h="1" x="65"/>
        <item h="1" x="86"/>
        <item h="1" x="8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77">
    <i>
      <x v="1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"/>
    </i>
    <i>
      <x v="3"/>
    </i>
    <i r="1">
      <x v="89"/>
    </i>
    <i r="1">
      <x v="90"/>
    </i>
    <i r="1">
      <x v="93"/>
    </i>
    <i>
      <x v="4"/>
    </i>
    <i r="1">
      <x v="33"/>
    </i>
    <i r="1">
      <x v="34"/>
    </i>
    <i r="1">
      <x v="35"/>
    </i>
    <i r="1">
      <x v="36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>
      <x v="5"/>
    </i>
    <i r="1">
      <x v="2"/>
    </i>
    <i r="1">
      <x v="3"/>
    </i>
    <i r="1">
      <x v="7"/>
    </i>
    <i r="1">
      <x v="9"/>
    </i>
    <i r="1">
      <x v="11"/>
    </i>
    <i r="1">
      <x v="15"/>
    </i>
    <i r="1">
      <x v="16"/>
    </i>
    <i r="1">
      <x v="17"/>
    </i>
    <i r="1">
      <x v="20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8"/>
    </i>
    <i r="1">
      <x v="63"/>
    </i>
    <i r="1">
      <x v="67"/>
    </i>
    <i r="1">
      <x v="95"/>
    </i>
    <i>
      <x v="7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8"/>
    </i>
    <i r="1">
      <x v="86"/>
    </i>
    <i r="1">
      <x v="87"/>
    </i>
    <i r="1">
      <x v="88"/>
    </i>
    <i>
      <x v="9"/>
    </i>
    <i r="1">
      <x v="5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t="grand">
      <x/>
    </i>
  </rowItems>
  <colItems count="1">
    <i/>
  </colItems>
  <dataFields count="1">
    <dataField name="Sum of ม.ค.-64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M12" firstHeaderRow="0" firstDataRow="1" firstDataCol="1"/>
  <pivotFields count="13">
    <pivotField axis="axisRow" showAll="0">
      <items count="10">
        <item x="0"/>
        <item x="5"/>
        <item x="4"/>
        <item x="6"/>
        <item x="7"/>
        <item m="1" x="8"/>
        <item x="1"/>
        <item x="2"/>
        <item x="3"/>
        <item t="default"/>
      </items>
    </pivotField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Average of ม.ค.-64" fld="1" subtotal="average" baseField="0" baseItem="0"/>
    <dataField name="Average of ก.พ.-64" fld="2" subtotal="average" baseField="0" baseItem="0"/>
    <dataField name="Average of มี.ค.-64" fld="3" subtotal="average" baseField="0" baseItem="0"/>
    <dataField name="Average of เม.ย.-64" fld="4" subtotal="average" baseField="0" baseItem="0"/>
    <dataField name="Average of พ.ค.-64" fld="5" subtotal="average" baseField="0" baseItem="0"/>
    <dataField name="Average of มิ.ย.-64" fld="6" subtotal="average" baseField="0" baseItem="0"/>
    <dataField name="Average of ก.ค.-64" fld="7" subtotal="average" baseField="0" baseItem="0"/>
    <dataField name="Average of ส.ค.-64" fld="8" subtotal="average" baseField="0" baseItem="0"/>
    <dataField name="Average of ก.ย.-64" fld="9" subtotal="average" baseField="0" baseItem="0"/>
    <dataField name="Average of ต.ค.-64" fld="10" subtotal="average" baseField="0" baseItem="0"/>
    <dataField name="Average of พ.ย.-64" fld="11" subtotal="average" baseField="0" baseItem="4"/>
    <dataField name="Average of ธ.ค.-64" fld="12" subtotal="average" baseField="0" baseItem="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3000000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O55:P60" firstHeaderRow="1" firstDataRow="1" firstDataCol="1"/>
  <pivotFields count="15">
    <pivotField axis="axisRow" showAll="0">
      <items count="12">
        <item x="8"/>
        <item h="1" x="9"/>
        <item h="1" x="6"/>
        <item x="0"/>
        <item h="1" x="5"/>
        <item x="2"/>
        <item h="1" x="7"/>
        <item h="1" x="10"/>
        <item x="3"/>
        <item h="1" x="4"/>
        <item h="1"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0" showAll="0"/>
  </pivotFields>
  <rowFields count="1">
    <field x="0"/>
  </rowFields>
  <rowItems count="5">
    <i>
      <x/>
    </i>
    <i>
      <x v="3"/>
    </i>
    <i>
      <x v="5"/>
    </i>
    <i>
      <x v="8"/>
    </i>
    <i t="grand">
      <x/>
    </i>
  </rowItems>
  <colItems count="1">
    <i/>
  </colItems>
  <dataFields count="1">
    <dataField name="Sum of Jan-64" fld="2" baseField="0" baseItem="0"/>
  </dataFields>
  <formats count="1">
    <format dxfId="3">
      <pivotArea outline="0" collapsedLevelsAreSubtotals="1" fieldPosition="0"/>
    </format>
  </format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2000000}" name="PivotTable3" cacheId="4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O3:P9" firstHeaderRow="1" firstDataRow="1" firstDataCol="1"/>
  <pivotFields count="15">
    <pivotField axis="axisRow" showAll="0">
      <items count="11">
        <item x="7"/>
        <item h="1" x="8"/>
        <item x="5"/>
        <item x="0"/>
        <item h="1" x="4"/>
        <item x="1"/>
        <item h="1" x="6"/>
        <item h="1" x="9"/>
        <item x="2"/>
        <item h="1" x="3"/>
        <item t="default"/>
      </items>
    </pivotField>
    <pivotField showAll="0"/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</pivotFields>
  <rowFields count="1">
    <field x="0"/>
  </rowFields>
  <rowItems count="6">
    <i>
      <x/>
    </i>
    <i>
      <x v="2"/>
    </i>
    <i>
      <x v="3"/>
    </i>
    <i>
      <x v="5"/>
    </i>
    <i>
      <x v="8"/>
    </i>
    <i t="grand">
      <x/>
    </i>
  </rowItems>
  <colItems count="1">
    <i/>
  </colItems>
  <dataFields count="1">
    <dataField name="Sum of Jan-64" fld="2" baseField="0" baseItem="0"/>
  </dataFields>
  <formats count="2">
    <format dxfId="5">
      <pivotArea outline="0" collapsedLevelsAreSubtotals="1" fieldPosition="0"/>
    </format>
    <format dxfId="4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1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5:K65" firstHeaderRow="0" firstDataRow="1" firstDataCol="1"/>
  <pivotFields count="15">
    <pivotField axis="axisRow" showAll="0">
      <items count="12">
        <item x="7"/>
        <item x="8"/>
        <item x="5"/>
        <item x="0"/>
        <item x="4"/>
        <item x="1"/>
        <item x="6"/>
        <item h="1" x="9"/>
        <item x="2"/>
        <item x="3"/>
        <item h="1" m="1" x="10"/>
        <item t="default"/>
      </items>
    </pivotField>
    <pivotField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numFmtId="3" showAll="0"/>
    <pivotField numFmtId="3" showAll="0"/>
    <pivotField numFmtId="3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Jan-64" fld="2" baseField="0" baseItem="0"/>
    <dataField name="Sum of Feb-64" fld="3" baseField="0" baseItem="0"/>
    <dataField name="Sum of Mar-64" fld="4" baseField="0" baseItem="0"/>
    <dataField name="Sum of Apr-64" fld="5" baseField="0" baseItem="0"/>
    <dataField name="Sum of May-64" fld="6" baseField="0" baseItem="0"/>
    <dataField name="Sum of Jun-64" fld="7" baseField="0" baseItem="0"/>
    <dataField name="Sum of Jul-64" fld="8" baseField="0" baseItem="0"/>
    <dataField name="Sum of Aug-64" fld="9" baseField="0" baseItem="0"/>
    <dataField name="Sum of Sep-64" fld="10" baseField="0" baseItem="0"/>
    <dataField name="Sum of Oct-64" fld="11" baseField="0" baseItem="0"/>
  </dataFields>
  <formats count="3">
    <format dxfId="8">
      <pivotArea outline="0" collapsedLevelsAreSubtotals="1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grandRow="1" outline="0" fieldPosition="0"/>
    </format>
  </formats>
  <chartFormats count="100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0" format="52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0" format="53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0" format="54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  <chartFormat chart="0" format="55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3"/>
          </reference>
          <reference field="0" count="1" selected="0">
            <x v="4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3"/>
          </reference>
          <reference field="0" count="1" selected="0">
            <x v="5"/>
          </reference>
        </references>
      </pivotArea>
    </chartFormat>
    <chartFormat chart="0" format="58">
      <pivotArea type="data" outline="0" fieldPosition="0">
        <references count="2">
          <reference field="4294967294" count="1" selected="0">
            <x v="3"/>
          </reference>
          <reference field="0" count="1" selected="0">
            <x v="6"/>
          </reference>
        </references>
      </pivotArea>
    </chartFormat>
    <chartFormat chart="0" format="59">
      <pivotArea type="data" outline="0" fieldPosition="0">
        <references count="2">
          <reference field="4294967294" count="1" selected="0">
            <x v="3"/>
          </reference>
          <reference field="0" count="1" selected="0">
            <x v="8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3"/>
          </reference>
          <reference field="0" count="1" selected="0">
            <x v="9"/>
          </reference>
        </references>
      </pivotArea>
    </chartFormat>
    <chartFormat chart="0" format="61">
      <pivotArea type="data" outline="0" fieldPosition="0">
        <references count="2">
          <reference field="4294967294" count="1" selected="0">
            <x v="4"/>
          </reference>
          <reference field="0" count="1" selected="0">
            <x v="0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4"/>
          </reference>
          <reference field="0" count="1" selected="0">
            <x v="1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4"/>
          </reference>
          <reference field="0" count="1" selected="0">
            <x v="2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4"/>
          </reference>
          <reference field="0" count="1" selected="0">
            <x v="3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4"/>
          </reference>
          <reference field="0" count="1" selected="0">
            <x v="4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4"/>
          </reference>
          <reference field="0" count="1" selected="0">
            <x v="5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4"/>
          </reference>
          <reference field="0" count="1" selected="0">
            <x v="6"/>
          </reference>
        </references>
      </pivotArea>
    </chartFormat>
    <chartFormat chart="0" format="68">
      <pivotArea type="data" outline="0" fieldPosition="0">
        <references count="2">
          <reference field="4294967294" count="1" selected="0">
            <x v="4"/>
          </reference>
          <reference field="0" count="1" selected="0">
            <x v="8"/>
          </reference>
        </references>
      </pivotArea>
    </chartFormat>
    <chartFormat chart="0" format="69">
      <pivotArea type="data" outline="0" fieldPosition="0">
        <references count="2">
          <reference field="4294967294" count="1" selected="0">
            <x v="4"/>
          </reference>
          <reference field="0" count="1" selected="0">
            <x v="9"/>
          </reference>
        </references>
      </pivotArea>
    </chartFormat>
    <chartFormat chart="0" format="70">
      <pivotArea type="data" outline="0" fieldPosition="0">
        <references count="2">
          <reference field="4294967294" count="1" selected="0">
            <x v="5"/>
          </reference>
          <reference field="0" count="1" selected="0">
            <x v="0"/>
          </reference>
        </references>
      </pivotArea>
    </chartFormat>
    <chartFormat chart="0" format="71">
      <pivotArea type="data" outline="0" fieldPosition="0">
        <references count="2">
          <reference field="4294967294" count="1" selected="0">
            <x v="5"/>
          </reference>
          <reference field="0" count="1" selected="0">
            <x v="1"/>
          </reference>
        </references>
      </pivotArea>
    </chartFormat>
    <chartFormat chart="0" format="72">
      <pivotArea type="data" outline="0" fieldPosition="0">
        <references count="2">
          <reference field="4294967294" count="1" selected="0">
            <x v="5"/>
          </reference>
          <reference field="0" count="1" selected="0">
            <x v="2"/>
          </reference>
        </references>
      </pivotArea>
    </chartFormat>
    <chartFormat chart="0" format="73">
      <pivotArea type="data" outline="0" fieldPosition="0">
        <references count="2">
          <reference field="4294967294" count="1" selected="0">
            <x v="5"/>
          </reference>
          <reference field="0" count="1" selected="0">
            <x v="3"/>
          </reference>
        </references>
      </pivotArea>
    </chartFormat>
    <chartFormat chart="0" format="74">
      <pivotArea type="data" outline="0" fieldPosition="0">
        <references count="2">
          <reference field="4294967294" count="1" selected="0">
            <x v="5"/>
          </reference>
          <reference field="0" count="1" selected="0">
            <x v="4"/>
          </reference>
        </references>
      </pivotArea>
    </chartFormat>
    <chartFormat chart="0" format="75">
      <pivotArea type="data" outline="0" fieldPosition="0">
        <references count="2">
          <reference field="4294967294" count="1" selected="0">
            <x v="5"/>
          </reference>
          <reference field="0" count="1" selected="0">
            <x v="5"/>
          </reference>
        </references>
      </pivotArea>
    </chartFormat>
    <chartFormat chart="0" format="76">
      <pivotArea type="data" outline="0" fieldPosition="0">
        <references count="2">
          <reference field="4294967294" count="1" selected="0">
            <x v="5"/>
          </reference>
          <reference field="0" count="1" selected="0">
            <x v="6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5"/>
          </reference>
          <reference field="0" count="1" selected="0">
            <x v="8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5"/>
          </reference>
          <reference field="0" count="1" selected="0">
            <x v="9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6"/>
          </reference>
          <reference field="0" count="1" selected="0">
            <x v="0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6"/>
          </reference>
          <reference field="0" count="1" selected="0">
            <x v="1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6"/>
          </reference>
          <reference field="0" count="1" selected="0">
            <x v="2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6"/>
          </reference>
          <reference field="0" count="1" selected="0">
            <x v="3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6"/>
          </reference>
          <reference field="0" count="1" selected="0">
            <x v="4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6"/>
          </reference>
          <reference field="0" count="1" selected="0">
            <x v="5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6"/>
          </reference>
          <reference field="0" count="1" selected="0">
            <x v="6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6"/>
          </reference>
          <reference field="0" count="1" selected="0">
            <x v="8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6"/>
          </reference>
          <reference field="0" count="1" selected="0">
            <x v="9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7"/>
          </reference>
          <reference field="0" count="1" selected="0">
            <x v="0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7"/>
          </reference>
          <reference field="0" count="1" selected="0">
            <x v="1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7"/>
          </reference>
          <reference field="0" count="1" selected="0">
            <x v="2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7"/>
          </reference>
          <reference field="0" count="1" selected="0">
            <x v="3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7"/>
          </reference>
          <reference field="0" count="1" selected="0">
            <x v="4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7"/>
          </reference>
          <reference field="0" count="1" selected="0">
            <x v="5"/>
          </reference>
        </references>
      </pivotArea>
    </chartFormat>
    <chartFormat chart="0" format="94">
      <pivotArea type="data" outline="0" fieldPosition="0">
        <references count="2">
          <reference field="4294967294" count="1" selected="0">
            <x v="7"/>
          </reference>
          <reference field="0" count="1" selected="0">
            <x v="6"/>
          </reference>
        </references>
      </pivotArea>
    </chartFormat>
    <chartFormat chart="0" format="95">
      <pivotArea type="data" outline="0" fieldPosition="0">
        <references count="2">
          <reference field="4294967294" count="1" selected="0">
            <x v="7"/>
          </reference>
          <reference field="0" count="1" selected="0">
            <x v="8"/>
          </reference>
        </references>
      </pivotArea>
    </chartFormat>
    <chartFormat chart="0" format="96">
      <pivotArea type="data" outline="0" fieldPosition="0">
        <references count="2">
          <reference field="4294967294" count="1" selected="0">
            <x v="7"/>
          </reference>
          <reference field="0" count="1" selected="0">
            <x v="9"/>
          </reference>
        </references>
      </pivotArea>
    </chartFormat>
    <chartFormat chart="0" format="97">
      <pivotArea type="data" outline="0" fieldPosition="0">
        <references count="2">
          <reference field="4294967294" count="1" selected="0">
            <x v="8"/>
          </reference>
          <reference field="0" count="1" selected="0">
            <x v="0"/>
          </reference>
        </references>
      </pivotArea>
    </chartFormat>
    <chartFormat chart="0" format="98">
      <pivotArea type="data" outline="0" fieldPosition="0">
        <references count="2">
          <reference field="4294967294" count="1" selected="0">
            <x v="8"/>
          </reference>
          <reference field="0" count="1" selected="0">
            <x v="1"/>
          </reference>
        </references>
      </pivotArea>
    </chartFormat>
    <chartFormat chart="0" format="99">
      <pivotArea type="data" outline="0" fieldPosition="0">
        <references count="2">
          <reference field="4294967294" count="1" selected="0">
            <x v="8"/>
          </reference>
          <reference field="0" count="1" selected="0">
            <x v="2"/>
          </reference>
        </references>
      </pivotArea>
    </chartFormat>
    <chartFormat chart="0" format="100">
      <pivotArea type="data" outline="0" fieldPosition="0">
        <references count="2">
          <reference field="4294967294" count="1" selected="0">
            <x v="8"/>
          </reference>
          <reference field="0" count="1" selected="0">
            <x v="3"/>
          </reference>
        </references>
      </pivotArea>
    </chartFormat>
    <chartFormat chart="0" format="101">
      <pivotArea type="data" outline="0" fieldPosition="0">
        <references count="2">
          <reference field="4294967294" count="1" selected="0">
            <x v="8"/>
          </reference>
          <reference field="0" count="1" selected="0">
            <x v="4"/>
          </reference>
        </references>
      </pivotArea>
    </chartFormat>
    <chartFormat chart="0" format="102">
      <pivotArea type="data" outline="0" fieldPosition="0">
        <references count="2">
          <reference field="4294967294" count="1" selected="0">
            <x v="8"/>
          </reference>
          <reference field="0" count="1" selected="0">
            <x v="5"/>
          </reference>
        </references>
      </pivotArea>
    </chartFormat>
    <chartFormat chart="0" format="103">
      <pivotArea type="data" outline="0" fieldPosition="0">
        <references count="2">
          <reference field="4294967294" count="1" selected="0">
            <x v="8"/>
          </reference>
          <reference field="0" count="1" selected="0">
            <x v="6"/>
          </reference>
        </references>
      </pivotArea>
    </chartFormat>
    <chartFormat chart="0" format="104">
      <pivotArea type="data" outline="0" fieldPosition="0">
        <references count="2">
          <reference field="4294967294" count="1" selected="0">
            <x v="8"/>
          </reference>
          <reference field="0" count="1" selected="0">
            <x v="8"/>
          </reference>
        </references>
      </pivotArea>
    </chartFormat>
    <chartFormat chart="0" format="105">
      <pivotArea type="data" outline="0" fieldPosition="0">
        <references count="2">
          <reference field="4294967294" count="1" selected="0">
            <x v="8"/>
          </reference>
          <reference field="0" count="1" selected="0">
            <x v="9"/>
          </reference>
        </references>
      </pivotArea>
    </chartFormat>
    <chartFormat chart="0" format="106">
      <pivotArea type="data" outline="0" fieldPosition="0">
        <references count="2">
          <reference field="4294967294" count="1" selected="0">
            <x v="9"/>
          </reference>
          <reference field="0" count="1" selected="0">
            <x v="0"/>
          </reference>
        </references>
      </pivotArea>
    </chartFormat>
    <chartFormat chart="0" format="107">
      <pivotArea type="data" outline="0" fieldPosition="0">
        <references count="2">
          <reference field="4294967294" count="1" selected="0">
            <x v="9"/>
          </reference>
          <reference field="0" count="1" selected="0">
            <x v="1"/>
          </reference>
        </references>
      </pivotArea>
    </chartFormat>
    <chartFormat chart="0" format="108">
      <pivotArea type="data" outline="0" fieldPosition="0">
        <references count="2">
          <reference field="4294967294" count="1" selected="0">
            <x v="9"/>
          </reference>
          <reference field="0" count="1" selected="0">
            <x v="2"/>
          </reference>
        </references>
      </pivotArea>
    </chartFormat>
    <chartFormat chart="0" format="109">
      <pivotArea type="data" outline="0" fieldPosition="0">
        <references count="2">
          <reference field="4294967294" count="1" selected="0">
            <x v="9"/>
          </reference>
          <reference field="0" count="1" selected="0">
            <x v="3"/>
          </reference>
        </references>
      </pivotArea>
    </chartFormat>
    <chartFormat chart="0" format="110">
      <pivotArea type="data" outline="0" fieldPosition="0">
        <references count="2">
          <reference field="4294967294" count="1" selected="0">
            <x v="9"/>
          </reference>
          <reference field="0" count="1" selected="0">
            <x v="4"/>
          </reference>
        </references>
      </pivotArea>
    </chartFormat>
    <chartFormat chart="0" format="111">
      <pivotArea type="data" outline="0" fieldPosition="0">
        <references count="2">
          <reference field="4294967294" count="1" selected="0">
            <x v="9"/>
          </reference>
          <reference field="0" count="1" selected="0">
            <x v="5"/>
          </reference>
        </references>
      </pivotArea>
    </chartFormat>
    <chartFormat chart="0" format="112">
      <pivotArea type="data" outline="0" fieldPosition="0">
        <references count="2">
          <reference field="4294967294" count="1" selected="0">
            <x v="9"/>
          </reference>
          <reference field="0" count="1" selected="0">
            <x v="6"/>
          </reference>
        </references>
      </pivotArea>
    </chartFormat>
    <chartFormat chart="0" format="113">
      <pivotArea type="data" outline="0" fieldPosition="0">
        <references count="2">
          <reference field="4294967294" count="1" selected="0">
            <x v="9"/>
          </reference>
          <reference field="0" count="1" selected="0">
            <x v="8"/>
          </reference>
        </references>
      </pivotArea>
    </chartFormat>
    <chartFormat chart="0" format="114">
      <pivotArea type="data" outline="0" fieldPosition="0">
        <references count="2">
          <reference field="4294967294" count="1" selected="0">
            <x v="9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5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4:B31" firstHeaderRow="1" firstDataRow="1" firstDataCol="1"/>
  <pivotFields count="13">
    <pivotField axis="axisRow" showAll="0">
      <items count="7">
        <item x="0"/>
        <item x="3"/>
        <item x="2"/>
        <item x="4"/>
        <item x="5"/>
        <item x="1"/>
        <item t="default"/>
      </items>
    </pivotField>
    <pivotField dataField="1" numFmtId="170" showAll="0"/>
    <pivotField numFmtId="170" showAll="0"/>
    <pivotField numFmtId="170" showAll="0"/>
    <pivotField numFmtId="170" showAll="0"/>
    <pivotField numFmtId="170" showAll="0"/>
    <pivotField numFmtId="170" showAll="0"/>
    <pivotField numFmtId="170" showAll="0"/>
    <pivotField numFmtId="170" showAll="0"/>
    <pivotField numFmtId="170" showAll="0"/>
    <pivotField numFmtId="170" showAll="0"/>
    <pivotField numFmtId="170" showAll="0"/>
    <pivotField numFmtId="17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Jan-64" fld="1" baseField="0" baseItem="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4000000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4:M21" firstHeaderRow="0" firstDataRow="1" firstDataCol="1"/>
  <pivotFields count="13">
    <pivotField axis="axisRow" showAll="0">
      <items count="7">
        <item x="0"/>
        <item x="3"/>
        <item x="2"/>
        <item x="4"/>
        <item x="5"/>
        <item x="1"/>
        <item t="default"/>
      </items>
    </pivotField>
    <pivotField dataField="1" numFmtId="170" showAll="0"/>
    <pivotField dataField="1" numFmtId="170" showAll="0"/>
    <pivotField dataField="1" numFmtId="170" showAll="0"/>
    <pivotField dataField="1" numFmtId="170" showAll="0"/>
    <pivotField dataField="1" numFmtId="170" showAll="0"/>
    <pivotField dataField="1" numFmtId="170" showAll="0"/>
    <pivotField dataField="1" numFmtId="170" showAll="0"/>
    <pivotField dataField="1" numFmtId="170" showAll="0"/>
    <pivotField dataField="1" numFmtId="170" showAll="0"/>
    <pivotField dataField="1" numFmtId="170" showAll="0"/>
    <pivotField dataField="1" numFmtId="170" showAll="0"/>
    <pivotField dataField="1" numFmtId="17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Average of ม.ค.-64" fld="1" subtotal="average" baseField="0" baseItem="0"/>
    <dataField name="Average of ก.พ.-64" fld="2" subtotal="average" baseField="0" baseItem="0"/>
    <dataField name="Average of มี.ค.-64" fld="3" subtotal="average" baseField="0" baseItem="0"/>
    <dataField name="Average of เม.ย.-64" fld="4" subtotal="average" baseField="0" baseItem="0"/>
    <dataField name="Average of พ.ค.-64" fld="5" subtotal="average" baseField="0" baseItem="0"/>
    <dataField name="Average of มิ.ย.-64" fld="6" subtotal="average" baseField="0" baseItem="0"/>
    <dataField name="Average of ก.ค.-64" fld="7" subtotal="average" baseField="0" baseItem="0"/>
    <dataField name="Average of ส.ค.-64" fld="8" subtotal="average" baseField="0" baseItem="0"/>
    <dataField name="Average of ก.ย.-64" fld="9" subtotal="average" baseField="0" baseItem="0"/>
    <dataField name="Average of ต.ค.-64" fld="10" subtotal="average" baseField="0" baseItem="0"/>
    <dataField name="Average of พ.ย.-64" fld="11" subtotal="average" baseField="0" baseItem="0"/>
    <dataField name="Average of ธ.ค.-64" fld="12" subtotal="average" baseField="0" baseItem="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5:P151" totalsRowShown="0" headerRowDxfId="183" headerRowBorderDxfId="182" tableBorderDxfId="181" totalsRowBorderDxfId="180">
  <autoFilter ref="A25:P151" xr:uid="{00000000-0009-0000-0100-000003000000}"/>
  <tableColumns count="16">
    <tableColumn id="1" xr3:uid="{00000000-0010-0000-0000-000001000000}" name="Product" dataDxfId="179"/>
    <tableColumn id="2" xr3:uid="{00000000-0010-0000-0000-000002000000}" name="Source" dataDxfId="178"/>
    <tableColumn id="3" xr3:uid="{00000000-0010-0000-0000-000003000000}" name="Company" dataDxfId="177"/>
    <tableColumn id="4" xr3:uid="{00000000-0010-0000-0000-000004000000}" name="ธ.ค.-63" dataDxfId="176" dataCellStyle="Comma"/>
    <tableColumn id="5" xr3:uid="{00000000-0010-0000-0000-000005000000}" name="ม.ค.-64" dataDxfId="175" dataCellStyle="Comma"/>
    <tableColumn id="6" xr3:uid="{00000000-0010-0000-0000-000006000000}" name="ก.พ.-64" dataDxfId="174"/>
    <tableColumn id="7" xr3:uid="{00000000-0010-0000-0000-000007000000}" name="มี.ค.-64" dataDxfId="173"/>
    <tableColumn id="8" xr3:uid="{00000000-0010-0000-0000-000008000000}" name="เม.ย.-64" dataDxfId="172"/>
    <tableColumn id="9" xr3:uid="{00000000-0010-0000-0000-000009000000}" name="พ.ค.-64" dataDxfId="171"/>
    <tableColumn id="10" xr3:uid="{00000000-0010-0000-0000-00000A000000}" name="มิ.ย.-64" dataDxfId="170"/>
    <tableColumn id="11" xr3:uid="{00000000-0010-0000-0000-00000B000000}" name="ก.ค.-64" dataDxfId="169"/>
    <tableColumn id="12" xr3:uid="{00000000-0010-0000-0000-00000C000000}" name="ส.ค.-64" dataDxfId="168"/>
    <tableColumn id="13" xr3:uid="{00000000-0010-0000-0000-00000D000000}" name="ก.ย.-64" dataDxfId="167"/>
    <tableColumn id="14" xr3:uid="{00000000-0010-0000-0000-00000E000000}" name="ต.ค.-64" dataDxfId="166"/>
    <tableColumn id="15" xr3:uid="{00000000-0010-0000-0000-00000F000000}" name="พ.ย.-64" dataDxfId="165"/>
    <tableColumn id="16" xr3:uid="{00000000-0010-0000-0000-000010000000}" name="ธ.ค.-64" dataDxfId="16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5:Q154" totalsRowShown="0" headerRowDxfId="161" dataDxfId="159" headerRowBorderDxfId="160" tableBorderDxfId="158" totalsRowBorderDxfId="157">
  <autoFilter ref="A25:Q154" xr:uid="{00000000-0009-0000-0100-000004000000}"/>
  <tableColumns count="17">
    <tableColumn id="1" xr3:uid="{00000000-0010-0000-0100-000001000000}" name="Product" dataDxfId="156" totalsRowDxfId="155">
      <calculatedColumnFormula>Table3[[#This Row],[Product]]</calculatedColumnFormula>
    </tableColumn>
    <tableColumn id="2" xr3:uid="{00000000-0010-0000-0100-000002000000}" name="Source" dataDxfId="154" totalsRowDxfId="153"/>
    <tableColumn id="3" xr3:uid="{00000000-0010-0000-0100-000003000000}" name="Company" dataDxfId="152" totalsRowDxfId="151"/>
    <tableColumn id="4" xr3:uid="{00000000-0010-0000-0100-000004000000}" name="ธ.ค.-63" dataDxfId="150" totalsRowDxfId="149" dataCellStyle="Comma"/>
    <tableColumn id="5" xr3:uid="{00000000-0010-0000-0100-000005000000}" name="ม.ค.-64" dataDxfId="148" totalsRowDxfId="147"/>
    <tableColumn id="6" xr3:uid="{00000000-0010-0000-0100-000006000000}" name="ก.พ.-64" dataDxfId="146" totalsRowDxfId="145"/>
    <tableColumn id="7" xr3:uid="{00000000-0010-0000-0100-000007000000}" name="มี.ค.-64" dataDxfId="144" totalsRowDxfId="143"/>
    <tableColumn id="8" xr3:uid="{00000000-0010-0000-0100-000008000000}" name="เม.ย.-64" dataDxfId="142" totalsRowDxfId="141"/>
    <tableColumn id="9" xr3:uid="{00000000-0010-0000-0100-000009000000}" name="พ.ค.-64" dataDxfId="140" totalsRowDxfId="139"/>
    <tableColumn id="10" xr3:uid="{00000000-0010-0000-0100-00000A000000}" name="มิ.ย.-64" dataDxfId="138" totalsRowDxfId="137"/>
    <tableColumn id="11" xr3:uid="{00000000-0010-0000-0100-00000B000000}" name="ก.ค.-64" dataDxfId="136" totalsRowDxfId="135"/>
    <tableColumn id="12" xr3:uid="{00000000-0010-0000-0100-00000C000000}" name="ส.ค.-64" dataDxfId="134" totalsRowDxfId="133"/>
    <tableColumn id="13" xr3:uid="{00000000-0010-0000-0100-00000D000000}" name="ก.ย.-64" dataDxfId="132" totalsRowDxfId="131"/>
    <tableColumn id="14" xr3:uid="{00000000-0010-0000-0100-00000E000000}" name="ต.ค.-64" dataDxfId="130" totalsRowDxfId="129"/>
    <tableColumn id="15" xr3:uid="{00000000-0010-0000-0100-00000F000000}" name="พ.ย.-64" dataDxfId="128" totalsRowDxfId="127"/>
    <tableColumn id="16" xr3:uid="{00000000-0010-0000-0100-000010000000}" name="ธ.ค.-64" dataDxfId="126" totalsRowDxfId="125"/>
    <tableColumn id="17" xr3:uid="{00000000-0010-0000-0100-000011000000}" name="Total" dataDxfId="124" totalsRowDxfId="123">
      <calculatedColumnFormula>SUM(E26:P26)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25:Q152" totalsRowCount="1" headerRowDxfId="120" headerRowBorderDxfId="119" tableBorderDxfId="118">
  <autoFilter ref="B25:Q151" xr:uid="{00000000-0009-0000-0100-000002000000}"/>
  <tableColumns count="16">
    <tableColumn id="1" xr3:uid="{00000000-0010-0000-0200-000001000000}" name="Source" dataDxfId="117" totalsRowDxfId="116"/>
    <tableColumn id="2" xr3:uid="{00000000-0010-0000-0200-000002000000}" name="Company" totalsRowDxfId="115"/>
    <tableColumn id="3" xr3:uid="{00000000-0010-0000-0200-000003000000}" name="ธ.ค.-63" totalsRowDxfId="114"/>
    <tableColumn id="4" xr3:uid="{00000000-0010-0000-0200-000004000000}" name="ม.ค.-64" totalsRowFunction="custom" totalsRowDxfId="113">
      <totalsRowFormula>E37+E52+E69+E95+E117+E118+E119+E144+E148+E96</totalsRowFormula>
    </tableColumn>
    <tableColumn id="5" xr3:uid="{00000000-0010-0000-0200-000005000000}" name="ก.พ.-64" totalsRowFunction="custom" totalsRowDxfId="112">
      <totalsRowFormula>F37+F52+F69+F95+F117+F118+F119+F144+F148+F96</totalsRowFormula>
    </tableColumn>
    <tableColumn id="6" xr3:uid="{00000000-0010-0000-0200-000006000000}" name="มี.ค.-64" totalsRowFunction="custom" totalsRowDxfId="111">
      <totalsRowFormula>G37+G52+G69+G95+G117+G118+G119+G144+G148+G96</totalsRowFormula>
    </tableColumn>
    <tableColumn id="7" xr3:uid="{00000000-0010-0000-0200-000007000000}" name="เม.ย.-64" totalsRowFunction="custom" totalsRowDxfId="110">
      <totalsRowFormula>H37+H52+H69+H95+H117+H118+H119+H144+H148+H96</totalsRowFormula>
    </tableColumn>
    <tableColumn id="8" xr3:uid="{00000000-0010-0000-0200-000008000000}" name="พ.ค.-64" totalsRowFunction="custom" dataDxfId="109" totalsRowDxfId="108">
      <totalsRowFormula>I37+I52+I69+I95+I117+I118+I119+I144+I148+I96</totalsRowFormula>
    </tableColumn>
    <tableColumn id="9" xr3:uid="{00000000-0010-0000-0200-000009000000}" name="มิ.ย.-64" totalsRowFunction="custom" totalsRowDxfId="107">
      <totalsRowFormula>J37+J52+J69+J95+J117+J118+J119+J144+J148+J96</totalsRowFormula>
    </tableColumn>
    <tableColumn id="10" xr3:uid="{00000000-0010-0000-0200-00000A000000}" name="ก.ค.-64" totalsRowFunction="custom" totalsRowDxfId="106">
      <totalsRowFormula>K37+K52+K69+K95+K117+K118+K119+K144+K148+K96</totalsRowFormula>
    </tableColumn>
    <tableColumn id="11" xr3:uid="{00000000-0010-0000-0200-00000B000000}" name="ส.ค.-64" totalsRowFunction="custom" totalsRowDxfId="105">
      <totalsRowFormula>L37+L52+L69+L95+L117+L118+L119+L144+L148+L96</totalsRowFormula>
    </tableColumn>
    <tableColumn id="12" xr3:uid="{00000000-0010-0000-0200-00000C000000}" name="ก.ย.-64" totalsRowFunction="custom" totalsRowDxfId="104">
      <totalsRowFormula>M37+M52+M69+M95+M117+M118+M119+M144+M148+M96</totalsRowFormula>
    </tableColumn>
    <tableColumn id="13" xr3:uid="{00000000-0010-0000-0200-00000D000000}" name="ต.ค.-64" totalsRowFunction="custom" totalsRowDxfId="103">
      <totalsRowFormula>N37+N52+N69+N95+N117+N118+N119+N144+N148+N96</totalsRowFormula>
    </tableColumn>
    <tableColumn id="14" xr3:uid="{00000000-0010-0000-0200-00000E000000}" name="พ.ย.-64" totalsRowFunction="custom" totalsRowDxfId="102">
      <totalsRowFormula>O37+O52+O69+O95+O117+O118+O119+O144+O148+O96</totalsRowFormula>
    </tableColumn>
    <tableColumn id="15" xr3:uid="{00000000-0010-0000-0200-00000F000000}" name="ธ.ค.-64" totalsRowFunction="custom" totalsRowDxfId="101">
      <totalsRowFormula>P37+P52+P69+P95+P117+P118+P119+P144+P148+P96</totalsRowFormula>
    </tableColumn>
    <tableColumn id="16" xr3:uid="{00000000-0010-0000-0200-000010000000}" name="Total" totalsRowFunction="custom" dataDxfId="100" totalsRowDxfId="99" dataCellStyle="Comma">
      <totalsRowFormula>Q37+Q52+Q69+Q95+Q117+Q118+Q119+Q144+Q148+Q96</totalsRow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25:A148" totalsRowShown="0" headerRowDxfId="98" dataDxfId="96" headerRowBorderDxfId="97" tableBorderDxfId="95" totalsRowBorderDxfId="94">
  <autoFilter ref="A25:A148" xr:uid="{00000000-0009-0000-0100-000001000000}"/>
  <tableColumns count="1">
    <tableColumn id="1" xr3:uid="{00000000-0010-0000-0300-000001000000}" name="Product" dataDxfId="93">
      <calculatedColumnFormula>Table3[[#This Row],[Product]]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25:P152" totalsRowCount="1" headerRowDxfId="89" dataDxfId="87" headerRowBorderDxfId="88" tableBorderDxfId="86" totalsRowBorderDxfId="85" dataCellStyle="Comma">
  <autoFilter ref="A25:P151" xr:uid="{00000000-0009-0000-0100-000005000000}"/>
  <tableColumns count="16">
    <tableColumn id="1" xr3:uid="{00000000-0010-0000-0400-000001000000}" name="Product" dataDxfId="84" totalsRowDxfId="83">
      <calculatedColumnFormula>Table3[[#This Row],[Product]]</calculatedColumnFormula>
    </tableColumn>
    <tableColumn id="2" xr3:uid="{00000000-0010-0000-0400-000002000000}" name="Source" dataDxfId="82" totalsRowDxfId="81"/>
    <tableColumn id="3" xr3:uid="{00000000-0010-0000-0400-000003000000}" name="Company" totalsRowLabel="Total GSP Cost" dataDxfId="80" totalsRowDxfId="79"/>
    <tableColumn id="4" xr3:uid="{00000000-0010-0000-0400-000004000000}" name="ธ.ค.-63" dataDxfId="78" totalsRowDxfId="77"/>
    <tableColumn id="5" xr3:uid="{00000000-0010-0000-0400-000005000000}" name="ม.ค.-64" totalsRowFunction="custom" dataDxfId="76" totalsRowDxfId="75" dataCellStyle="Comma">
      <totalsRowFormula>E37+E52+E69+E95+E117+E118+E119+E144+E148</totalsRowFormula>
    </tableColumn>
    <tableColumn id="6" xr3:uid="{00000000-0010-0000-0400-000006000000}" name="ก.พ.-64" totalsRowFunction="custom" dataDxfId="74" totalsRowDxfId="73" dataCellStyle="Comma">
      <totalsRowFormula>F37+F52+F69+F95+F117+F118+F119+F144+F148</totalsRowFormula>
    </tableColumn>
    <tableColumn id="7" xr3:uid="{00000000-0010-0000-0400-000007000000}" name="มี.ค.-64" totalsRowFunction="custom" dataDxfId="72" totalsRowDxfId="71" dataCellStyle="Comma">
      <totalsRowFormula>G37+G52+G69+G95+G117+G118+G119+G144+G148</totalsRowFormula>
    </tableColumn>
    <tableColumn id="8" xr3:uid="{00000000-0010-0000-0400-000008000000}" name="เม.ย.-64" totalsRowFunction="custom" dataDxfId="70" totalsRowDxfId="69" dataCellStyle="Comma">
      <totalsRowFormula>H37+H52+H69+H95+H117+H118+H119+H144+H148</totalsRowFormula>
    </tableColumn>
    <tableColumn id="9" xr3:uid="{00000000-0010-0000-0400-000009000000}" name="พ.ค.-64" totalsRowFunction="custom" dataDxfId="68" totalsRowDxfId="67" dataCellStyle="Comma">
      <totalsRowFormula>I37+I52+I69+I95+I117+I118+I119+I144+I148</totalsRowFormula>
    </tableColumn>
    <tableColumn id="10" xr3:uid="{00000000-0010-0000-0400-00000A000000}" name="มิ.ย.-64" totalsRowFunction="custom" dataDxfId="66" totalsRowDxfId="65" dataCellStyle="Comma">
      <totalsRowFormula>J37+J52+J69+J95+J117+J118+J119+J144+J148</totalsRowFormula>
    </tableColumn>
    <tableColumn id="11" xr3:uid="{00000000-0010-0000-0400-00000B000000}" name="ก.ค.-64" totalsRowFunction="custom" dataDxfId="64" totalsRowDxfId="63" dataCellStyle="Comma">
      <totalsRowFormula>K37+K52+K69+K95+K117+K118+K119+K144+K148</totalsRowFormula>
    </tableColumn>
    <tableColumn id="12" xr3:uid="{00000000-0010-0000-0400-00000C000000}" name="ส.ค.-64" totalsRowFunction="custom" dataDxfId="62" totalsRowDxfId="61" dataCellStyle="Comma">
      <totalsRowFormula>L37+L52+L69+L95+L117+L118+L119+L144+L148</totalsRowFormula>
    </tableColumn>
    <tableColumn id="13" xr3:uid="{00000000-0010-0000-0400-00000D000000}" name="ก.ย.-64" totalsRowFunction="custom" dataDxfId="60" totalsRowDxfId="59" dataCellStyle="Comma">
      <totalsRowFormula>M37+M52+M69+M95+M117+M118+M119+M144+M148</totalsRowFormula>
    </tableColumn>
    <tableColumn id="14" xr3:uid="{00000000-0010-0000-0400-00000E000000}" name="ต.ค.-64" totalsRowFunction="custom" dataDxfId="58" totalsRowDxfId="57" dataCellStyle="Comma">
      <totalsRowFormula>N37+N52+N69+N95+N117+N118+N119+N144+N148</totalsRowFormula>
    </tableColumn>
    <tableColumn id="15" xr3:uid="{00000000-0010-0000-0400-00000F000000}" name="พ.ย.-64" totalsRowFunction="custom" dataDxfId="56" totalsRowDxfId="55" dataCellStyle="Comma">
      <totalsRowFormula>O37+O52+O69+O95+O117+O118+O119+O144+O148</totalsRowFormula>
    </tableColumn>
    <tableColumn id="16" xr3:uid="{00000000-0010-0000-0400-000010000000}" name="ธ.ค.-64" totalsRowFunction="custom" dataDxfId="54" totalsRowDxfId="53" dataCellStyle="Comma">
      <totalsRowFormula>P37+P52+P69+P95+P117+P118+P119+P144+P148</totalsRowFormula>
    </tableColumn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5:Q152" totalsRowCount="1" headerRowDxfId="48" headerRowBorderDxfId="47" tableBorderDxfId="46" totalsRowBorderDxfId="45">
  <autoFilter ref="A25:Q151" xr:uid="{00000000-0009-0000-0100-000006000000}"/>
  <tableColumns count="17">
    <tableColumn id="1" xr3:uid="{00000000-0010-0000-0500-000001000000}" name="Product" dataDxfId="44" totalsRowDxfId="43">
      <calculatedColumnFormula>Table3[[#This Row],[Product]]</calculatedColumnFormula>
    </tableColumn>
    <tableColumn id="2" xr3:uid="{00000000-0010-0000-0500-000002000000}" name="Source" dataDxfId="42" totalsRowDxfId="41"/>
    <tableColumn id="3" xr3:uid="{00000000-0010-0000-0500-000003000000}" name="Company" totalsRowLabel="Est Cost" dataDxfId="40" totalsRowDxfId="39"/>
    <tableColumn id="4" xr3:uid="{00000000-0010-0000-0500-000004000000}" name="ธ.ค.-63" dataDxfId="38" totalsRowDxfId="37"/>
    <tableColumn id="5" xr3:uid="{00000000-0010-0000-0500-000005000000}" name="ม.ค.-64" totalsRowFunction="custom" dataDxfId="36" totalsRowDxfId="35">
      <totalsRowFormula>'Revenue (Baht)'!E3-'Margin (Baht)'!E3</totalsRowFormula>
    </tableColumn>
    <tableColumn id="6" xr3:uid="{00000000-0010-0000-0500-000006000000}" name="ก.พ.-64" dataDxfId="34" totalsRowDxfId="33"/>
    <tableColumn id="7" xr3:uid="{00000000-0010-0000-0500-000007000000}" name="มี.ค.-64" dataDxfId="32" totalsRowDxfId="31"/>
    <tableColumn id="8" xr3:uid="{00000000-0010-0000-0500-000008000000}" name="เม.ย.-64" dataDxfId="30" totalsRowDxfId="29"/>
    <tableColumn id="9" xr3:uid="{00000000-0010-0000-0500-000009000000}" name="พ.ค.-64" dataDxfId="28" totalsRowDxfId="27"/>
    <tableColumn id="10" xr3:uid="{00000000-0010-0000-0500-00000A000000}" name="มิ.ย.-64" dataDxfId="26" totalsRowDxfId="25"/>
    <tableColumn id="11" xr3:uid="{00000000-0010-0000-0500-00000B000000}" name="ก.ค.-64" dataDxfId="24" totalsRowDxfId="23"/>
    <tableColumn id="12" xr3:uid="{00000000-0010-0000-0500-00000C000000}" name="ส.ค.-64" dataDxfId="22" totalsRowDxfId="21"/>
    <tableColumn id="13" xr3:uid="{00000000-0010-0000-0500-00000D000000}" name="ก.ย.-64" dataDxfId="20" totalsRowDxfId="19"/>
    <tableColumn id="14" xr3:uid="{00000000-0010-0000-0500-00000E000000}" name="ต.ค.-64" dataDxfId="18" totalsRowDxfId="17"/>
    <tableColumn id="15" xr3:uid="{00000000-0010-0000-0500-00000F000000}" name="พ.ย.-64" dataDxfId="16" totalsRowDxfId="15"/>
    <tableColumn id="16" xr3:uid="{00000000-0010-0000-0500-000010000000}" name="ธ.ค.-64" dataDxfId="14" totalsRowDxfId="13"/>
    <tableColumn id="17" xr3:uid="{00000000-0010-0000-0500-000011000000}" name="Total" dataDxfId="12" totalsRowDxfId="1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\\Pttgrp-fs01\NASDATA3\PTT\prodmkt\New%20PrdMkt\Analysis\Plan\Plan\3.&#3649;&#3592;&#3657;&#3591;&#3649;&#3612;&#3609;&#3592;&#3633;&#3604;&#3592;&#3635;&#3627;&#3609;&#3656;&#3634;&#3618;&#3612;&#3621;&#3636;&#3605;&#3616;&#3633;&#3603;&#3601;&#3660;&#3611;&#3619;&#3632;&#3592;&#3635;&#3648;&#3604;&#3639;&#3629;&#3609;\2021" TargetMode="External"/><Relationship Id="rId5" Type="http://schemas.openxmlformats.org/officeDocument/2006/relationships/comments" Target="../comments3.xml"/><Relationship Id="rId4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file:///\\Pttgrp-fs01\NASDATA3\PTT\prodmkt\New%20PrdMkt\Sales\Revenue\Annual%20Sales%20Data\2021_2564\Performance" TargetMode="External"/><Relationship Id="rId7" Type="http://schemas.openxmlformats.org/officeDocument/2006/relationships/comments" Target="../comments5.xml"/><Relationship Id="rId2" Type="http://schemas.openxmlformats.org/officeDocument/2006/relationships/hyperlink" Target="file:///\\Pttgrp-fs01\NASDATA3\PTT\prodmkt\New%20PrdMkt\Sales\Revenue\Annual%20Sales%20Data\2021_2564\Cost%20Rolling%20from%20&#3623;&#3612;&#3585;" TargetMode="External"/><Relationship Id="rId1" Type="http://schemas.openxmlformats.org/officeDocument/2006/relationships/hyperlink" Target="mailto:LPG@%20PTT%20TANK" TargetMode="External"/><Relationship Id="rId6" Type="http://schemas.openxmlformats.org/officeDocument/2006/relationships/table" Target="../tables/table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ile:///\\Pttgrp-fs01\NASDATA3\PTT\prodmkt\New%20PrdMkt\Analysis\Plan\Plan\3.&#3649;&#3592;&#3657;&#3591;&#3649;&#3612;&#3609;&#3592;&#3633;&#3604;&#3592;&#3635;&#3627;&#3609;&#3656;&#3634;&#3618;&#3612;&#3621;&#3636;&#3605;&#3616;&#3633;&#3603;&#3601;&#3660;&#3611;&#3619;&#3632;&#3592;&#3635;&#3648;&#3604;&#3639;&#3629;&#3609;\202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AH204"/>
  <sheetViews>
    <sheetView zoomScale="60" zoomScaleNormal="60" workbookViewId="0">
      <pane xSplit="3" ySplit="1" topLeftCell="D23" activePane="bottomRight" state="frozen"/>
      <selection activeCell="B140" sqref="B140"/>
      <selection pane="topRight" activeCell="B140" sqref="B140"/>
      <selection pane="bottomLeft" activeCell="B140" sqref="B140"/>
      <selection pane="bottomRight" activeCell="D32" sqref="D32:J34"/>
    </sheetView>
  </sheetViews>
  <sheetFormatPr defaultRowHeight="14.5"/>
  <cols>
    <col min="1" max="1" width="43" customWidth="1"/>
    <col min="2" max="2" width="20.1796875" customWidth="1"/>
    <col min="3" max="3" width="46.81640625" customWidth="1"/>
    <col min="4" max="4" width="13.81640625" style="863" customWidth="1"/>
    <col min="5" max="16" width="14.36328125" customWidth="1"/>
    <col min="17" max="17" width="11" customWidth="1"/>
    <col min="19" max="19" width="14.08984375" customWidth="1"/>
    <col min="20" max="20" width="17.81640625" customWidth="1"/>
    <col min="21" max="21" width="11.1796875" customWidth="1"/>
  </cols>
  <sheetData>
    <row r="1" spans="2:33">
      <c r="B1" s="1333" t="s">
        <v>0</v>
      </c>
      <c r="C1" s="1334" t="s">
        <v>1</v>
      </c>
      <c r="D1" s="1335">
        <v>2021</v>
      </c>
      <c r="E1" s="1335"/>
      <c r="F1" s="1335"/>
      <c r="G1" s="1335"/>
      <c r="H1" s="1335"/>
      <c r="I1" s="1335"/>
      <c r="J1" s="1335"/>
      <c r="K1" s="1335"/>
      <c r="L1" s="1335"/>
      <c r="M1" s="1335"/>
      <c r="N1" s="1335"/>
      <c r="O1" s="1335"/>
      <c r="P1" s="1335"/>
      <c r="U1" t="s">
        <v>744</v>
      </c>
    </row>
    <row r="2" spans="2:33">
      <c r="B2" s="1333"/>
      <c r="C2" s="1334"/>
      <c r="D2" s="43">
        <v>23346</v>
      </c>
      <c r="E2" s="43">
        <v>23377</v>
      </c>
      <c r="F2" s="43">
        <v>23408</v>
      </c>
      <c r="G2" s="43">
        <v>23437</v>
      </c>
      <c r="H2" s="43">
        <v>23468</v>
      </c>
      <c r="I2" s="43">
        <v>23498</v>
      </c>
      <c r="J2" s="43">
        <v>23529</v>
      </c>
      <c r="K2" s="43">
        <v>23559</v>
      </c>
      <c r="L2" s="43">
        <v>23590</v>
      </c>
      <c r="M2" s="43">
        <v>23621</v>
      </c>
      <c r="N2" s="43">
        <v>23651</v>
      </c>
      <c r="O2" s="43">
        <v>23682</v>
      </c>
      <c r="P2" s="43">
        <v>23712</v>
      </c>
      <c r="S2" t="s">
        <v>5</v>
      </c>
      <c r="T2" t="s">
        <v>0</v>
      </c>
      <c r="U2" s="43" t="s">
        <v>579</v>
      </c>
      <c r="V2" s="43" t="s">
        <v>580</v>
      </c>
      <c r="W2" s="43" t="s">
        <v>581</v>
      </c>
      <c r="X2" s="43" t="s">
        <v>582</v>
      </c>
      <c r="Y2" s="43" t="s">
        <v>583</v>
      </c>
      <c r="Z2" s="43" t="s">
        <v>584</v>
      </c>
      <c r="AA2" s="43" t="s">
        <v>585</v>
      </c>
      <c r="AB2" s="43" t="s">
        <v>586</v>
      </c>
      <c r="AC2" s="43" t="s">
        <v>587</v>
      </c>
      <c r="AD2" s="43" t="s">
        <v>588</v>
      </c>
      <c r="AE2" s="43" t="s">
        <v>589</v>
      </c>
      <c r="AF2" s="43" t="s">
        <v>590</v>
      </c>
    </row>
    <row r="3" spans="2:33">
      <c r="B3" s="1" t="s">
        <v>2</v>
      </c>
      <c r="C3" s="2" t="s">
        <v>3</v>
      </c>
      <c r="D3" s="816">
        <v>49.81522727272727</v>
      </c>
      <c r="E3" s="1043">
        <v>54.772000000000006</v>
      </c>
      <c r="F3" s="1043">
        <v>60.854999999999997</v>
      </c>
      <c r="G3" s="1043">
        <v>64.414347826086953</v>
      </c>
      <c r="H3" s="1141">
        <v>62.894285714285715</v>
      </c>
      <c r="I3" s="1141">
        <v>66.314473684210526</v>
      </c>
      <c r="J3" s="1043">
        <v>71.57295454545455</v>
      </c>
      <c r="K3" s="4">
        <v>70.400000000000006</v>
      </c>
      <c r="L3" s="4">
        <v>69.8</v>
      </c>
      <c r="M3" s="4">
        <v>68.5</v>
      </c>
      <c r="N3" s="4">
        <v>68.400000000000006</v>
      </c>
      <c r="O3" s="4">
        <v>67.400000000000006</v>
      </c>
      <c r="P3" s="4">
        <v>67.3</v>
      </c>
      <c r="T3" t="s">
        <v>208</v>
      </c>
      <c r="U3" s="706">
        <f t="shared" ref="U3:AF3" si="0">E35</f>
        <v>423.0602561447181</v>
      </c>
      <c r="V3" s="706">
        <f t="shared" si="0"/>
        <v>423.08108236599242</v>
      </c>
      <c r="W3" s="706">
        <f t="shared" si="0"/>
        <v>433.47271036470164</v>
      </c>
      <c r="X3" s="706">
        <f t="shared" si="0"/>
        <v>498.5860558738612</v>
      </c>
      <c r="Y3" s="706">
        <f t="shared" si="0"/>
        <v>497.18655986401052</v>
      </c>
      <c r="Z3" s="706">
        <f t="shared" si="0"/>
        <v>456.05543466875059</v>
      </c>
      <c r="AA3" s="706">
        <f t="shared" si="0"/>
        <v>438.42293230283587</v>
      </c>
      <c r="AB3" s="706">
        <f t="shared" si="0"/>
        <v>427.41363469974385</v>
      </c>
      <c r="AC3" s="706">
        <f t="shared" si="0"/>
        <v>423.06275269308674</v>
      </c>
      <c r="AD3" s="706">
        <f t="shared" si="0"/>
        <v>420.60692574444772</v>
      </c>
      <c r="AE3" s="706">
        <f t="shared" si="0"/>
        <v>423.46411727507774</v>
      </c>
      <c r="AF3" s="706">
        <f t="shared" si="0"/>
        <v>434.09017990275322</v>
      </c>
    </row>
    <row r="4" spans="2:33">
      <c r="B4" s="1" t="s">
        <v>4</v>
      </c>
      <c r="C4" s="2" t="s">
        <v>5</v>
      </c>
      <c r="D4" s="816">
        <v>449.01704545454544</v>
      </c>
      <c r="E4" s="1044">
        <v>513.28125</v>
      </c>
      <c r="F4" s="1044">
        <v>564.63157894736844</v>
      </c>
      <c r="G4" s="1044">
        <v>593.39673913043475</v>
      </c>
      <c r="H4" s="1044">
        <v>571.10714285714289</v>
      </c>
      <c r="I4" s="816">
        <v>602.15131578947364</v>
      </c>
      <c r="J4" s="1044">
        <v>643.9204545454545</v>
      </c>
      <c r="K4" s="3">
        <v>637.04999999999995</v>
      </c>
      <c r="L4" s="3">
        <v>632.82000000000005</v>
      </c>
      <c r="M4" s="3">
        <v>621.75</v>
      </c>
      <c r="N4" s="3">
        <v>620.58000000000004</v>
      </c>
      <c r="O4" s="3">
        <v>612.57000000000005</v>
      </c>
      <c r="P4" s="3">
        <v>613.02</v>
      </c>
      <c r="T4" t="s">
        <v>640</v>
      </c>
      <c r="U4" s="706">
        <f>SUMPRODUCT(E38:E42,Delivery!E38:E42)/SUM(Delivery!E38:E42)</f>
        <v>652.47821322560071</v>
      </c>
      <c r="V4" s="706">
        <f>SUMPRODUCT(F38:F42,Delivery!F38:F42)/SUM(Delivery!F38:F42)</f>
        <v>698.52308566884972</v>
      </c>
      <c r="W4" s="974">
        <f>SUMPRODUCT(G38:G42,Delivery!G38:G42)/SUM(Delivery!G38:G42)</f>
        <v>675.55614486909644</v>
      </c>
      <c r="X4" s="974">
        <f>SUMPRODUCT(H38:H42,Delivery!H38:H42)/SUM(Delivery!H38:H42)</f>
        <v>608.85152953630654</v>
      </c>
      <c r="Y4" s="974">
        <f>SUMPRODUCT(I38:I42,Delivery!I38:I42)/SUM(Delivery!I38:I42)</f>
        <v>554.84493770371125</v>
      </c>
      <c r="Z4" s="706">
        <f>SUMPRODUCT(J38:J42,Delivery!J38:J42)/SUM(Delivery!J38:J42)</f>
        <v>598.01810087298338</v>
      </c>
      <c r="AA4" s="706">
        <f>SUMPRODUCT(K38:K42,Delivery!K38:K42)/SUM(Delivery!K38:K42)</f>
        <v>674.09663173857325</v>
      </c>
      <c r="AB4" s="706">
        <f>SUMPRODUCT(L38:L42,Delivery!L38:L42)/SUM(Delivery!L38:L42)</f>
        <v>667.70272272727277</v>
      </c>
      <c r="AC4" s="706">
        <f>SUMPRODUCT(M38:M42,Delivery!M38:M42)/SUM(Delivery!M38:M42)</f>
        <v>662.34115840316792</v>
      </c>
      <c r="AD4" s="706">
        <f>SUMPRODUCT(N38:N42,Delivery!N38:N42)/SUM(Delivery!N38:N42)</f>
        <v>631.32920000000001</v>
      </c>
      <c r="AE4" s="706">
        <f>SUMPRODUCT(O38:O42,Delivery!O38:O42)/SUM(Delivery!O38:O42)</f>
        <v>652.21132272727277</v>
      </c>
      <c r="AF4" s="706">
        <f>SUMPRODUCT(P38:P42,Delivery!P38:P42)/SUM(Delivery!P38:P42)</f>
        <v>665.5147227272729</v>
      </c>
    </row>
    <row r="5" spans="2:33">
      <c r="B5" s="5" t="s">
        <v>6</v>
      </c>
      <c r="C5" s="6" t="s">
        <v>5</v>
      </c>
      <c r="D5" s="816">
        <v>461.54136125093669</v>
      </c>
      <c r="E5" s="1044">
        <v>539.06944786240945</v>
      </c>
      <c r="F5" s="1044">
        <v>597.43984945550153</v>
      </c>
      <c r="G5" s="1044">
        <v>628.09885660904092</v>
      </c>
      <c r="H5" s="816">
        <v>602.75300238172554</v>
      </c>
      <c r="I5" s="816">
        <v>636.52393615105257</v>
      </c>
      <c r="J5" s="1044">
        <v>683.64530214671254</v>
      </c>
      <c r="K5" s="3">
        <v>625.04999999999995</v>
      </c>
      <c r="L5" s="3">
        <v>620.82000000000005</v>
      </c>
      <c r="M5" s="3">
        <v>609.75</v>
      </c>
      <c r="N5" s="3">
        <v>608.58000000000004</v>
      </c>
      <c r="O5" s="3">
        <v>600.57000000000005</v>
      </c>
      <c r="P5" s="3">
        <v>601.02</v>
      </c>
      <c r="T5" t="s">
        <v>639</v>
      </c>
      <c r="U5" s="706">
        <f t="shared" ref="U5:AF5" si="1">E43</f>
        <v>445.72809999999998</v>
      </c>
      <c r="V5" s="706">
        <f t="shared" si="1"/>
        <v>436.32499999999999</v>
      </c>
      <c r="W5" s="974">
        <f t="shared" si="1"/>
        <v>467.20780000000002</v>
      </c>
      <c r="X5" s="974">
        <f t="shared" si="1"/>
        <v>520.4</v>
      </c>
      <c r="Y5" s="974">
        <f t="shared" si="1"/>
        <v>493.11250000000001</v>
      </c>
      <c r="Z5" s="706">
        <f t="shared" si="1"/>
        <v>460.29379999999998</v>
      </c>
      <c r="AA5" s="706">
        <f t="shared" si="1"/>
        <v>445.17500000000001</v>
      </c>
      <c r="AB5" s="706">
        <f t="shared" si="1"/>
        <v>428.36</v>
      </c>
      <c r="AC5" s="706">
        <f t="shared" si="1"/>
        <v>415.67500000000001</v>
      </c>
      <c r="AD5" s="706">
        <f t="shared" si="1"/>
        <v>406.23500000000001</v>
      </c>
      <c r="AE5" s="706">
        <f t="shared" si="1"/>
        <v>408.3</v>
      </c>
      <c r="AF5" s="706">
        <f t="shared" si="1"/>
        <v>418.03500000000003</v>
      </c>
    </row>
    <row r="6" spans="2:33">
      <c r="B6" s="5" t="s">
        <v>6</v>
      </c>
      <c r="C6" s="6" t="s">
        <v>3</v>
      </c>
      <c r="D6" s="1290">
        <v>47.59</v>
      </c>
      <c r="E6" s="15">
        <v>55.584000000000003</v>
      </c>
      <c r="F6" s="15">
        <v>61.602631578947374</v>
      </c>
      <c r="G6" s="15">
        <v>64.763913043478254</v>
      </c>
      <c r="H6" s="15">
        <v>62.150476190476198</v>
      </c>
      <c r="I6" s="15">
        <v>65.632631578947382</v>
      </c>
      <c r="J6" s="15">
        <v>70.49136363636363</v>
      </c>
      <c r="K6" s="8">
        <v>69.449999999999989</v>
      </c>
      <c r="L6" s="8">
        <v>68.98</v>
      </c>
      <c r="M6" s="8">
        <v>67.75</v>
      </c>
      <c r="N6" s="8">
        <v>67.62</v>
      </c>
      <c r="O6" s="8">
        <v>66.73</v>
      </c>
      <c r="P6" s="8">
        <v>66.78</v>
      </c>
      <c r="T6" s="788" t="s">
        <v>641</v>
      </c>
      <c r="U6" s="706">
        <f t="shared" ref="U6:AF6" si="2">E52</f>
        <v>577.45529983971892</v>
      </c>
      <c r="V6" s="706">
        <f t="shared" si="2"/>
        <v>620.16063588291456</v>
      </c>
      <c r="W6" s="706">
        <f t="shared" si="2"/>
        <v>609.00122851419621</v>
      </c>
      <c r="X6" s="706">
        <f t="shared" si="2"/>
        <v>579.30723329140585</v>
      </c>
      <c r="Y6" s="706">
        <f t="shared" si="2"/>
        <v>542.12053138621729</v>
      </c>
      <c r="Z6" s="706">
        <f t="shared" si="2"/>
        <v>576.67474001170683</v>
      </c>
      <c r="AA6" s="706">
        <f t="shared" si="2"/>
        <v>662.69044709671857</v>
      </c>
      <c r="AB6" s="706">
        <f t="shared" si="2"/>
        <v>602.62513626901648</v>
      </c>
      <c r="AC6" s="706">
        <f t="shared" si="2"/>
        <v>575.30457893970743</v>
      </c>
      <c r="AD6" s="706">
        <f t="shared" si="2"/>
        <v>533.08332746903807</v>
      </c>
      <c r="AE6" s="706">
        <f t="shared" si="2"/>
        <v>573.46661688848121</v>
      </c>
      <c r="AF6" s="706">
        <f t="shared" si="2"/>
        <v>590.03729492804257</v>
      </c>
    </row>
    <row r="7" spans="2:33">
      <c r="B7" s="5" t="s">
        <v>7</v>
      </c>
      <c r="C7" s="6" t="s">
        <v>5</v>
      </c>
      <c r="D7" s="816">
        <v>452.72727272727275</v>
      </c>
      <c r="E7" s="1044">
        <v>570.65</v>
      </c>
      <c r="F7" s="1044">
        <v>569.93421052631584</v>
      </c>
      <c r="G7" s="1044">
        <v>544.17391304347825</v>
      </c>
      <c r="H7" s="816">
        <v>473.26190476190476</v>
      </c>
      <c r="I7" s="816">
        <v>496.89473684210526</v>
      </c>
      <c r="J7" s="1044">
        <v>588.38636363636363</v>
      </c>
      <c r="K7" s="3">
        <v>620</v>
      </c>
      <c r="L7" s="3">
        <v>612.5</v>
      </c>
      <c r="M7" s="3">
        <v>602.5</v>
      </c>
      <c r="N7" s="3">
        <v>575</v>
      </c>
      <c r="O7" s="3">
        <v>580</v>
      </c>
      <c r="P7" s="3">
        <v>587.5</v>
      </c>
      <c r="S7" t="s">
        <v>539</v>
      </c>
      <c r="T7" t="s">
        <v>209</v>
      </c>
      <c r="U7" s="706">
        <f t="shared" ref="U7:AF7" si="3">E69</f>
        <v>629.84613026104864</v>
      </c>
      <c r="V7" s="706">
        <f t="shared" si="3"/>
        <v>591.41372204599395</v>
      </c>
      <c r="W7" s="974">
        <f t="shared" si="3"/>
        <v>630.86746537756903</v>
      </c>
      <c r="X7" s="974">
        <f t="shared" si="3"/>
        <v>525.60176774942533</v>
      </c>
      <c r="Y7" s="974">
        <f t="shared" si="3"/>
        <v>527.97993421401225</v>
      </c>
      <c r="Z7" s="706">
        <f t="shared" si="3"/>
        <v>576.77841731749652</v>
      </c>
      <c r="AA7" s="706">
        <f t="shared" si="3"/>
        <v>659.73831651873797</v>
      </c>
      <c r="AB7" s="706">
        <f t="shared" si="3"/>
        <v>649.72553581065699</v>
      </c>
      <c r="AC7" s="706">
        <f t="shared" si="3"/>
        <v>644.92433153807031</v>
      </c>
      <c r="AD7" s="706">
        <f t="shared" si="3"/>
        <v>620.20811927264356</v>
      </c>
      <c r="AE7" s="706">
        <f t="shared" si="3"/>
        <v>630.28821065420118</v>
      </c>
      <c r="AF7" s="706">
        <f t="shared" si="3"/>
        <v>643.47354257775851</v>
      </c>
    </row>
    <row r="8" spans="2:33">
      <c r="B8" s="5" t="s">
        <v>8</v>
      </c>
      <c r="C8" s="6" t="s">
        <v>5</v>
      </c>
      <c r="D8" s="816">
        <v>455</v>
      </c>
      <c r="E8" s="1043">
        <v>540</v>
      </c>
      <c r="F8" s="1043">
        <v>595</v>
      </c>
      <c r="G8" s="1043">
        <v>610</v>
      </c>
      <c r="H8" s="1141">
        <v>545</v>
      </c>
      <c r="I8" s="1141">
        <v>485</v>
      </c>
      <c r="J8" s="1043">
        <v>527.5</v>
      </c>
      <c r="K8" s="1043">
        <v>620</v>
      </c>
      <c r="L8" s="3">
        <v>612.5</v>
      </c>
      <c r="M8" s="3">
        <v>602.5</v>
      </c>
      <c r="N8" s="3">
        <v>575</v>
      </c>
      <c r="O8" s="3">
        <v>580</v>
      </c>
      <c r="P8" s="3">
        <v>587.5</v>
      </c>
      <c r="T8" t="s">
        <v>210</v>
      </c>
      <c r="U8" s="706">
        <f>E95+(SUM('Revenue (Baht)'!E4:E6)/(Delivery!E95*Price!E19))</f>
        <v>420.20844344378594</v>
      </c>
      <c r="V8" s="706">
        <f>F95+(SUM('Revenue (Baht)'!F4:F6)/(Delivery!F95*Price!F19))</f>
        <v>422.2550506887826</v>
      </c>
      <c r="W8" s="706">
        <f>G95+(SUM('Revenue (Baht)'!G4:G6)/(Delivery!G95*Price!G19))</f>
        <v>418.59281127110165</v>
      </c>
      <c r="X8" s="706">
        <f t="shared" ref="X8:AF8" si="4">H95</f>
        <v>442.47837407906258</v>
      </c>
      <c r="Y8" s="706">
        <f t="shared" si="4"/>
        <v>440.71164807778246</v>
      </c>
      <c r="Z8" s="706">
        <f t="shared" si="4"/>
        <v>440.28394872879903</v>
      </c>
      <c r="AA8" s="706">
        <f t="shared" si="4"/>
        <v>383.76164746012694</v>
      </c>
      <c r="AB8" s="706">
        <f t="shared" si="4"/>
        <v>385.84467887548249</v>
      </c>
      <c r="AC8" s="706">
        <f t="shared" si="4"/>
        <v>392.23790052932009</v>
      </c>
      <c r="AD8" s="706">
        <f t="shared" si="4"/>
        <v>398.29533595955655</v>
      </c>
      <c r="AE8" s="706">
        <f t="shared" si="4"/>
        <v>401.78228858348729</v>
      </c>
      <c r="AF8" s="706">
        <f t="shared" si="4"/>
        <v>401.79398753009963</v>
      </c>
    </row>
    <row r="9" spans="2:33">
      <c r="B9" s="5" t="s">
        <v>9</v>
      </c>
      <c r="C9" s="6" t="s">
        <v>5</v>
      </c>
      <c r="D9" s="816">
        <v>450</v>
      </c>
      <c r="E9" s="1044">
        <v>550</v>
      </c>
      <c r="F9" s="1044">
        <v>605</v>
      </c>
      <c r="G9" s="1044">
        <v>625</v>
      </c>
      <c r="H9" s="1044">
        <v>560</v>
      </c>
      <c r="I9" s="816">
        <v>495</v>
      </c>
      <c r="J9" s="1044">
        <v>530</v>
      </c>
      <c r="K9" s="1043">
        <v>620</v>
      </c>
      <c r="L9" s="3">
        <v>610</v>
      </c>
      <c r="M9" s="3">
        <v>600</v>
      </c>
      <c r="N9" s="3">
        <v>575</v>
      </c>
      <c r="O9" s="3">
        <v>580</v>
      </c>
      <c r="P9" s="3">
        <v>587.5</v>
      </c>
      <c r="T9" t="s">
        <v>71</v>
      </c>
      <c r="U9" s="706">
        <f t="shared" ref="U9:AF9" si="5">E144</f>
        <v>498.54906993638735</v>
      </c>
      <c r="V9" s="706">
        <f t="shared" si="5"/>
        <v>550.74076617443177</v>
      </c>
      <c r="W9" s="974">
        <f t="shared" si="5"/>
        <v>578.06406251941507</v>
      </c>
      <c r="X9" s="974">
        <f t="shared" si="5"/>
        <v>558.0893579802713</v>
      </c>
      <c r="Y9" s="974">
        <f t="shared" si="5"/>
        <v>587.95363107809203</v>
      </c>
      <c r="Z9" s="706">
        <f t="shared" si="5"/>
        <v>582.52418813677627</v>
      </c>
      <c r="AA9" s="706">
        <f t="shared" si="5"/>
        <v>620.26162578243475</v>
      </c>
      <c r="AB9" s="706">
        <f t="shared" si="5"/>
        <v>615.16186184077071</v>
      </c>
      <c r="AC9" s="706">
        <f t="shared" si="5"/>
        <v>605.53615798423516</v>
      </c>
      <c r="AD9" s="706">
        <f t="shared" si="5"/>
        <v>601.99492814363009</v>
      </c>
      <c r="AE9" s="706">
        <f t="shared" si="5"/>
        <v>596.46685944171043</v>
      </c>
      <c r="AF9" s="706">
        <f t="shared" si="5"/>
        <v>595.26447526987874</v>
      </c>
    </row>
    <row r="10" spans="2:33">
      <c r="B10" s="5" t="s">
        <v>10</v>
      </c>
      <c r="C10" s="6" t="s">
        <v>5</v>
      </c>
      <c r="D10" s="816">
        <v>460</v>
      </c>
      <c r="E10" s="1044">
        <v>530</v>
      </c>
      <c r="F10" s="1044">
        <v>585</v>
      </c>
      <c r="G10" s="1044">
        <v>595</v>
      </c>
      <c r="H10" s="816">
        <v>530</v>
      </c>
      <c r="I10" s="816">
        <v>475</v>
      </c>
      <c r="J10" s="1044">
        <v>525</v>
      </c>
      <c r="K10" s="1043">
        <v>620</v>
      </c>
      <c r="L10" s="3">
        <v>615</v>
      </c>
      <c r="M10" s="3">
        <v>605</v>
      </c>
      <c r="N10" s="3">
        <v>575</v>
      </c>
      <c r="O10" s="3">
        <v>580</v>
      </c>
      <c r="P10" s="3">
        <v>587.5</v>
      </c>
      <c r="T10" t="s">
        <v>79</v>
      </c>
      <c r="U10" s="706">
        <f t="shared" ref="U10:AF10" si="6">E148</f>
        <v>413.28129999999999</v>
      </c>
      <c r="V10" s="706">
        <f t="shared" si="6"/>
        <v>464.63160000000005</v>
      </c>
      <c r="W10" s="974">
        <f t="shared" si="6"/>
        <v>493.39670000000001</v>
      </c>
      <c r="X10" s="974">
        <f t="shared" si="6"/>
        <v>471.10709999999995</v>
      </c>
      <c r="Y10" s="974">
        <f t="shared" si="6"/>
        <v>502.15129999999999</v>
      </c>
      <c r="Z10" s="706">
        <f t="shared" si="6"/>
        <v>543.92049999999995</v>
      </c>
      <c r="AA10" s="706">
        <f t="shared" si="6"/>
        <v>537.04999999999995</v>
      </c>
      <c r="AB10" s="706">
        <f t="shared" si="6"/>
        <v>532.82000000000005</v>
      </c>
      <c r="AC10" s="706">
        <f t="shared" si="6"/>
        <v>521.75</v>
      </c>
      <c r="AD10" s="706">
        <f t="shared" si="6"/>
        <v>520.58000000000004</v>
      </c>
      <c r="AE10" s="706">
        <f t="shared" si="6"/>
        <v>512.57000000000005</v>
      </c>
      <c r="AF10" s="706">
        <f t="shared" si="6"/>
        <v>513.02</v>
      </c>
    </row>
    <row r="11" spans="2:33">
      <c r="B11" s="5" t="s">
        <v>11</v>
      </c>
      <c r="C11" s="6" t="s">
        <v>5</v>
      </c>
      <c r="D11" s="816">
        <v>1068.75</v>
      </c>
      <c r="E11" s="1043">
        <v>1061.25</v>
      </c>
      <c r="F11" s="1043">
        <v>1088.75</v>
      </c>
      <c r="G11" s="1043">
        <v>1285.625</v>
      </c>
      <c r="H11" s="1141">
        <v>1283</v>
      </c>
      <c r="I11" s="1141">
        <v>1167.5</v>
      </c>
      <c r="J11" s="1291">
        <v>1121.25</v>
      </c>
      <c r="K11" s="11">
        <v>1088</v>
      </c>
      <c r="L11" s="11">
        <v>1070</v>
      </c>
      <c r="M11" s="11">
        <v>1053</v>
      </c>
      <c r="N11" s="11">
        <v>1068</v>
      </c>
      <c r="O11" s="11">
        <v>1097</v>
      </c>
      <c r="P11" s="11">
        <v>1080</v>
      </c>
    </row>
    <row r="12" spans="2:33">
      <c r="B12" s="5" t="s">
        <v>12</v>
      </c>
      <c r="C12" s="6" t="s">
        <v>5</v>
      </c>
      <c r="D12" s="816">
        <v>1418.75</v>
      </c>
      <c r="E12" s="1043">
        <v>1443.75</v>
      </c>
      <c r="F12" s="1043">
        <v>1475</v>
      </c>
      <c r="G12" s="1043">
        <v>1680</v>
      </c>
      <c r="H12" s="1141">
        <v>1690</v>
      </c>
      <c r="I12" s="1141">
        <v>1521.25</v>
      </c>
      <c r="J12" s="1291">
        <v>1408.75</v>
      </c>
      <c r="K12" s="11">
        <v>1381</v>
      </c>
      <c r="L12" s="11">
        <v>1367</v>
      </c>
      <c r="M12" s="11">
        <v>1370</v>
      </c>
      <c r="N12" s="11">
        <v>1376</v>
      </c>
      <c r="O12" s="11">
        <v>1401</v>
      </c>
      <c r="P12" s="11">
        <v>1390</v>
      </c>
      <c r="V12" s="706"/>
      <c r="W12" s="706"/>
      <c r="X12" s="706"/>
      <c r="Y12" s="706"/>
      <c r="Z12" s="706"/>
      <c r="AA12" s="706"/>
      <c r="AB12" s="706"/>
      <c r="AC12" s="706"/>
      <c r="AD12" s="706"/>
      <c r="AE12" s="706"/>
      <c r="AF12" s="706"/>
      <c r="AG12" s="706"/>
    </row>
    <row r="13" spans="2:33">
      <c r="B13" s="5" t="s">
        <v>13</v>
      </c>
      <c r="C13" s="6" t="s">
        <v>5</v>
      </c>
      <c r="D13" s="816">
        <v>1063.75</v>
      </c>
      <c r="E13" s="1043">
        <v>1060</v>
      </c>
      <c r="F13" s="1043">
        <v>1096.25</v>
      </c>
      <c r="G13" s="1043">
        <v>1281.25</v>
      </c>
      <c r="H13" s="1141">
        <v>1274</v>
      </c>
      <c r="I13" s="1141">
        <v>1160</v>
      </c>
      <c r="J13" s="1291">
        <v>1120</v>
      </c>
      <c r="K13" s="11">
        <v>1092</v>
      </c>
      <c r="L13" s="11">
        <v>1082</v>
      </c>
      <c r="M13" s="11">
        <v>1075</v>
      </c>
      <c r="N13" s="11">
        <v>1085</v>
      </c>
      <c r="O13" s="11">
        <v>1123</v>
      </c>
      <c r="P13" s="11">
        <v>1101</v>
      </c>
      <c r="S13" t="s">
        <v>211</v>
      </c>
      <c r="T13" t="s">
        <v>0</v>
      </c>
      <c r="V13" s="706"/>
      <c r="W13" s="706"/>
      <c r="X13" s="706"/>
      <c r="Y13" s="706"/>
      <c r="Z13" s="706"/>
      <c r="AA13" s="706"/>
      <c r="AB13" s="706"/>
      <c r="AC13" s="706"/>
      <c r="AD13" s="706"/>
      <c r="AE13" s="706"/>
      <c r="AF13" s="706"/>
      <c r="AG13" s="706"/>
    </row>
    <row r="14" spans="2:33">
      <c r="B14" s="5" t="s">
        <v>14</v>
      </c>
      <c r="C14" s="6" t="s">
        <v>5</v>
      </c>
      <c r="D14" s="816">
        <v>1266.875</v>
      </c>
      <c r="E14" s="1043">
        <v>1235</v>
      </c>
      <c r="F14" s="1043">
        <v>1339.6875</v>
      </c>
      <c r="G14" s="1043">
        <v>1520</v>
      </c>
      <c r="H14" s="1141">
        <v>1427.5</v>
      </c>
      <c r="I14" s="1141">
        <v>1316.25</v>
      </c>
      <c r="J14" s="1291">
        <v>1265</v>
      </c>
      <c r="K14" s="11">
        <v>1208</v>
      </c>
      <c r="L14" s="11">
        <v>1165</v>
      </c>
      <c r="M14" s="11">
        <v>1133</v>
      </c>
      <c r="N14" s="11">
        <v>1140</v>
      </c>
      <c r="O14" s="11">
        <v>1173</v>
      </c>
      <c r="P14" s="11">
        <v>1165</v>
      </c>
      <c r="T14" t="s">
        <v>208</v>
      </c>
      <c r="U14" s="969">
        <f>U3*Fx!E26/1000</f>
        <v>12.694303739852797</v>
      </c>
      <c r="V14" s="969">
        <f>V3*Fx!F26/1000</f>
        <v>12.684647779064239</v>
      </c>
      <c r="W14" s="969">
        <f>W3*Fx!G26/1000</f>
        <v>13.343850526782829</v>
      </c>
      <c r="X14" s="969">
        <f>X3*Fx!H26/1000</f>
        <v>15.622196888695694</v>
      </c>
      <c r="Y14" s="969">
        <f>Y3*Fx!I26/1000</f>
        <v>15.559751702880128</v>
      </c>
      <c r="Z14" s="969">
        <f>Z3*Fx!J26/1000</f>
        <v>14.337014699681513</v>
      </c>
      <c r="AA14" s="969">
        <f>AA3*Fx!K26/1000</f>
        <v>13.152687969085077</v>
      </c>
      <c r="AB14" s="969">
        <f>AB3*Fx!L26/1000</f>
        <v>12.822409040992316</v>
      </c>
      <c r="AC14" s="969">
        <f>AC3*Fx!M26/1000</f>
        <v>12.691882580792603</v>
      </c>
      <c r="AD14" s="969">
        <f>AD3*Fx!N26/1000</f>
        <v>12.618207772333431</v>
      </c>
      <c r="AE14" s="969">
        <f>AE3*Fx!O26/1000</f>
        <v>12.703923518252331</v>
      </c>
      <c r="AF14" s="969">
        <f>AF3*Fx!P26/1000</f>
        <v>13.022705397082596</v>
      </c>
      <c r="AG14" s="969"/>
    </row>
    <row r="15" spans="2:33">
      <c r="B15" s="12" t="s">
        <v>15</v>
      </c>
      <c r="C15" s="13" t="s">
        <v>5</v>
      </c>
      <c r="D15" s="817">
        <v>923.125</v>
      </c>
      <c r="E15" s="15">
        <v>913.125</v>
      </c>
      <c r="F15" s="15">
        <v>938.75</v>
      </c>
      <c r="G15" s="15">
        <v>1107.5</v>
      </c>
      <c r="H15" s="1142">
        <v>1041.5</v>
      </c>
      <c r="I15" s="15">
        <v>1045.625</v>
      </c>
      <c r="J15" s="16">
        <v>940.625</v>
      </c>
      <c r="K15" s="1293">
        <v>915.05</v>
      </c>
      <c r="L15" s="1293">
        <v>911.82</v>
      </c>
      <c r="M15" s="1293">
        <v>891.75</v>
      </c>
      <c r="N15" s="1293">
        <v>881.58</v>
      </c>
      <c r="O15" s="1293">
        <v>883.57</v>
      </c>
      <c r="P15" s="1293">
        <v>873.02</v>
      </c>
      <c r="T15" t="s">
        <v>640</v>
      </c>
      <c r="U15" s="969">
        <f>U4*Fx!E27/1000</f>
        <v>19.578196018226052</v>
      </c>
      <c r="V15" s="969">
        <f>V4*Fx!F27/1000</f>
        <v>20.942839745289184</v>
      </c>
      <c r="W15" s="969">
        <f>W4*Fx!G27/1000</f>
        <v>20.796050141192318</v>
      </c>
      <c r="X15" s="969">
        <f>X4*Fx!H27/1000</f>
        <v>19.07714497496109</v>
      </c>
      <c r="Y15" s="969">
        <f>Y4*Fx!I27/1000</f>
        <v>17.364205232400266</v>
      </c>
      <c r="Z15" s="969">
        <f>Z4*Fx!J27/1000</f>
        <v>18.79989503714398</v>
      </c>
      <c r="AA15" s="969">
        <f>AA4*Fx!K27/1000</f>
        <v>20.222898952157198</v>
      </c>
      <c r="AB15" s="969">
        <f>AB4*Fx!L27/1000</f>
        <v>20.031081681818186</v>
      </c>
      <c r="AC15" s="969">
        <f>AC4*Fx!M27/1000</f>
        <v>19.87023475209504</v>
      </c>
      <c r="AD15" s="969">
        <f>AD4*Fx!N27/1000</f>
        <v>18.939876000000002</v>
      </c>
      <c r="AE15" s="969">
        <f>AE4*Fx!O27/1000</f>
        <v>19.566339681818182</v>
      </c>
      <c r="AF15" s="969">
        <f>AF4*Fx!P27/1000</f>
        <v>19.965441681818184</v>
      </c>
      <c r="AG15" s="969"/>
    </row>
    <row r="16" spans="2:33">
      <c r="B16" s="12" t="s">
        <v>16</v>
      </c>
      <c r="C16" s="13" t="s">
        <v>5</v>
      </c>
      <c r="D16" s="818">
        <v>103.55955555555556</v>
      </c>
      <c r="E16" s="1045">
        <v>92.321400000000011</v>
      </c>
      <c r="F16" s="1045">
        <v>38.731333333333332</v>
      </c>
      <c r="G16" s="18">
        <v>35.273260869565199</v>
      </c>
      <c r="H16" s="819">
        <v>51.371399999999994</v>
      </c>
      <c r="I16" s="18">
        <v>60.160421052631577</v>
      </c>
      <c r="J16" s="18">
        <v>47.714272727272736</v>
      </c>
      <c r="K16" s="1294">
        <v>50.780020274556222</v>
      </c>
      <c r="L16" s="1294">
        <v>58.034308885207103</v>
      </c>
      <c r="M16" s="1294">
        <v>61.661453190532548</v>
      </c>
      <c r="N16" s="1294">
        <v>68.915741801183444</v>
      </c>
      <c r="O16" s="1294">
        <v>76.170030411834333</v>
      </c>
      <c r="P16" s="1294">
        <v>87.051463327810666</v>
      </c>
      <c r="T16" t="s">
        <v>639</v>
      </c>
      <c r="U16" s="969">
        <f>U5*Fx!E28/1000</f>
        <v>13.37447279579</v>
      </c>
      <c r="V16" s="969">
        <f>V5*Fx!F28/1000</f>
        <v>13.08172162</v>
      </c>
      <c r="W16" s="969">
        <f>W5*Fx!G28/1000</f>
        <v>14.38233803208</v>
      </c>
      <c r="X16" s="969">
        <f>X5*Fx!H28/1000</f>
        <v>16.305693199999997</v>
      </c>
      <c r="Y16" s="969">
        <f>Y5*Fx!I28/1000</f>
        <v>15.432251555000001</v>
      </c>
      <c r="Z16" s="969">
        <f>Z5*Fx!J28/1000</f>
        <v>14.470256190599999</v>
      </c>
      <c r="AA16" s="969">
        <f>AA5*Fx!K28/1000</f>
        <v>13.35525</v>
      </c>
      <c r="AB16" s="969">
        <f>AB5*Fx!L28/1000</f>
        <v>12.850800000000001</v>
      </c>
      <c r="AC16" s="969">
        <f>AC5*Fx!M28/1000</f>
        <v>12.47025</v>
      </c>
      <c r="AD16" s="969">
        <f>AD5*Fx!N28/1000</f>
        <v>12.187050000000001</v>
      </c>
      <c r="AE16" s="969">
        <f>AE5*Fx!O28/1000</f>
        <v>12.249000000000001</v>
      </c>
      <c r="AF16" s="969">
        <f>AF5*Fx!P28/1000</f>
        <v>12.54105</v>
      </c>
      <c r="AG16" s="969"/>
    </row>
    <row r="17" spans="1:33">
      <c r="B17" s="12" t="s">
        <v>17</v>
      </c>
      <c r="C17" s="13" t="s">
        <v>5</v>
      </c>
      <c r="D17" s="818">
        <v>75.90379999999999</v>
      </c>
      <c r="E17" s="1046">
        <v>96.385419354838675</v>
      </c>
      <c r="F17" s="1046">
        <v>59.152492857142839</v>
      </c>
      <c r="G17" s="1047">
        <v>29.758926666666682</v>
      </c>
      <c r="H17" s="1143">
        <v>39.270253333333322</v>
      </c>
      <c r="I17" s="1047">
        <v>48.181706451612875</v>
      </c>
      <c r="J17" s="1292">
        <v>49.538273333333315</v>
      </c>
      <c r="K17" s="21">
        <v>40.624016219644979</v>
      </c>
      <c r="L17" s="21">
        <v>46.427447108165687</v>
      </c>
      <c r="M17" s="21">
        <v>49.329162552426041</v>
      </c>
      <c r="N17" s="21">
        <v>55.132593440946756</v>
      </c>
      <c r="O17" s="21">
        <v>60.936024329467472</v>
      </c>
      <c r="P17" s="21">
        <v>69.641170662248541</v>
      </c>
      <c r="T17" t="s">
        <v>209</v>
      </c>
      <c r="U17" s="969">
        <f>U7*Fx!E28/1000</f>
        <v>18.899099999999997</v>
      </c>
      <c r="V17" s="969">
        <f>V7*Fx!F28/1000</f>
        <v>17.73152964889417</v>
      </c>
      <c r="W17" s="969">
        <f>W7*Fx!G28/1000</f>
        <v>19.420371707196932</v>
      </c>
      <c r="X17" s="969">
        <f>X7*Fx!H28/1000</f>
        <v>16.468680188892744</v>
      </c>
      <c r="Y17" s="969">
        <f>Y7*Fx!I28/1000</f>
        <v>16.523448829188041</v>
      </c>
      <c r="Z17" s="969">
        <f>Z7*Fx!J28/1000</f>
        <v>18.132183105210139</v>
      </c>
      <c r="AA17" s="969">
        <f>AA7*Fx!K28/1000</f>
        <v>19.792149495562139</v>
      </c>
      <c r="AB17" s="969">
        <f>AB7*Fx!L28/1000</f>
        <v>19.49176607431971</v>
      </c>
      <c r="AC17" s="969">
        <f>AC7*Fx!M28/1000</f>
        <v>19.34772994614211</v>
      </c>
      <c r="AD17" s="969">
        <f>AD7*Fx!N28/1000</f>
        <v>18.606243578179306</v>
      </c>
      <c r="AE17" s="969">
        <f>AE7*Fx!O28/1000</f>
        <v>18.908646319626033</v>
      </c>
      <c r="AF17" s="969">
        <f>AF7*Fx!P28/1000</f>
        <v>19.304206277332757</v>
      </c>
      <c r="AG17" s="969"/>
    </row>
    <row r="18" spans="1:33">
      <c r="B18" s="12" t="s">
        <v>18</v>
      </c>
      <c r="C18" s="13" t="s">
        <v>5</v>
      </c>
      <c r="D18" s="816">
        <v>428.57401184440261</v>
      </c>
      <c r="E18" s="15">
        <v>431.36405214949008</v>
      </c>
      <c r="F18" s="15">
        <v>432.90561186494176</v>
      </c>
      <c r="G18" s="15">
        <v>429.26330841774194</v>
      </c>
      <c r="H18" s="1142">
        <v>417.37731603835635</v>
      </c>
      <c r="I18" s="15">
        <v>425.6450851411854</v>
      </c>
      <c r="J18" s="16">
        <v>426.41751025630259</v>
      </c>
      <c r="K18" s="9">
        <v>423.89554528384377</v>
      </c>
      <c r="L18" s="9">
        <v>427.40258681347331</v>
      </c>
      <c r="M18" s="9">
        <v>430.93371717799522</v>
      </c>
      <c r="N18" s="9">
        <v>434.24540760779729</v>
      </c>
      <c r="O18" s="9">
        <v>437.87673347803781</v>
      </c>
      <c r="P18" s="9">
        <v>437.87673347803781</v>
      </c>
      <c r="T18" t="s">
        <v>210</v>
      </c>
      <c r="U18" s="969">
        <f>U8*Fx!E29/1000</f>
        <v>12.608732533129896</v>
      </c>
      <c r="V18" s="969">
        <f>V8*Fx!F29/1000</f>
        <v>12.659882027730804</v>
      </c>
      <c r="W18" s="969">
        <f>W8*Fx!G29/1000</f>
        <v>12.885793665045085</v>
      </c>
      <c r="X18" s="969">
        <f>X8*Fx!H29/1000</f>
        <v>13.864174895019266</v>
      </c>
      <c r="Y18" s="969">
        <f>Y8*Fx!I29/1000</f>
        <v>13.79233545358305</v>
      </c>
      <c r="Z18" s="969">
        <f>Z8*Fx!J29/1000</f>
        <v>13.841206496187256</v>
      </c>
      <c r="AA18" s="969">
        <f>AA8*Fx!K29/1000</f>
        <v>11.512849423803807</v>
      </c>
      <c r="AB18" s="969">
        <f>AB8*Fx!L29/1000</f>
        <v>11.575340366264474</v>
      </c>
      <c r="AC18" s="969">
        <f>AC8*Fx!M29/1000</f>
        <v>11.767137015879602</v>
      </c>
      <c r="AD18" s="969">
        <f>AD8*Fx!N29/1000</f>
        <v>11.948860078786696</v>
      </c>
      <c r="AE18" s="969">
        <f>AE8*Fx!O29/1000</f>
        <v>12.053468657504618</v>
      </c>
      <c r="AF18" s="969">
        <f>AF8*Fx!P29/1000</f>
        <v>12.053819625902989</v>
      </c>
      <c r="AG18" s="969"/>
    </row>
    <row r="19" spans="1:33">
      <c r="B19" s="12" t="s">
        <v>605</v>
      </c>
      <c r="C19" s="22" t="s">
        <v>20</v>
      </c>
      <c r="D19" s="819">
        <v>30.391203225806454</v>
      </c>
      <c r="E19" s="1047">
        <v>30.194945161290324</v>
      </c>
      <c r="F19" s="1047">
        <v>30.172657142857133</v>
      </c>
      <c r="G19" s="1047">
        <v>30.465222580645165</v>
      </c>
      <c r="H19" s="1143">
        <v>31.329240000000009</v>
      </c>
      <c r="I19" s="1143">
        <v>31.444609677419379</v>
      </c>
      <c r="J19" s="1292">
        <v>31.465139999999998</v>
      </c>
      <c r="K19" s="24">
        <v>31.655439999999999</v>
      </c>
      <c r="L19" s="24">
        <v>31.73</v>
      </c>
      <c r="M19" s="24">
        <v>31.47</v>
      </c>
      <c r="N19" s="24">
        <v>31.23</v>
      </c>
      <c r="O19" s="24">
        <v>31.23</v>
      </c>
      <c r="P19" s="24">
        <v>31.23</v>
      </c>
      <c r="T19" t="s">
        <v>71</v>
      </c>
      <c r="U19" s="969">
        <f>U9*Fx!E30/1000</f>
        <v>14.959413537604245</v>
      </c>
      <c r="V19" s="969">
        <f>V9*Fx!F30/1000</f>
        <v>16.512089355135345</v>
      </c>
      <c r="W19" s="969">
        <f>W9*Fx!G30/1000</f>
        <v>17.794892874972664</v>
      </c>
      <c r="X19" s="969">
        <f>X9*Fx!H30/1000</f>
        <v>17.486613853595838</v>
      </c>
      <c r="Y19" s="969">
        <f>Y9*Fx!I30/1000</f>
        <v>18.400361656767537</v>
      </c>
      <c r="Z19" s="969">
        <f>Z9*Fx!J30/1000</f>
        <v>18.312812902455835</v>
      </c>
      <c r="AA19" s="969">
        <f>AA9*Fx!K30/1000</f>
        <v>18.607848773473044</v>
      </c>
      <c r="AB19" s="969">
        <f>AB9*Fx!L30/1000</f>
        <v>18.454855855223123</v>
      </c>
      <c r="AC19" s="969">
        <f>AC9*Fx!M30/1000</f>
        <v>18.166084739527054</v>
      </c>
      <c r="AD19" s="969">
        <f>AD9*Fx!N30/1000</f>
        <v>18.059847844308905</v>
      </c>
      <c r="AE19" s="969">
        <f>AE9*Fx!O30/1000</f>
        <v>17.894005783251313</v>
      </c>
      <c r="AF19" s="969">
        <f>AF9*Fx!P30/1000</f>
        <v>17.857934258096364</v>
      </c>
      <c r="AG19" s="969"/>
    </row>
    <row r="20" spans="1:33">
      <c r="B20" s="849" t="s">
        <v>606</v>
      </c>
      <c r="C20" s="28"/>
      <c r="D20" s="850">
        <v>30.096499999999999</v>
      </c>
      <c r="E20" s="1048">
        <v>30.0059</v>
      </c>
      <c r="F20" s="1048">
        <v>29.9816</v>
      </c>
      <c r="G20" s="1048">
        <v>30.7836</v>
      </c>
      <c r="H20" s="850">
        <f>Fx!H26</f>
        <v>31.332999999999998</v>
      </c>
      <c r="I20" s="850">
        <f>Fx!I26</f>
        <v>31.2956</v>
      </c>
      <c r="J20" s="1048">
        <f>Fx!J26</f>
        <v>31.437000000000001</v>
      </c>
      <c r="K20" s="850">
        <f>Fx!K26</f>
        <v>30</v>
      </c>
      <c r="L20" s="850">
        <f>Fx!L26</f>
        <v>30</v>
      </c>
      <c r="M20" s="850">
        <f>Fx!M26</f>
        <v>30</v>
      </c>
      <c r="N20" s="850">
        <f>Fx!N26</f>
        <v>30</v>
      </c>
      <c r="O20" s="850">
        <f>Fx!O26</f>
        <v>30</v>
      </c>
      <c r="P20" s="850">
        <f>Fx!P26</f>
        <v>30</v>
      </c>
      <c r="T20" t="s">
        <v>79</v>
      </c>
      <c r="U20" s="969">
        <f>U10*Fx!E31/1000</f>
        <v>12.40087735967</v>
      </c>
      <c r="V20" s="969">
        <f>V10*Fx!F31/1000</f>
        <v>13.930398778560003</v>
      </c>
      <c r="W20" s="969">
        <f>W10*Fx!G31/1000</f>
        <v>15.18852665412</v>
      </c>
      <c r="X20" s="969">
        <f>X10*Fx!H31/1000</f>
        <v>14.761198764299998</v>
      </c>
      <c r="Y20" s="969">
        <f>Y10*Fx!I31/1000</f>
        <v>15.71512622428</v>
      </c>
      <c r="Z20" s="969">
        <f>Z10*Fx!J31/1000</f>
        <v>17.099228758499997</v>
      </c>
      <c r="AA20" s="969">
        <f>AA10*Fx!K31/1000</f>
        <v>16.111499999999999</v>
      </c>
      <c r="AB20" s="969">
        <f>AB10*Fx!L31/1000</f>
        <v>15.984600000000002</v>
      </c>
      <c r="AC20" s="969">
        <f>AC10*Fx!M31/1000</f>
        <v>15.6525</v>
      </c>
      <c r="AD20" s="969">
        <f>AD10*Fx!N31/1000</f>
        <v>15.617400000000002</v>
      </c>
      <c r="AE20" s="969">
        <f>AE10*Fx!O31/1000</f>
        <v>15.377100000000002</v>
      </c>
      <c r="AF20" s="969">
        <f>AF10*Fx!P31/1000</f>
        <v>15.390599999999999</v>
      </c>
      <c r="AG20" s="969"/>
    </row>
    <row r="21" spans="1:33">
      <c r="B21" s="1015"/>
      <c r="C21" s="223"/>
      <c r="D21" s="1016"/>
      <c r="E21" s="1016"/>
      <c r="F21" s="1016"/>
      <c r="G21" s="1016"/>
      <c r="H21" s="1016"/>
      <c r="I21" s="1016"/>
      <c r="J21" s="1016"/>
      <c r="K21" s="1016"/>
      <c r="L21" s="1016"/>
      <c r="M21" s="1016"/>
      <c r="N21" s="1016"/>
      <c r="O21" s="1016"/>
      <c r="P21" s="1016"/>
      <c r="U21" s="969"/>
      <c r="V21" s="969"/>
      <c r="W21" s="969"/>
      <c r="X21" s="969"/>
      <c r="Y21" s="969"/>
      <c r="Z21" s="969"/>
      <c r="AA21" s="969"/>
      <c r="AB21" s="969"/>
      <c r="AC21" s="969"/>
      <c r="AD21" s="969"/>
      <c r="AE21" s="969"/>
      <c r="AF21" s="969"/>
      <c r="AG21" s="969"/>
    </row>
    <row r="22" spans="1:33">
      <c r="B22" s="1015"/>
      <c r="C22" s="223"/>
      <c r="D22" s="1016"/>
      <c r="E22" s="1016"/>
      <c r="F22" s="1016"/>
      <c r="G22" s="1016"/>
      <c r="H22" s="1016"/>
      <c r="I22" s="1016"/>
      <c r="J22" s="1016"/>
      <c r="K22" s="1016"/>
      <c r="L22" s="1016"/>
      <c r="M22" s="1016"/>
      <c r="N22" s="1016"/>
      <c r="O22" s="1016"/>
      <c r="P22" s="1016"/>
      <c r="U22" s="969"/>
      <c r="V22" s="969"/>
      <c r="W22" s="969"/>
      <c r="X22" s="969"/>
      <c r="Y22" s="969"/>
      <c r="Z22" s="969"/>
      <c r="AA22" s="969"/>
      <c r="AB22" s="969"/>
      <c r="AC22" s="969"/>
      <c r="AD22" s="969"/>
      <c r="AE22" s="969"/>
      <c r="AF22" s="969"/>
      <c r="AG22" s="969"/>
    </row>
    <row r="25" spans="1:33" ht="21.65" customHeight="1" thickBot="1">
      <c r="A25" s="869" t="s">
        <v>0</v>
      </c>
      <c r="B25" s="841" t="s">
        <v>23</v>
      </c>
      <c r="C25" s="1251" t="s">
        <v>22</v>
      </c>
      <c r="D25" s="842" t="s">
        <v>578</v>
      </c>
      <c r="E25" s="842" t="s">
        <v>579</v>
      </c>
      <c r="F25" s="842" t="s">
        <v>580</v>
      </c>
      <c r="G25" s="842" t="s">
        <v>581</v>
      </c>
      <c r="H25" s="842" t="s">
        <v>582</v>
      </c>
      <c r="I25" s="842" t="s">
        <v>583</v>
      </c>
      <c r="J25" s="842" t="s">
        <v>584</v>
      </c>
      <c r="K25" s="842" t="s">
        <v>585</v>
      </c>
      <c r="L25" s="842" t="s">
        <v>586</v>
      </c>
      <c r="M25" s="842" t="s">
        <v>587</v>
      </c>
      <c r="N25" s="842" t="s">
        <v>588</v>
      </c>
      <c r="O25" s="842" t="s">
        <v>589</v>
      </c>
      <c r="P25" s="847" t="s">
        <v>590</v>
      </c>
    </row>
    <row r="26" spans="1:33" ht="18.649999999999999" customHeight="1">
      <c r="A26" s="866" t="s">
        <v>208</v>
      </c>
      <c r="B26" s="1249" t="s">
        <v>25</v>
      </c>
      <c r="C26" s="1253" t="s">
        <v>86</v>
      </c>
      <c r="D26" s="1250">
        <v>374.32870000000003</v>
      </c>
      <c r="E26" s="1182">
        <v>412.6574</v>
      </c>
      <c r="F26" s="1182">
        <v>412.48039999999997</v>
      </c>
      <c r="G26" s="1002">
        <v>422.86189999999999</v>
      </c>
      <c r="H26" s="1137">
        <v>486.32589999999999</v>
      </c>
      <c r="I26" s="1232">
        <v>485.54969999999997</v>
      </c>
      <c r="J26" s="1287">
        <v>444.928</v>
      </c>
      <c r="K26" s="690">
        <f t="shared" ref="K26:P26" si="7">ROUND(IF(0.42*(0.336*J11+28)+0.42*(0.314*J13+69)+0.16*(0.344*J12+17)&lt;370,370,0.42*(0.336*J11+28)+0.42*(0.314*J13+69)+0.16*(0.344*J12+17)),4)</f>
        <v>426.93400000000003</v>
      </c>
      <c r="L26" s="690">
        <f t="shared" si="7"/>
        <v>417.02179999999998</v>
      </c>
      <c r="M26" s="690">
        <f t="shared" si="7"/>
        <v>412.3922</v>
      </c>
      <c r="N26" s="690">
        <f>ROUND(IF(0.42*(0.336*M11+28)+0.42*(0.314*M13+69)+0.16*(0.344*M12+17)&lt;370,370,0.42*(0.336*M11+28)+0.42*(0.314*M13+69)+0.16*(0.344*M12+17)),4)</f>
        <v>409.23520000000002</v>
      </c>
      <c r="O26" s="690">
        <f t="shared" si="7"/>
        <v>413.00099999999998</v>
      </c>
      <c r="P26" s="846">
        <f t="shared" si="7"/>
        <v>423.48090000000002</v>
      </c>
      <c r="T26" s="44" t="s">
        <v>208</v>
      </c>
      <c r="U26" s="723"/>
    </row>
    <row r="27" spans="1:33" ht="18.649999999999999" customHeight="1">
      <c r="A27" s="866" t="s">
        <v>208</v>
      </c>
      <c r="B27" s="1249" t="s">
        <v>25</v>
      </c>
      <c r="C27" s="1254" t="s">
        <v>26</v>
      </c>
      <c r="D27" s="1250">
        <v>392.89540352000006</v>
      </c>
      <c r="E27" s="1182">
        <v>433.12520000000001</v>
      </c>
      <c r="F27" s="1182">
        <v>432.93939999999998</v>
      </c>
      <c r="G27" s="1002">
        <v>443.83589999999998</v>
      </c>
      <c r="H27" s="1137">
        <v>510.4477</v>
      </c>
      <c r="I27" s="1232">
        <v>509.63299999999998</v>
      </c>
      <c r="J27" s="1287">
        <v>466.99639999999999</v>
      </c>
      <c r="K27" s="690">
        <f t="shared" ref="K27:P27" si="8">K26*1.0496</f>
        <v>448.10992640000006</v>
      </c>
      <c r="L27" s="690">
        <f t="shared" si="8"/>
        <v>437.70608128000003</v>
      </c>
      <c r="M27" s="690">
        <f t="shared" si="8"/>
        <v>432.84685312000005</v>
      </c>
      <c r="N27" s="690">
        <f t="shared" si="8"/>
        <v>429.53326592000008</v>
      </c>
      <c r="O27" s="690">
        <f t="shared" si="8"/>
        <v>433.48584959999999</v>
      </c>
      <c r="P27" s="846">
        <f t="shared" si="8"/>
        <v>444.48555264000004</v>
      </c>
      <c r="V27" s="43">
        <v>23377</v>
      </c>
      <c r="W27" s="43">
        <v>23408</v>
      </c>
      <c r="X27" s="43">
        <v>23437</v>
      </c>
      <c r="Y27" s="43">
        <v>23468</v>
      </c>
      <c r="Z27" s="43">
        <v>23498</v>
      </c>
      <c r="AA27" s="43">
        <v>23529</v>
      </c>
      <c r="AB27" s="43">
        <v>23559</v>
      </c>
      <c r="AC27" s="43">
        <v>23590</v>
      </c>
      <c r="AD27" s="43">
        <v>23621</v>
      </c>
      <c r="AE27" s="43">
        <v>23651</v>
      </c>
      <c r="AF27" s="43">
        <v>23682</v>
      </c>
      <c r="AG27" s="43">
        <v>23712</v>
      </c>
    </row>
    <row r="28" spans="1:33" ht="18.649999999999999" customHeight="1">
      <c r="A28" s="866" t="s">
        <v>208</v>
      </c>
      <c r="B28" s="1249" t="s">
        <v>25</v>
      </c>
      <c r="C28" s="1255" t="s">
        <v>27</v>
      </c>
      <c r="D28" s="1250">
        <v>381.44720180000002</v>
      </c>
      <c r="E28" s="1182">
        <v>420.45699999999999</v>
      </c>
      <c r="F28" s="1182">
        <v>420.27749999999997</v>
      </c>
      <c r="G28" s="1002">
        <v>430.80439999999999</v>
      </c>
      <c r="H28" s="1137">
        <v>495.15690000000001</v>
      </c>
      <c r="I28" s="1232">
        <v>494.3698</v>
      </c>
      <c r="J28" s="1287">
        <v>453.17939999999999</v>
      </c>
      <c r="K28" s="690">
        <f t="shared" ref="K28:P28" si="9">(K26*1.014)+1.8</f>
        <v>434.71107600000005</v>
      </c>
      <c r="L28" s="690">
        <f t="shared" si="9"/>
        <v>424.66010519999998</v>
      </c>
      <c r="M28" s="690">
        <f t="shared" si="9"/>
        <v>419.9656908</v>
      </c>
      <c r="N28" s="690">
        <f t="shared" si="9"/>
        <v>416.76449280000003</v>
      </c>
      <c r="O28" s="690">
        <f t="shared" si="9"/>
        <v>420.58301399999999</v>
      </c>
      <c r="P28" s="846">
        <f t="shared" si="9"/>
        <v>431.20963260000002</v>
      </c>
      <c r="T28" t="s">
        <v>217</v>
      </c>
      <c r="V28" s="705">
        <f t="shared" ref="V28:AG29" si="10">SUM(E26)</f>
        <v>412.6574</v>
      </c>
      <c r="W28" s="705">
        <f t="shared" si="10"/>
        <v>412.48039999999997</v>
      </c>
      <c r="X28" s="705">
        <f t="shared" si="10"/>
        <v>422.86189999999999</v>
      </c>
      <c r="Y28" s="705">
        <f t="shared" si="10"/>
        <v>486.32589999999999</v>
      </c>
      <c r="Z28" s="705">
        <f t="shared" si="10"/>
        <v>485.54969999999997</v>
      </c>
      <c r="AA28" s="705">
        <f t="shared" si="10"/>
        <v>444.928</v>
      </c>
      <c r="AB28" s="705">
        <f t="shared" si="10"/>
        <v>426.93400000000003</v>
      </c>
      <c r="AC28" s="705">
        <f t="shared" si="10"/>
        <v>417.02179999999998</v>
      </c>
      <c r="AD28" s="705">
        <f t="shared" si="10"/>
        <v>412.3922</v>
      </c>
      <c r="AE28" s="705">
        <f t="shared" si="10"/>
        <v>409.23520000000002</v>
      </c>
      <c r="AF28" s="705">
        <f t="shared" si="10"/>
        <v>413.00099999999998</v>
      </c>
      <c r="AG28" s="705">
        <f t="shared" si="10"/>
        <v>423.48090000000002</v>
      </c>
    </row>
    <row r="29" spans="1:33" ht="29">
      <c r="A29" s="866" t="s">
        <v>208</v>
      </c>
      <c r="B29" s="1249" t="s">
        <v>25</v>
      </c>
      <c r="C29" s="1256" t="s">
        <v>28</v>
      </c>
      <c r="D29" s="1250"/>
      <c r="E29" s="1182">
        <v>446.43459999999999</v>
      </c>
      <c r="F29" s="1182">
        <v>446.25510000000003</v>
      </c>
      <c r="G29" s="1002">
        <v>456.78199999999998</v>
      </c>
      <c r="H29" s="1137">
        <v>521.1345</v>
      </c>
      <c r="I29" s="1232">
        <v>0</v>
      </c>
      <c r="J29" s="1287">
        <v>0</v>
      </c>
      <c r="K29" s="690">
        <f t="shared" ref="K29:P29" si="11">(K26*1.014)+28</f>
        <v>460.91107600000004</v>
      </c>
      <c r="L29" s="690">
        <f t="shared" si="11"/>
        <v>450.86010519999996</v>
      </c>
      <c r="M29" s="690">
        <f t="shared" si="11"/>
        <v>446.16569079999999</v>
      </c>
      <c r="N29" s="690">
        <f t="shared" si="11"/>
        <v>442.96449280000002</v>
      </c>
      <c r="O29" s="690">
        <f t="shared" si="11"/>
        <v>446.78301399999998</v>
      </c>
      <c r="P29" s="846">
        <f t="shared" si="11"/>
        <v>457.40963260000001</v>
      </c>
      <c r="T29" t="s">
        <v>218</v>
      </c>
      <c r="V29" s="705">
        <f t="shared" si="10"/>
        <v>433.12520000000001</v>
      </c>
      <c r="W29" s="705">
        <f t="shared" si="10"/>
        <v>432.93939999999998</v>
      </c>
      <c r="X29" s="705">
        <f t="shared" si="10"/>
        <v>443.83589999999998</v>
      </c>
      <c r="Y29" s="705">
        <f t="shared" si="10"/>
        <v>510.4477</v>
      </c>
      <c r="Z29" s="705">
        <f t="shared" si="10"/>
        <v>509.63299999999998</v>
      </c>
      <c r="AA29" s="705">
        <f t="shared" si="10"/>
        <v>466.99639999999999</v>
      </c>
      <c r="AB29" s="705">
        <f t="shared" si="10"/>
        <v>448.10992640000006</v>
      </c>
      <c r="AC29" s="705">
        <f t="shared" si="10"/>
        <v>437.70608128000003</v>
      </c>
      <c r="AD29" s="705">
        <f t="shared" si="10"/>
        <v>432.84685312000005</v>
      </c>
      <c r="AE29" s="705">
        <f t="shared" si="10"/>
        <v>429.53326592000008</v>
      </c>
      <c r="AF29" s="705">
        <f t="shared" si="10"/>
        <v>433.48584959999999</v>
      </c>
      <c r="AG29" s="705">
        <f t="shared" si="10"/>
        <v>444.48555264000004</v>
      </c>
    </row>
    <row r="30" spans="1:33" ht="29">
      <c r="A30" s="866" t="s">
        <v>208</v>
      </c>
      <c r="B30" s="1249" t="s">
        <v>25</v>
      </c>
      <c r="C30" s="1256" t="s">
        <v>29</v>
      </c>
      <c r="D30" s="1250">
        <v>392.89540352000006</v>
      </c>
      <c r="E30" s="1182">
        <v>433.12520000000001</v>
      </c>
      <c r="F30" s="1182">
        <v>432.93939999999998</v>
      </c>
      <c r="G30" s="1002">
        <v>443.83589999999998</v>
      </c>
      <c r="H30" s="1137">
        <v>510.4477</v>
      </c>
      <c r="I30" s="1232">
        <v>509.63299999999998</v>
      </c>
      <c r="J30" s="1287">
        <v>466.99639999999999</v>
      </c>
      <c r="K30" s="690">
        <f t="shared" ref="K30:P30" si="12">K27</f>
        <v>448.10992640000006</v>
      </c>
      <c r="L30" s="690">
        <f t="shared" si="12"/>
        <v>437.70608128000003</v>
      </c>
      <c r="M30" s="690">
        <f t="shared" si="12"/>
        <v>432.84685312000005</v>
      </c>
      <c r="N30" s="690">
        <f t="shared" si="12"/>
        <v>429.53326592000008</v>
      </c>
      <c r="O30" s="690">
        <f t="shared" si="12"/>
        <v>433.48584959999999</v>
      </c>
      <c r="P30" s="846">
        <f t="shared" si="12"/>
        <v>444.48555264000004</v>
      </c>
      <c r="T30" t="s">
        <v>219</v>
      </c>
      <c r="V30" s="705">
        <f>SUMPRODUCT(E28:E31,Delivery!E28:E31)/SUM(Delivery!E28:E31)</f>
        <v>424.31912684405796</v>
      </c>
      <c r="W30" s="705">
        <f>SUMPRODUCT(F28:F31,Delivery!F28:F31)/SUM(Delivery!F28:F31)</f>
        <v>424.02050659197016</v>
      </c>
      <c r="X30" s="705">
        <f>SUMPRODUCT(G28:G31,Delivery!G28:G31)/SUM(Delivery!G28:G31)</f>
        <v>434.1195941291374</v>
      </c>
      <c r="Y30" s="705">
        <f>SUMPRODUCT(H28:H31,Delivery!H28:H31)/SUM(Delivery!H28:H31)</f>
        <v>498.78138230419023</v>
      </c>
      <c r="Z30" s="705">
        <f>SUMPRODUCT(I28:I31,Delivery!I28:I31)/SUM(Delivery!I28:I31)</f>
        <v>497.87778033350264</v>
      </c>
      <c r="AA30" s="705">
        <f>SUMPRODUCT(J28:J31,Delivery!J28:J31)/SUM(Delivery!J28:J31)</f>
        <v>456.60065712945686</v>
      </c>
      <c r="AB30" s="705">
        <f>SUMPRODUCT(K28:K31,Delivery!K28:K31)/SUM(Delivery!K28:K31)</f>
        <v>439.88440444859111</v>
      </c>
      <c r="AC30" s="705">
        <f>SUMPRODUCT(L28:L31,Delivery!L28:L31)/SUM(Delivery!L28:L31)</f>
        <v>427.43241226421793</v>
      </c>
      <c r="AD30" s="705">
        <f>SUMPRODUCT(M28:M31,Delivery!M28:M31)/SUM(Delivery!M28:M31)</f>
        <v>423.10812257731186</v>
      </c>
      <c r="AE30" s="705">
        <f>SUMPRODUCT(N28:N31,Delivery!N28:N31)/SUM(Delivery!N28:N31)</f>
        <v>420.83053021789044</v>
      </c>
      <c r="AF30" s="705">
        <f>SUMPRODUCT(O28:O31,Delivery!O28:O31)/SUM(Delivery!O28:O31)</f>
        <v>423.31331167697186</v>
      </c>
      <c r="AG30" s="705">
        <f>SUMPRODUCT(P28:P31,Delivery!P28:P31)/SUM(Delivery!P28:P31)</f>
        <v>433.97480919985014</v>
      </c>
    </row>
    <row r="31" spans="1:33" ht="29">
      <c r="A31" s="866" t="s">
        <v>208</v>
      </c>
      <c r="B31" s="1249" t="s">
        <v>25</v>
      </c>
      <c r="C31" s="1256" t="s">
        <v>30</v>
      </c>
      <c r="D31" s="1250">
        <v>479.56930180000001</v>
      </c>
      <c r="E31" s="1182">
        <v>518.43460359999995</v>
      </c>
      <c r="F31" s="1182">
        <v>518.25512559999993</v>
      </c>
      <c r="G31" s="1002">
        <v>528.78196660000003</v>
      </c>
      <c r="H31" s="1137">
        <v>593.13446260000001</v>
      </c>
      <c r="I31" s="1232">
        <v>592.34739579999996</v>
      </c>
      <c r="J31" s="1287">
        <v>551.15699199999995</v>
      </c>
      <c r="K31" s="690">
        <f t="shared" ref="K31:P31" si="13">(K26*1.014)+100</f>
        <v>532.91107600000009</v>
      </c>
      <c r="L31" s="690">
        <f t="shared" si="13"/>
        <v>522.86010519999991</v>
      </c>
      <c r="M31" s="690">
        <f t="shared" si="13"/>
        <v>518.16569079999999</v>
      </c>
      <c r="N31" s="690">
        <f t="shared" si="13"/>
        <v>514.96449280000002</v>
      </c>
      <c r="O31" s="690">
        <f t="shared" si="13"/>
        <v>518.78301399999998</v>
      </c>
      <c r="P31" s="846">
        <f t="shared" si="13"/>
        <v>529.40963260000001</v>
      </c>
      <c r="T31" s="148" t="s">
        <v>220</v>
      </c>
      <c r="U31" s="148"/>
      <c r="V31" s="710">
        <f t="shared" ref="V31:AG32" si="14">E36</f>
        <v>0</v>
      </c>
      <c r="W31" s="710">
        <f t="shared" si="14"/>
        <v>0</v>
      </c>
      <c r="X31" s="710">
        <f t="shared" si="14"/>
        <v>0</v>
      </c>
      <c r="Y31" s="710">
        <f t="shared" si="14"/>
        <v>485.43069607123488</v>
      </c>
      <c r="Z31" s="710">
        <f t="shared" si="14"/>
        <v>510.29537698590224</v>
      </c>
      <c r="AA31" s="710">
        <f t="shared" si="14"/>
        <v>491.14101218309634</v>
      </c>
      <c r="AB31" s="710">
        <f t="shared" si="14"/>
        <v>547.86300000000006</v>
      </c>
      <c r="AC31" s="710">
        <f t="shared" si="14"/>
        <v>544.22519999999997</v>
      </c>
      <c r="AD31" s="710">
        <f t="shared" si="14"/>
        <v>534.70500000000004</v>
      </c>
      <c r="AE31" s="710">
        <f t="shared" si="14"/>
        <v>533.69880000000001</v>
      </c>
      <c r="AF31" s="710">
        <f t="shared" si="14"/>
        <v>526.8101999999999</v>
      </c>
      <c r="AG31" s="710">
        <f t="shared" si="14"/>
        <v>527.19720000000007</v>
      </c>
    </row>
    <row r="32" spans="1:33" ht="21.65" customHeight="1" thickBot="1">
      <c r="A32" s="866" t="s">
        <v>208</v>
      </c>
      <c r="B32" s="1249" t="s">
        <v>25</v>
      </c>
      <c r="C32" s="1257" t="s">
        <v>31</v>
      </c>
      <c r="D32" s="1250"/>
      <c r="E32" s="1182"/>
      <c r="F32" s="1182">
        <v>0</v>
      </c>
      <c r="G32" s="1002">
        <v>441.42191800000001</v>
      </c>
      <c r="H32" s="1137">
        <v>491.15210599999995</v>
      </c>
      <c r="I32" s="1232">
        <v>510.32116200000002</v>
      </c>
      <c r="J32" s="1287">
        <v>491.15210599999995</v>
      </c>
      <c r="K32" s="690">
        <f t="shared" ref="K32:P32" si="15">ROUND(IF(0.86*K4&lt;410,410,0.86*K4),4)</f>
        <v>547.86300000000006</v>
      </c>
      <c r="L32" s="690">
        <f t="shared" si="15"/>
        <v>544.22519999999997</v>
      </c>
      <c r="M32" s="690">
        <f t="shared" si="15"/>
        <v>534.70500000000004</v>
      </c>
      <c r="N32" s="690">
        <f t="shared" si="15"/>
        <v>533.69880000000001</v>
      </c>
      <c r="O32" s="690">
        <f t="shared" si="15"/>
        <v>526.81020000000001</v>
      </c>
      <c r="P32" s="846">
        <f t="shared" si="15"/>
        <v>527.19719999999995</v>
      </c>
      <c r="T32" t="s">
        <v>177</v>
      </c>
      <c r="V32" s="705">
        <f t="shared" si="14"/>
        <v>423.0602561447181</v>
      </c>
      <c r="W32" s="705">
        <f t="shared" si="14"/>
        <v>423.08108236599242</v>
      </c>
      <c r="X32" s="705">
        <f t="shared" si="14"/>
        <v>420.83069384908117</v>
      </c>
      <c r="Y32" s="705">
        <f t="shared" si="14"/>
        <v>481.83683974412014</v>
      </c>
      <c r="Z32" s="705">
        <f t="shared" si="14"/>
        <v>469.22752809044033</v>
      </c>
      <c r="AA32" s="705">
        <f t="shared" si="14"/>
        <v>430.11283117012528</v>
      </c>
      <c r="AB32" s="705">
        <f t="shared" si="14"/>
        <v>417.82519496345174</v>
      </c>
      <c r="AC32" s="705">
        <f t="shared" si="14"/>
        <v>403.93953940816345</v>
      </c>
      <c r="AD32" s="705">
        <f t="shared" si="14"/>
        <v>399.85746655081277</v>
      </c>
      <c r="AE32" s="705">
        <f t="shared" si="14"/>
        <v>397.6622000427754</v>
      </c>
      <c r="AF32" s="705">
        <f t="shared" si="14"/>
        <v>400.37397564920576</v>
      </c>
      <c r="AG32" s="705">
        <f t="shared" si="14"/>
        <v>410.41843539397365</v>
      </c>
    </row>
    <row r="33" spans="1:33" ht="21.65" customHeight="1">
      <c r="A33" s="866" t="s">
        <v>208</v>
      </c>
      <c r="B33" s="28" t="s">
        <v>25</v>
      </c>
      <c r="C33" s="1252" t="s">
        <v>32</v>
      </c>
      <c r="D33" s="1182"/>
      <c r="E33" s="1182"/>
      <c r="F33" s="1182">
        <v>0</v>
      </c>
      <c r="G33" s="1002">
        <v>0</v>
      </c>
      <c r="H33" s="1137">
        <v>0</v>
      </c>
      <c r="I33" s="1232">
        <v>0</v>
      </c>
      <c r="J33" s="1287">
        <v>0</v>
      </c>
      <c r="K33" s="690">
        <f t="shared" ref="K33:P33" si="16">K9+0.71*J17+17-10</f>
        <v>662.17217406666668</v>
      </c>
      <c r="L33" s="690">
        <f t="shared" si="16"/>
        <v>645.84305151594799</v>
      </c>
      <c r="M33" s="690">
        <f t="shared" si="16"/>
        <v>639.96348744679767</v>
      </c>
      <c r="N33" s="690">
        <f t="shared" si="16"/>
        <v>617.02370541222251</v>
      </c>
      <c r="O33" s="690">
        <f t="shared" si="16"/>
        <v>626.14414134307219</v>
      </c>
      <c r="P33" s="846">
        <f t="shared" si="16"/>
        <v>637.76457727392187</v>
      </c>
      <c r="T33" s="44" t="s">
        <v>38</v>
      </c>
      <c r="U33" s="723"/>
      <c r="V33" s="705"/>
      <c r="W33" s="705"/>
      <c r="X33" s="705"/>
      <c r="Y33" s="705"/>
      <c r="Z33" s="705"/>
      <c r="AA33" s="705"/>
      <c r="AB33" s="705"/>
      <c r="AC33" s="705"/>
      <c r="AD33" s="705"/>
      <c r="AE33" s="705"/>
      <c r="AF33" s="705"/>
      <c r="AG33" s="705"/>
    </row>
    <row r="34" spans="1:33" ht="21.65" customHeight="1">
      <c r="A34" s="866" t="s">
        <v>208</v>
      </c>
      <c r="B34" s="32" t="s">
        <v>34</v>
      </c>
      <c r="C34" s="31" t="s">
        <v>33</v>
      </c>
      <c r="D34" s="1182"/>
      <c r="E34" s="1182"/>
      <c r="F34" s="1182">
        <v>0</v>
      </c>
      <c r="G34" s="1002">
        <v>0</v>
      </c>
      <c r="H34" s="1137">
        <v>0</v>
      </c>
      <c r="I34" s="1232">
        <v>0</v>
      </c>
      <c r="J34" s="1287">
        <v>0</v>
      </c>
      <c r="K34" s="690">
        <f t="shared" ref="K34:P34" si="17">K9+0.71*J16</f>
        <v>653.87713363636362</v>
      </c>
      <c r="L34" s="690">
        <f t="shared" si="17"/>
        <v>646.05381439493488</v>
      </c>
      <c r="M34" s="690">
        <f t="shared" si="17"/>
        <v>641.20435930849703</v>
      </c>
      <c r="N34" s="690">
        <f t="shared" si="17"/>
        <v>618.77963176527805</v>
      </c>
      <c r="O34" s="690">
        <f t="shared" si="17"/>
        <v>628.93017667884021</v>
      </c>
      <c r="P34" s="846">
        <f t="shared" si="17"/>
        <v>641.58072159240237</v>
      </c>
      <c r="T34" t="s">
        <v>217</v>
      </c>
      <c r="V34" s="705">
        <f t="shared" ref="V34:AG34" si="18">E50</f>
        <v>644.84651351900789</v>
      </c>
      <c r="W34" s="705">
        <f t="shared" si="18"/>
        <v>690.85705899618438</v>
      </c>
      <c r="X34" s="705">
        <f t="shared" si="18"/>
        <v>667.42681167894591</v>
      </c>
      <c r="Y34" s="705">
        <f t="shared" si="18"/>
        <v>600.2170235853572</v>
      </c>
      <c r="Z34" s="705">
        <f t="shared" si="18"/>
        <v>548.09621799869626</v>
      </c>
      <c r="AA34" s="705">
        <f t="shared" si="18"/>
        <v>590.12946527976578</v>
      </c>
      <c r="AB34" s="705">
        <f t="shared" si="18"/>
        <v>665.17139999999995</v>
      </c>
      <c r="AC34" s="705">
        <f t="shared" si="18"/>
        <v>657.62399999999991</v>
      </c>
      <c r="AD34" s="705">
        <f t="shared" si="18"/>
        <v>653.42740000000003</v>
      </c>
      <c r="AE34" s="705">
        <f t="shared" si="18"/>
        <v>631.32920000000013</v>
      </c>
      <c r="AF34" s="705">
        <f t="shared" si="18"/>
        <v>642.13260000000002</v>
      </c>
      <c r="AG34" s="705">
        <f t="shared" si="18"/>
        <v>655.43600000000004</v>
      </c>
    </row>
    <row r="35" spans="1:33" ht="18" customHeight="1">
      <c r="A35" s="866" t="s">
        <v>208</v>
      </c>
      <c r="B35" s="32"/>
      <c r="C35" s="33" t="s">
        <v>35</v>
      </c>
      <c r="D35" s="1183">
        <f>'Revenue (Baht)'!D35/(Delivery!D35*D$20)</f>
        <v>383.99578774743662</v>
      </c>
      <c r="E35" s="1183">
        <f>'Revenue (Baht)'!E35/(Delivery!E35*Fx!E26)</f>
        <v>423.0602561447181</v>
      </c>
      <c r="F35" s="1183">
        <f>'Revenue (Baht)'!F35/(Delivery!F35*Fx!F26)</f>
        <v>423.08108236599242</v>
      </c>
      <c r="G35" s="1183">
        <f>'Revenue (Baht)'!G35/(Delivery!G35*Fx!G26)</f>
        <v>433.47271036470164</v>
      </c>
      <c r="H35" s="1184">
        <f>'Revenue (Baht)'!H35/(Delivery!H35*Fx!H26)</f>
        <v>498.5860558738612</v>
      </c>
      <c r="I35" s="1184">
        <f>'Revenue (Baht)'!I35/(Delivery!I35*Fx!I26)</f>
        <v>497.18655986401052</v>
      </c>
      <c r="J35" s="1184">
        <f>'Revenue (Baht)'!J35/(Delivery!J35*Fx!J26)</f>
        <v>456.05543466875059</v>
      </c>
      <c r="K35" s="1185">
        <f>'Revenue (Baht)'!K35/(Delivery!K35*Fx!K26)</f>
        <v>438.42293230283587</v>
      </c>
      <c r="L35" s="1185">
        <f>'Revenue (Baht)'!L35/(Delivery!L35*Fx!L26)</f>
        <v>427.41363469974385</v>
      </c>
      <c r="M35" s="1185">
        <f>'Revenue (Baht)'!M35/(Delivery!M35*Fx!M26)</f>
        <v>423.06275269308674</v>
      </c>
      <c r="N35" s="1185">
        <f>'Revenue (Baht)'!N35/(Delivery!N35*Fx!N26)</f>
        <v>420.60692574444772</v>
      </c>
      <c r="O35" s="1185">
        <f>'Revenue (Baht)'!O35/(Delivery!O35*Fx!O26)</f>
        <v>423.46411727507774</v>
      </c>
      <c r="P35" s="1185">
        <f>'Revenue (Baht)'!P35/(Delivery!P35*Fx!P26)</f>
        <v>434.09017990275322</v>
      </c>
      <c r="T35" t="s">
        <v>223</v>
      </c>
      <c r="V35" s="705">
        <f t="shared" ref="V35:AG35" si="19">E41</f>
        <v>657.6694</v>
      </c>
      <c r="W35" s="705">
        <f t="shared" si="19"/>
        <v>703.67880000000002</v>
      </c>
      <c r="X35" s="705">
        <f t="shared" si="19"/>
        <v>680.24749999999995</v>
      </c>
      <c r="Y35" s="705">
        <f t="shared" si="19"/>
        <v>613.0403</v>
      </c>
      <c r="Z35" s="705">
        <f t="shared" si="19"/>
        <v>560.91880000000003</v>
      </c>
      <c r="AA35" s="705">
        <f t="shared" si="19"/>
        <v>602.95000000000005</v>
      </c>
      <c r="AB35" s="705">
        <f t="shared" si="19"/>
        <v>682.22770000000003</v>
      </c>
      <c r="AC35" s="705">
        <f t="shared" si="19"/>
        <v>674.68029999999999</v>
      </c>
      <c r="AD35" s="705">
        <f t="shared" si="19"/>
        <v>670.4837</v>
      </c>
      <c r="AE35" s="705">
        <f t="shared" si="19"/>
        <v>648.38549999999998</v>
      </c>
      <c r="AF35" s="705">
        <f t="shared" si="19"/>
        <v>659.18889999999999</v>
      </c>
      <c r="AG35" s="705">
        <f t="shared" si="19"/>
        <v>672.4923</v>
      </c>
    </row>
    <row r="36" spans="1:33" ht="18" customHeight="1">
      <c r="A36" s="866" t="s">
        <v>208</v>
      </c>
      <c r="B36" s="32"/>
      <c r="C36" s="33" t="s">
        <v>36</v>
      </c>
      <c r="D36" s="1186"/>
      <c r="E36" s="1187"/>
      <c r="F36" s="1187"/>
      <c r="G36" s="1188"/>
      <c r="H36" s="1184">
        <f>'Revenue (Baht)'!H36/(Delivery!H36*Fx!H32)</f>
        <v>485.43069607123488</v>
      </c>
      <c r="I36" s="1184">
        <f>'Revenue (Baht)'!I36/(Delivery!I36*Fx!I32)</f>
        <v>510.29537698590224</v>
      </c>
      <c r="J36" s="1184">
        <f>'Revenue (Baht)'!J36/(Delivery!J36*Fx!J32)</f>
        <v>491.14101218309634</v>
      </c>
      <c r="K36" s="1188">
        <f>'Revenue (Baht)'!K36/(Delivery!K36*Fx!K32)</f>
        <v>547.86300000000006</v>
      </c>
      <c r="L36" s="1188">
        <f>'Revenue (Baht)'!L36/(Delivery!L36*Fx!L32)</f>
        <v>544.22519999999997</v>
      </c>
      <c r="M36" s="1188">
        <f>'Revenue (Baht)'!M36/(Delivery!M36*Fx!M32)</f>
        <v>534.70500000000004</v>
      </c>
      <c r="N36" s="1188">
        <f>'Revenue (Baht)'!N36/(Delivery!N36*Fx!N32)</f>
        <v>533.69880000000001</v>
      </c>
      <c r="O36" s="1188">
        <f>'Revenue (Baht)'!O36/(Delivery!O36*Fx!O32)</f>
        <v>526.8101999999999</v>
      </c>
      <c r="P36" s="1188">
        <f>'Revenue (Baht)'!P36/(Delivery!P36*Fx!P32)</f>
        <v>527.19720000000007</v>
      </c>
      <c r="T36" t="s">
        <v>224</v>
      </c>
      <c r="V36" s="705">
        <f t="shared" ref="V36:AG36" si="20">E43</f>
        <v>445.72809999999998</v>
      </c>
      <c r="W36" s="705">
        <f t="shared" si="20"/>
        <v>436.32499999999999</v>
      </c>
      <c r="X36" s="705">
        <f t="shared" si="20"/>
        <v>467.20780000000002</v>
      </c>
      <c r="Y36" s="705">
        <f t="shared" si="20"/>
        <v>520.4</v>
      </c>
      <c r="Z36" s="705">
        <f t="shared" si="20"/>
        <v>493.11250000000001</v>
      </c>
      <c r="AA36" s="705">
        <f t="shared" si="20"/>
        <v>460.29379999999998</v>
      </c>
      <c r="AB36" s="705">
        <f t="shared" si="20"/>
        <v>445.17500000000001</v>
      </c>
      <c r="AC36" s="705">
        <f t="shared" si="20"/>
        <v>428.36</v>
      </c>
      <c r="AD36" s="705">
        <f t="shared" si="20"/>
        <v>415.67500000000001</v>
      </c>
      <c r="AE36" s="705">
        <f t="shared" si="20"/>
        <v>406.23500000000001</v>
      </c>
      <c r="AF36" s="705">
        <f t="shared" si="20"/>
        <v>408.3</v>
      </c>
      <c r="AG36" s="705">
        <f t="shared" si="20"/>
        <v>418.03500000000003</v>
      </c>
    </row>
    <row r="37" spans="1:33" ht="18" customHeight="1" thickBot="1">
      <c r="A37" s="866" t="s">
        <v>208</v>
      </c>
      <c r="B37" s="28"/>
      <c r="C37" s="836" t="s">
        <v>37</v>
      </c>
      <c r="D37" s="1183">
        <f>'Revenue (Baht)'!D37/(Delivery!D37*D$20)</f>
        <v>383.99578774743662</v>
      </c>
      <c r="E37" s="1183">
        <f>'Revenue (Baht)'!E35/(Delivery!E37*Fx!E26)</f>
        <v>423.0602561447181</v>
      </c>
      <c r="F37" s="1183">
        <f>'Revenue (Baht)'!F35/(Delivery!F37*Fx!F26)</f>
        <v>423.08108236599242</v>
      </c>
      <c r="G37" s="1183">
        <f>'Revenue (Baht)'!G35/(Delivery!G37*Fx!G26)</f>
        <v>420.83069384908117</v>
      </c>
      <c r="H37" s="1184">
        <f>'Revenue (Baht)'!H35/(Delivery!H37*Fx!H26)</f>
        <v>481.83683974412014</v>
      </c>
      <c r="I37" s="1184">
        <f>'Revenue (Baht)'!I35/(Delivery!I37*Fx!I26)</f>
        <v>469.22752809044033</v>
      </c>
      <c r="J37" s="1184">
        <f>'Revenue (Baht)'!J35/(Delivery!J37*Fx!J26)</f>
        <v>430.11283117012528</v>
      </c>
      <c r="K37" s="1185">
        <f>'Revenue (Baht)'!K35/(Delivery!K37*Fx!K26)</f>
        <v>417.82519496345174</v>
      </c>
      <c r="L37" s="1185">
        <f>'Revenue (Baht)'!L35/(Delivery!L37*Fx!L26)</f>
        <v>403.93953940816345</v>
      </c>
      <c r="M37" s="1185">
        <f>'Revenue (Baht)'!M35/(Delivery!M37*Fx!M26)</f>
        <v>399.85746655081277</v>
      </c>
      <c r="N37" s="1185">
        <f>'Revenue (Baht)'!N35/(Delivery!N37*Fx!N26)</f>
        <v>397.6622000427754</v>
      </c>
      <c r="O37" s="1185">
        <f>'Revenue (Baht)'!O35/(Delivery!O37*Fx!O26)</f>
        <v>400.37397564920576</v>
      </c>
      <c r="P37" s="1185">
        <f>'Revenue (Baht)'!P35/(Delivery!P37*Fx!P26)</f>
        <v>410.41843539397365</v>
      </c>
      <c r="T37" t="s">
        <v>220</v>
      </c>
      <c r="V37" s="705">
        <f t="shared" ref="V37:AG37" si="21">E51</f>
        <v>0</v>
      </c>
      <c r="W37" s="705">
        <f t="shared" si="21"/>
        <v>677.41548149531707</v>
      </c>
      <c r="X37" s="705">
        <f t="shared" si="21"/>
        <v>620.73685966667279</v>
      </c>
      <c r="Y37" s="705">
        <f t="shared" si="21"/>
        <v>592.0275747614337</v>
      </c>
      <c r="Z37" s="705">
        <f t="shared" si="21"/>
        <v>560.88138501720493</v>
      </c>
      <c r="AA37" s="705">
        <f t="shared" si="21"/>
        <v>628.5345273059761</v>
      </c>
      <c r="AB37" s="705">
        <f t="shared" si="21"/>
        <v>653.87713363636362</v>
      </c>
      <c r="AC37" s="705">
        <f t="shared" si="21"/>
        <v>653.05381439493488</v>
      </c>
      <c r="AD37" s="705">
        <f t="shared" si="21"/>
        <v>648.20435930849703</v>
      </c>
      <c r="AE37" s="705">
        <f t="shared" si="21"/>
        <v>625.77963176527805</v>
      </c>
      <c r="AF37" s="705">
        <f t="shared" si="21"/>
        <v>635.93017667884021</v>
      </c>
      <c r="AG37" s="705">
        <f t="shared" si="21"/>
        <v>644.76942875751149</v>
      </c>
    </row>
    <row r="38" spans="1:33" ht="21.75" customHeight="1" thickBot="1">
      <c r="A38" s="867" t="s">
        <v>38</v>
      </c>
      <c r="B38" s="1249" t="s">
        <v>25</v>
      </c>
      <c r="C38" s="1259" t="s">
        <v>39</v>
      </c>
      <c r="D38" s="1250">
        <v>516.31979999999999</v>
      </c>
      <c r="E38" s="1182">
        <v>644.84770000000003</v>
      </c>
      <c r="F38" s="975">
        <v>690.85709999999995</v>
      </c>
      <c r="G38" s="1005">
        <v>667.42579999999998</v>
      </c>
      <c r="H38" s="1137">
        <v>600.21860000000004</v>
      </c>
      <c r="I38" s="1232">
        <v>548.09709999999995</v>
      </c>
      <c r="J38" s="1287">
        <v>590.12829999999997</v>
      </c>
      <c r="K38" s="690">
        <f t="shared" ref="K38:P38" si="22">ROUND(((K9+0.8*J16)+20-13),4)</f>
        <v>665.17139999999995</v>
      </c>
      <c r="L38" s="690">
        <f t="shared" si="22"/>
        <v>657.62400000000002</v>
      </c>
      <c r="M38" s="690">
        <f t="shared" si="22"/>
        <v>653.42740000000003</v>
      </c>
      <c r="N38" s="690">
        <f t="shared" si="22"/>
        <v>631.32920000000001</v>
      </c>
      <c r="O38" s="690">
        <f t="shared" si="22"/>
        <v>642.13260000000002</v>
      </c>
      <c r="P38" s="846">
        <f t="shared" si="22"/>
        <v>655.43600000000004</v>
      </c>
      <c r="T38" t="s">
        <v>225</v>
      </c>
      <c r="V38" s="705">
        <f t="shared" ref="V38:AG38" si="23">E49</f>
        <v>496.76230292648177</v>
      </c>
      <c r="W38" s="705">
        <f t="shared" si="23"/>
        <v>497.16492861021158</v>
      </c>
      <c r="X38" s="705">
        <f t="shared" si="23"/>
        <v>484.21237406026233</v>
      </c>
      <c r="Y38" s="705">
        <f t="shared" si="23"/>
        <v>475.72208062876956</v>
      </c>
      <c r="Z38" s="705">
        <f t="shared" si="23"/>
        <v>476.290596860162</v>
      </c>
      <c r="AA38" s="705">
        <f t="shared" si="23"/>
        <v>474.14829769864781</v>
      </c>
      <c r="AB38" s="705">
        <f t="shared" si="23"/>
        <v>440.63832314445796</v>
      </c>
      <c r="AC38" s="705">
        <f t="shared" si="23"/>
        <v>444.10602204826688</v>
      </c>
      <c r="AD38" s="705">
        <f t="shared" si="23"/>
        <v>447.77515346652399</v>
      </c>
      <c r="AE38" s="705">
        <f t="shared" si="23"/>
        <v>451.21626895906212</v>
      </c>
      <c r="AF38" s="705">
        <f t="shared" si="23"/>
        <v>454.84759482930264</v>
      </c>
      <c r="AG38" s="705">
        <f t="shared" si="23"/>
        <v>454.84759482930264</v>
      </c>
    </row>
    <row r="39" spans="1:33" ht="22.25" customHeight="1">
      <c r="A39" s="867" t="s">
        <v>38</v>
      </c>
      <c r="B39" s="28" t="s">
        <v>25</v>
      </c>
      <c r="C39" s="1258" t="s">
        <v>40</v>
      </c>
      <c r="D39" s="1182"/>
      <c r="E39" s="1182"/>
      <c r="F39" s="1189">
        <v>0</v>
      </c>
      <c r="G39" s="1190">
        <v>0</v>
      </c>
      <c r="H39" s="1191">
        <v>0</v>
      </c>
      <c r="I39" s="1233">
        <v>0</v>
      </c>
      <c r="J39" s="1288">
        <v>0</v>
      </c>
      <c r="K39" s="36"/>
      <c r="L39" s="36"/>
      <c r="M39" s="36"/>
      <c r="N39" s="36"/>
      <c r="O39" s="36"/>
      <c r="P39" s="1192"/>
      <c r="T39" t="s">
        <v>177</v>
      </c>
      <c r="V39" s="705">
        <f t="shared" ref="V39:AG39" si="24">E52</f>
        <v>577.45529983971892</v>
      </c>
      <c r="W39" s="705">
        <f t="shared" si="24"/>
        <v>620.16063588291456</v>
      </c>
      <c r="X39" s="705">
        <f t="shared" si="24"/>
        <v>609.00122851419621</v>
      </c>
      <c r="Y39" s="705">
        <f t="shared" si="24"/>
        <v>579.30723329140585</v>
      </c>
      <c r="Z39" s="705">
        <f t="shared" si="24"/>
        <v>542.12053138621729</v>
      </c>
      <c r="AA39" s="705">
        <f t="shared" si="24"/>
        <v>576.67474001170683</v>
      </c>
      <c r="AB39" s="705">
        <f t="shared" si="24"/>
        <v>662.69044709671857</v>
      </c>
      <c r="AC39" s="705">
        <f t="shared" si="24"/>
        <v>602.62513626901648</v>
      </c>
      <c r="AD39" s="705">
        <f t="shared" si="24"/>
        <v>575.30457893970743</v>
      </c>
      <c r="AE39" s="705">
        <f t="shared" si="24"/>
        <v>533.08332746903807</v>
      </c>
      <c r="AF39" s="705">
        <f t="shared" si="24"/>
        <v>573.46661688848121</v>
      </c>
      <c r="AG39" s="705">
        <f t="shared" si="24"/>
        <v>590.03729492804257</v>
      </c>
    </row>
    <row r="40" spans="1:33" ht="20" customHeight="1" thickBot="1">
      <c r="A40" s="867" t="s">
        <v>38</v>
      </c>
      <c r="B40" s="32" t="s">
        <v>34</v>
      </c>
      <c r="C40" s="1260" t="s">
        <v>41</v>
      </c>
      <c r="D40" s="1182"/>
      <c r="E40" s="1182"/>
      <c r="F40" s="975">
        <v>0</v>
      </c>
      <c r="G40" s="1005">
        <v>0</v>
      </c>
      <c r="H40" s="1137">
        <v>0</v>
      </c>
      <c r="I40" s="1232">
        <v>0</v>
      </c>
      <c r="J40" s="1287">
        <v>0</v>
      </c>
      <c r="K40" s="690">
        <f t="shared" ref="K40:P40" si="25">K38</f>
        <v>665.17139999999995</v>
      </c>
      <c r="L40" s="690">
        <f t="shared" si="25"/>
        <v>657.62400000000002</v>
      </c>
      <c r="M40" s="690">
        <f t="shared" si="25"/>
        <v>653.42740000000003</v>
      </c>
      <c r="N40" s="690">
        <f t="shared" si="25"/>
        <v>631.32920000000001</v>
      </c>
      <c r="O40" s="690">
        <f t="shared" si="25"/>
        <v>642.13260000000002</v>
      </c>
      <c r="P40" s="846">
        <f t="shared" si="25"/>
        <v>655.43600000000004</v>
      </c>
      <c r="T40" s="1331" t="s">
        <v>214</v>
      </c>
      <c r="U40" s="1332"/>
      <c r="V40" s="705"/>
      <c r="W40" s="705"/>
      <c r="X40" s="705"/>
      <c r="Y40" s="705"/>
      <c r="Z40" s="705"/>
      <c r="AA40" s="705"/>
      <c r="AB40" s="705"/>
      <c r="AC40" s="705"/>
      <c r="AD40" s="705"/>
      <c r="AE40" s="705"/>
      <c r="AF40" s="705"/>
      <c r="AG40" s="705"/>
    </row>
    <row r="41" spans="1:33" ht="20" customHeight="1" thickBot="1">
      <c r="A41" s="867" t="s">
        <v>38</v>
      </c>
      <c r="B41" s="1249" t="s">
        <v>25</v>
      </c>
      <c r="C41" s="1262" t="s">
        <v>42</v>
      </c>
      <c r="D41" s="1250">
        <v>528.37609999999995</v>
      </c>
      <c r="E41" s="1182">
        <v>657.6694</v>
      </c>
      <c r="F41" s="975">
        <v>703.67880000000002</v>
      </c>
      <c r="G41" s="1005">
        <v>680.24749999999995</v>
      </c>
      <c r="H41" s="1137">
        <v>613.0403</v>
      </c>
      <c r="I41" s="1232">
        <v>560.91880000000003</v>
      </c>
      <c r="J41" s="1287">
        <v>602.95000000000005</v>
      </c>
      <c r="K41" s="690">
        <f t="shared" ref="K41:P41" si="26">ROUND(((K9+0.8*J16)+17+7.0563),4)</f>
        <v>682.22770000000003</v>
      </c>
      <c r="L41" s="690">
        <f t="shared" si="26"/>
        <v>674.68029999999999</v>
      </c>
      <c r="M41" s="690">
        <f t="shared" si="26"/>
        <v>670.4837</v>
      </c>
      <c r="N41" s="690">
        <f t="shared" si="26"/>
        <v>648.38549999999998</v>
      </c>
      <c r="O41" s="690">
        <f t="shared" si="26"/>
        <v>659.18889999999999</v>
      </c>
      <c r="P41" s="846">
        <f t="shared" si="26"/>
        <v>672.4923</v>
      </c>
      <c r="T41" t="s">
        <v>217</v>
      </c>
      <c r="V41" s="705">
        <f t="shared" ref="V41:AG41" si="27">E53</f>
        <v>629.84770000000003</v>
      </c>
      <c r="W41" s="705">
        <f t="shared" si="27"/>
        <v>675.85709999999995</v>
      </c>
      <c r="X41" s="705">
        <f t="shared" si="27"/>
        <v>647.42579999999998</v>
      </c>
      <c r="Y41" s="705">
        <f t="shared" si="27"/>
        <v>580.21860000000004</v>
      </c>
      <c r="Z41" s="705">
        <f t="shared" si="27"/>
        <v>533.09709999999995</v>
      </c>
      <c r="AA41" s="705">
        <f t="shared" si="27"/>
        <v>582.62829999999997</v>
      </c>
      <c r="AB41" s="705">
        <f t="shared" si="27"/>
        <v>665.17141818181824</v>
      </c>
      <c r="AC41" s="705">
        <f t="shared" si="27"/>
        <v>660.124016219645</v>
      </c>
      <c r="AD41" s="705">
        <f t="shared" si="27"/>
        <v>655.92744710816567</v>
      </c>
      <c r="AE41" s="705">
        <f t="shared" si="27"/>
        <v>631.32916255242606</v>
      </c>
      <c r="AF41" s="705">
        <f t="shared" si="27"/>
        <v>642.13259344094672</v>
      </c>
      <c r="AG41" s="705">
        <f t="shared" si="27"/>
        <v>655.4360243294675</v>
      </c>
    </row>
    <row r="42" spans="1:33" ht="20" customHeight="1" thickBot="1">
      <c r="A42" s="867" t="s">
        <v>38</v>
      </c>
      <c r="B42" s="32" t="s">
        <v>34</v>
      </c>
      <c r="C42" s="1263" t="s">
        <v>43</v>
      </c>
      <c r="D42" s="1182"/>
      <c r="E42" s="1182"/>
      <c r="F42" s="975">
        <v>0</v>
      </c>
      <c r="G42" s="1005">
        <v>0</v>
      </c>
      <c r="H42" s="1137">
        <v>0</v>
      </c>
      <c r="I42" s="1232">
        <v>0</v>
      </c>
      <c r="J42" s="1287">
        <v>0</v>
      </c>
      <c r="K42" s="690">
        <f t="shared" ref="K42:P42" si="28">K41</f>
        <v>682.22770000000003</v>
      </c>
      <c r="L42" s="690">
        <f t="shared" si="28"/>
        <v>674.68029999999999</v>
      </c>
      <c r="M42" s="690">
        <f t="shared" si="28"/>
        <v>670.4837</v>
      </c>
      <c r="N42" s="690">
        <f t="shared" si="28"/>
        <v>648.38549999999998</v>
      </c>
      <c r="O42" s="690">
        <f t="shared" si="28"/>
        <v>659.18889999999999</v>
      </c>
      <c r="P42" s="846">
        <f t="shared" si="28"/>
        <v>672.4923</v>
      </c>
      <c r="T42" t="s">
        <v>218</v>
      </c>
      <c r="V42" s="705">
        <f t="shared" ref="V42:AG42" si="29">E56</f>
        <v>629.84770000000003</v>
      </c>
      <c r="W42" s="705">
        <f t="shared" si="29"/>
        <v>675.85709999999995</v>
      </c>
      <c r="X42" s="705">
        <f t="shared" si="29"/>
        <v>647.42579999999998</v>
      </c>
      <c r="Y42" s="705">
        <f t="shared" si="29"/>
        <v>580.21860000000004</v>
      </c>
      <c r="Z42" s="705">
        <f t="shared" si="29"/>
        <v>533.09709999999995</v>
      </c>
      <c r="AA42" s="705">
        <f t="shared" si="29"/>
        <v>582.62829999999997</v>
      </c>
      <c r="AB42" s="705">
        <f t="shared" si="29"/>
        <v>665.17141818181824</v>
      </c>
      <c r="AC42" s="705">
        <f t="shared" si="29"/>
        <v>660.124016219645</v>
      </c>
      <c r="AD42" s="705">
        <f t="shared" si="29"/>
        <v>655.92744710816567</v>
      </c>
      <c r="AE42" s="705">
        <f t="shared" si="29"/>
        <v>631.32916255242606</v>
      </c>
      <c r="AF42" s="705">
        <f t="shared" si="29"/>
        <v>642.13259344094672</v>
      </c>
      <c r="AG42" s="705">
        <f t="shared" si="29"/>
        <v>655.4360243294675</v>
      </c>
    </row>
    <row r="43" spans="1:33" ht="20" customHeight="1" thickBot="1">
      <c r="A43" s="867" t="s">
        <v>38</v>
      </c>
      <c r="B43" s="1249" t="s">
        <v>25</v>
      </c>
      <c r="C43" s="1262" t="s">
        <v>44</v>
      </c>
      <c r="D43" s="1250">
        <v>403.875</v>
      </c>
      <c r="E43" s="1182">
        <v>445.72809999999998</v>
      </c>
      <c r="F43" s="975">
        <v>436.32499999999999</v>
      </c>
      <c r="G43" s="1005">
        <v>467.20780000000002</v>
      </c>
      <c r="H43" s="1137">
        <v>520.4</v>
      </c>
      <c r="I43" s="1232">
        <v>493.11250000000001</v>
      </c>
      <c r="J43" s="1287">
        <v>460.29379999999998</v>
      </c>
      <c r="K43" s="690">
        <f t="shared" ref="K43:P43" si="30">ROUND((J14*0.295)+72,4)</f>
        <v>445.17500000000001</v>
      </c>
      <c r="L43" s="690">
        <f t="shared" si="30"/>
        <v>428.36</v>
      </c>
      <c r="M43" s="690">
        <f t="shared" si="30"/>
        <v>415.67500000000001</v>
      </c>
      <c r="N43" s="690">
        <f t="shared" si="30"/>
        <v>406.23500000000001</v>
      </c>
      <c r="O43" s="690">
        <f t="shared" si="30"/>
        <v>408.3</v>
      </c>
      <c r="P43" s="846">
        <f t="shared" si="30"/>
        <v>418.03500000000003</v>
      </c>
      <c r="T43" t="s">
        <v>220</v>
      </c>
      <c r="V43" s="705">
        <f t="shared" ref="V43:AG44" si="31">E68</f>
        <v>0</v>
      </c>
      <c r="W43" s="705">
        <f t="shared" si="31"/>
        <v>494.63671051578297</v>
      </c>
      <c r="X43" s="705">
        <f t="shared" si="31"/>
        <v>513.26030743642718</v>
      </c>
      <c r="Y43" s="705">
        <f t="shared" si="31"/>
        <v>486.00937256775813</v>
      </c>
      <c r="Z43" s="705">
        <f t="shared" si="31"/>
        <v>521.35630707926475</v>
      </c>
      <c r="AA43" s="705">
        <f t="shared" si="31"/>
        <v>563.98511308330956</v>
      </c>
      <c r="AB43" s="705">
        <f t="shared" si="31"/>
        <v>540</v>
      </c>
      <c r="AC43" s="705">
        <f t="shared" si="31"/>
        <v>532.5</v>
      </c>
      <c r="AD43" s="705">
        <f t="shared" si="31"/>
        <v>522.5</v>
      </c>
      <c r="AE43" s="705">
        <f t="shared" si="31"/>
        <v>495</v>
      </c>
      <c r="AF43" s="705">
        <f t="shared" si="31"/>
        <v>500</v>
      </c>
      <c r="AG43" s="705">
        <f t="shared" si="31"/>
        <v>507.5</v>
      </c>
    </row>
    <row r="44" spans="1:33" ht="20" customHeight="1">
      <c r="A44" s="867" t="s">
        <v>38</v>
      </c>
      <c r="B44" s="32" t="s">
        <v>645</v>
      </c>
      <c r="C44" s="1261" t="s">
        <v>45</v>
      </c>
      <c r="D44" s="1182"/>
      <c r="E44" s="1182"/>
      <c r="F44" s="975">
        <v>698.85709999999995</v>
      </c>
      <c r="G44" s="1005">
        <v>675.42579999999998</v>
      </c>
      <c r="H44" s="1137">
        <v>520.4</v>
      </c>
      <c r="I44" s="1232">
        <v>493.11250000000001</v>
      </c>
      <c r="J44" s="1287">
        <v>598.12829999999997</v>
      </c>
      <c r="K44" s="690">
        <f t="shared" ref="K44:P44" si="32">K43</f>
        <v>445.17500000000001</v>
      </c>
      <c r="L44" s="690">
        <f t="shared" si="32"/>
        <v>428.36</v>
      </c>
      <c r="M44" s="690">
        <f t="shared" si="32"/>
        <v>415.67500000000001</v>
      </c>
      <c r="N44" s="690">
        <f t="shared" si="32"/>
        <v>406.23500000000001</v>
      </c>
      <c r="O44" s="690">
        <f t="shared" si="32"/>
        <v>408.3</v>
      </c>
      <c r="P44" s="846">
        <f t="shared" si="32"/>
        <v>418.03500000000003</v>
      </c>
      <c r="T44" t="s">
        <v>177</v>
      </c>
      <c r="V44" s="705">
        <f t="shared" si="31"/>
        <v>629.84613026104864</v>
      </c>
      <c r="W44" s="705">
        <f t="shared" si="31"/>
        <v>591.41372204599395</v>
      </c>
      <c r="X44" s="705">
        <f t="shared" si="31"/>
        <v>630.86746537756903</v>
      </c>
      <c r="Y44" s="705">
        <f t="shared" si="31"/>
        <v>525.60176774942533</v>
      </c>
      <c r="Z44" s="705">
        <f t="shared" si="31"/>
        <v>527.97993421401225</v>
      </c>
      <c r="AA44" s="705">
        <f t="shared" si="31"/>
        <v>576.77841731749652</v>
      </c>
      <c r="AB44" s="705">
        <f t="shared" si="31"/>
        <v>659.73831651873797</v>
      </c>
      <c r="AC44" s="705">
        <f t="shared" si="31"/>
        <v>649.72553581065699</v>
      </c>
      <c r="AD44" s="705">
        <f t="shared" si="31"/>
        <v>644.92433153807031</v>
      </c>
      <c r="AE44" s="705">
        <f t="shared" si="31"/>
        <v>620.20811927264356</v>
      </c>
      <c r="AF44" s="705">
        <f t="shared" si="31"/>
        <v>630.28821065420118</v>
      </c>
      <c r="AG44" s="705">
        <f t="shared" si="31"/>
        <v>643.47354257775851</v>
      </c>
    </row>
    <row r="45" spans="1:33" ht="20" customHeight="1">
      <c r="A45" s="867" t="s">
        <v>38</v>
      </c>
      <c r="B45" s="28" t="s">
        <v>25</v>
      </c>
      <c r="C45" s="36" t="s">
        <v>46</v>
      </c>
      <c r="D45" s="1182"/>
      <c r="E45" s="1182"/>
      <c r="F45" s="975">
        <v>677.54819399999997</v>
      </c>
      <c r="G45" s="1005">
        <v>659.00286200000005</v>
      </c>
      <c r="H45" s="1137">
        <v>0</v>
      </c>
      <c r="I45" s="1242">
        <v>538.47369400000002</v>
      </c>
      <c r="J45" s="1287">
        <v>580.91709200000003</v>
      </c>
      <c r="K45" s="690">
        <f t="shared" ref="K45:P45" si="33">K9+0.71*J16+17-10</f>
        <v>660.87713363636362</v>
      </c>
      <c r="L45" s="690">
        <f t="shared" si="33"/>
        <v>653.05381439493488</v>
      </c>
      <c r="M45" s="690">
        <f t="shared" si="33"/>
        <v>648.20435930849703</v>
      </c>
      <c r="N45" s="690">
        <f t="shared" si="33"/>
        <v>625.77963176527805</v>
      </c>
      <c r="O45" s="690">
        <f t="shared" si="33"/>
        <v>635.93017667884021</v>
      </c>
      <c r="P45" s="846">
        <f t="shared" si="33"/>
        <v>648.58072159240237</v>
      </c>
      <c r="T45" s="44" t="s">
        <v>215</v>
      </c>
      <c r="U45" s="723"/>
      <c r="V45" s="705"/>
      <c r="W45" s="705"/>
      <c r="X45" s="705"/>
      <c r="Y45" s="705"/>
      <c r="Z45" s="705"/>
      <c r="AA45" s="705"/>
      <c r="AB45" s="705"/>
      <c r="AC45" s="705"/>
      <c r="AD45" s="705"/>
      <c r="AE45" s="705"/>
      <c r="AF45" s="705"/>
      <c r="AG45" s="705"/>
    </row>
    <row r="46" spans="1:33" ht="20" customHeight="1">
      <c r="A46" s="867" t="s">
        <v>38</v>
      </c>
      <c r="B46" s="32" t="s">
        <v>34</v>
      </c>
      <c r="C46" s="36" t="s">
        <v>47</v>
      </c>
      <c r="D46" s="1182"/>
      <c r="E46" s="1182"/>
      <c r="F46" s="975">
        <v>0</v>
      </c>
      <c r="G46" s="1005">
        <v>587.00286200000005</v>
      </c>
      <c r="H46" s="1137">
        <v>592.04404299999999</v>
      </c>
      <c r="I46" s="1232">
        <v>573.91709200000003</v>
      </c>
      <c r="J46" s="1287">
        <v>654.83143900000005</v>
      </c>
      <c r="K46" s="690">
        <f t="shared" ref="K46:P46" si="34">K9+0.71*J16</f>
        <v>653.87713363636362</v>
      </c>
      <c r="L46" s="690">
        <f t="shared" si="34"/>
        <v>646.05381439493488</v>
      </c>
      <c r="M46" s="690">
        <f t="shared" si="34"/>
        <v>641.20435930849703</v>
      </c>
      <c r="N46" s="690">
        <f t="shared" si="34"/>
        <v>618.77963176527805</v>
      </c>
      <c r="O46" s="690">
        <f t="shared" si="34"/>
        <v>628.93017667884021</v>
      </c>
      <c r="P46" s="846">
        <f t="shared" si="34"/>
        <v>641.58072159240237</v>
      </c>
      <c r="T46" t="s">
        <v>225</v>
      </c>
      <c r="U46" t="s">
        <v>536</v>
      </c>
      <c r="V46" s="705">
        <f t="shared" ref="V46:AG46" si="35">SUM(E70)</f>
        <v>558.89487163681429</v>
      </c>
      <c r="W46" s="705">
        <f t="shared" si="35"/>
        <v>558.89487163681429</v>
      </c>
      <c r="X46" s="705">
        <f t="shared" si="35"/>
        <v>558.89487163681429</v>
      </c>
      <c r="Y46" s="705">
        <f t="shared" si="35"/>
        <v>538.65973129255599</v>
      </c>
      <c r="Z46" s="705">
        <f t="shared" si="35"/>
        <v>538.65973129255599</v>
      </c>
      <c r="AA46" s="705">
        <f t="shared" si="35"/>
        <v>536.33322464161938</v>
      </c>
      <c r="AB46" s="705">
        <f t="shared" si="35"/>
        <v>502.87091255089172</v>
      </c>
      <c r="AC46" s="705">
        <f t="shared" si="35"/>
        <v>506.1923756568392</v>
      </c>
      <c r="AD46" s="705">
        <f t="shared" si="35"/>
        <v>510.3744543880365</v>
      </c>
      <c r="AE46" s="705">
        <f t="shared" si="35"/>
        <v>514.29664039678221</v>
      </c>
      <c r="AF46" s="705">
        <f t="shared" si="35"/>
        <v>517.92796626702273</v>
      </c>
      <c r="AG46" s="705">
        <f t="shared" si="35"/>
        <v>517.92796626702273</v>
      </c>
    </row>
    <row r="47" spans="1:33" ht="20" customHeight="1">
      <c r="A47" s="867" t="s">
        <v>38</v>
      </c>
      <c r="B47" s="28" t="s">
        <v>25</v>
      </c>
      <c r="C47" s="36" t="s">
        <v>48</v>
      </c>
      <c r="D47" s="1182"/>
      <c r="E47" s="1182"/>
      <c r="F47" s="975">
        <v>0</v>
      </c>
      <c r="G47" s="1005">
        <v>0</v>
      </c>
      <c r="H47" s="1137">
        <v>0</v>
      </c>
      <c r="I47" s="1242">
        <v>539.50112200000001</v>
      </c>
      <c r="J47" s="1287">
        <v>0</v>
      </c>
      <c r="K47" s="690">
        <f t="shared" ref="K47:P47" si="36">K9+0.73*J16+17-10</f>
        <v>661.83141909090909</v>
      </c>
      <c r="L47" s="690">
        <f t="shared" si="36"/>
        <v>654.06941480042599</v>
      </c>
      <c r="M47" s="690">
        <f t="shared" si="36"/>
        <v>649.36504548620121</v>
      </c>
      <c r="N47" s="690">
        <f t="shared" si="36"/>
        <v>627.01286082908871</v>
      </c>
      <c r="O47" s="690">
        <f t="shared" si="36"/>
        <v>637.30849151486393</v>
      </c>
      <c r="P47" s="846">
        <f t="shared" si="36"/>
        <v>650.10412220063904</v>
      </c>
      <c r="U47" t="s">
        <v>76</v>
      </c>
      <c r="V47" s="705">
        <f t="shared" ref="V47:AG47" si="37">SUM(E74)</f>
        <v>457.88458717668294</v>
      </c>
      <c r="W47" s="705">
        <f t="shared" si="37"/>
        <v>457.88458704907498</v>
      </c>
      <c r="X47" s="705">
        <f t="shared" si="37"/>
        <v>457.88458717668283</v>
      </c>
      <c r="Y47" s="705">
        <f t="shared" si="37"/>
        <v>441.30658771167106</v>
      </c>
      <c r="Z47" s="705">
        <f t="shared" si="37"/>
        <v>441.3065877178928</v>
      </c>
      <c r="AA47" s="705">
        <f t="shared" si="37"/>
        <v>439.40055564507492</v>
      </c>
      <c r="AB47" s="705">
        <f t="shared" si="37"/>
        <v>405.4784896371682</v>
      </c>
      <c r="AC47" s="705">
        <f t="shared" si="37"/>
        <v>409.02880805520039</v>
      </c>
      <c r="AD47" s="705">
        <f t="shared" si="37"/>
        <v>412.40813726061356</v>
      </c>
      <c r="AE47" s="705">
        <f t="shared" si="37"/>
        <v>415.57746012140598</v>
      </c>
      <c r="AF47" s="705">
        <f t="shared" si="37"/>
        <v>419.20878599164649</v>
      </c>
      <c r="AG47" s="705">
        <f t="shared" si="37"/>
        <v>419.20878599164649</v>
      </c>
    </row>
    <row r="48" spans="1:33" ht="20" customHeight="1">
      <c r="A48" s="867" t="s">
        <v>38</v>
      </c>
      <c r="B48" s="32" t="s">
        <v>34</v>
      </c>
      <c r="C48" s="36" t="s">
        <v>49</v>
      </c>
      <c r="D48" s="1182"/>
      <c r="E48" s="1182"/>
      <c r="F48" s="975">
        <v>0</v>
      </c>
      <c r="G48" s="1005">
        <v>0</v>
      </c>
      <c r="H48" s="1137">
        <v>0</v>
      </c>
      <c r="I48" s="1232">
        <v>0</v>
      </c>
      <c r="J48" s="1287">
        <v>0</v>
      </c>
      <c r="K48" s="690">
        <f t="shared" ref="K48:P48" si="38">J16+0.73*K9</f>
        <v>500.31427272727268</v>
      </c>
      <c r="L48" s="690">
        <f t="shared" si="38"/>
        <v>496.0800202745562</v>
      </c>
      <c r="M48" s="690">
        <f t="shared" si="38"/>
        <v>496.03430888520711</v>
      </c>
      <c r="N48" s="690">
        <f t="shared" si="38"/>
        <v>481.41145319053254</v>
      </c>
      <c r="O48" s="690">
        <f t="shared" si="38"/>
        <v>492.31574180118344</v>
      </c>
      <c r="P48" s="846">
        <f t="shared" si="38"/>
        <v>505.04503041183432</v>
      </c>
      <c r="U48" t="s">
        <v>537</v>
      </c>
      <c r="V48" s="705">
        <f t="shared" ref="V48:AG48" si="39">SUM(E73)</f>
        <v>461.4254924725094</v>
      </c>
      <c r="W48" s="705">
        <f t="shared" si="39"/>
        <v>461.55439764585856</v>
      </c>
      <c r="X48" s="705">
        <f t="shared" si="39"/>
        <v>461.55145574847666</v>
      </c>
      <c r="Y48" s="705">
        <f t="shared" si="39"/>
        <v>444.7676891978283</v>
      </c>
      <c r="Z48" s="705">
        <f t="shared" si="39"/>
        <v>444.90130963787095</v>
      </c>
      <c r="AA48" s="705">
        <f t="shared" si="39"/>
        <v>442.97759049984859</v>
      </c>
      <c r="AB48" s="705">
        <f t="shared" si="39"/>
        <v>405.4784896371682</v>
      </c>
      <c r="AC48" s="705">
        <f t="shared" si="39"/>
        <v>409.02880805520039</v>
      </c>
      <c r="AD48" s="705">
        <f t="shared" si="39"/>
        <v>412.40813726061356</v>
      </c>
      <c r="AE48" s="705">
        <f t="shared" si="39"/>
        <v>415.57746012140598</v>
      </c>
      <c r="AF48" s="705">
        <f t="shared" si="39"/>
        <v>419.20878599164649</v>
      </c>
      <c r="AG48" s="705">
        <f t="shared" si="39"/>
        <v>419.20878599164649</v>
      </c>
    </row>
    <row r="49" spans="1:33" ht="20" customHeight="1">
      <c r="A49" s="867" t="s">
        <v>38</v>
      </c>
      <c r="B49" s="1302" t="s">
        <v>25</v>
      </c>
      <c r="C49" s="1303" t="s">
        <v>189</v>
      </c>
      <c r="D49" s="1305">
        <v>495.26689138647293</v>
      </c>
      <c r="E49" s="1305">
        <v>496.76230292648177</v>
      </c>
      <c r="F49" s="1306">
        <v>497.16492861021158</v>
      </c>
      <c r="G49" s="1307">
        <v>484.21237406026233</v>
      </c>
      <c r="H49" s="1308">
        <v>475.72208062876956</v>
      </c>
      <c r="I49" s="1309">
        <v>476.290596860162</v>
      </c>
      <c r="J49" s="1310">
        <v>474.14829769864781</v>
      </c>
      <c r="K49" s="1311">
        <f t="shared" ref="K49:P49" si="40">K18+(0.53*1000/K19)</f>
        <v>440.63832314445796</v>
      </c>
      <c r="L49" s="1311">
        <f t="shared" si="40"/>
        <v>444.10602204826688</v>
      </c>
      <c r="M49" s="1311">
        <f t="shared" si="40"/>
        <v>447.77515346652399</v>
      </c>
      <c r="N49" s="1311">
        <f t="shared" si="40"/>
        <v>451.21626895906212</v>
      </c>
      <c r="O49" s="1311">
        <f t="shared" si="40"/>
        <v>454.84759482930264</v>
      </c>
      <c r="P49" s="1312">
        <f t="shared" si="40"/>
        <v>454.84759482930264</v>
      </c>
      <c r="U49" t="s">
        <v>276</v>
      </c>
      <c r="V49" s="705">
        <f>SUMPRODUCT(E72:E73,Delivery!E72:E73)/SUM(Delivery!E72:E73)</f>
        <v>461.4254924725094</v>
      </c>
      <c r="W49" s="705">
        <f>SUMPRODUCT(F72:F73,Delivery!F72:F73)/SUM(Delivery!F72:F73)</f>
        <v>461.5543976458585</v>
      </c>
      <c r="X49" s="705">
        <f>SUMPRODUCT(G72:G73,Delivery!G72:G73)/SUM(Delivery!G72:G73)</f>
        <v>461.55145574847666</v>
      </c>
      <c r="Y49" s="705">
        <f>SUMPRODUCT(H72:H73,Delivery!H72:H73)/SUM(Delivery!H72:H73)</f>
        <v>444.7676891978283</v>
      </c>
      <c r="Z49" s="705">
        <f>SUMPRODUCT(I72:I73,Delivery!I72:I73)/SUM(Delivery!I72:I73)</f>
        <v>444.90130963787101</v>
      </c>
      <c r="AA49" s="705">
        <f>SUMPRODUCT(J72:J73,Delivery!J72:J73)/SUM(Delivery!J72:J73)</f>
        <v>442.97759049984859</v>
      </c>
      <c r="AB49" s="705">
        <f>SUMPRODUCT(K72:K73,Delivery!K72:K73)/SUM(Delivery!K72:K73)</f>
        <v>405.4784896371682</v>
      </c>
      <c r="AC49" s="705">
        <f>SUMPRODUCT(L72:L73,Delivery!L72:L73)/SUM(Delivery!L72:L73)</f>
        <v>409.02880805520039</v>
      </c>
      <c r="AD49" s="705">
        <f>SUMPRODUCT(M72:M73,Delivery!M72:M73)/SUM(Delivery!M72:M73)</f>
        <v>412.40813726061356</v>
      </c>
      <c r="AE49" s="705">
        <f>SUMPRODUCT(N72:N73,Delivery!N72:N73)/SUM(Delivery!N72:N73)</f>
        <v>415.57746012140592</v>
      </c>
      <c r="AF49" s="705">
        <f>SUMPRODUCT(O72:O73,Delivery!O72:O73)/SUM(Delivery!O72:O73)</f>
        <v>419.20878599164649</v>
      </c>
      <c r="AG49" s="705">
        <f>SUMPRODUCT(P72:P73,Delivery!P72:P73)/SUM(Delivery!P72:P73)</f>
        <v>419.20878599164655</v>
      </c>
    </row>
    <row r="50" spans="1:33" ht="20" customHeight="1">
      <c r="A50" s="867" t="s">
        <v>38</v>
      </c>
      <c r="B50" s="36"/>
      <c r="C50" s="33" t="s">
        <v>35</v>
      </c>
      <c r="D50" s="1183">
        <f>'Revenue (Baht)'!D50/(Delivery!D50*D$20)</f>
        <v>516.31917332580201</v>
      </c>
      <c r="E50" s="1183">
        <f>'Revenue (Baht)'!E50/(Delivery!E50*Fx!E26)</f>
        <v>644.84651351900789</v>
      </c>
      <c r="F50" s="1183">
        <f>'Revenue (Baht)'!F50/(Delivery!F50*Fx!F26)</f>
        <v>690.85705899618438</v>
      </c>
      <c r="G50" s="1185">
        <f>'Revenue (Baht)'!G50/(Delivery!G50*Fx!G26)</f>
        <v>667.42681167894591</v>
      </c>
      <c r="H50" s="1184">
        <f>'Revenue (Baht)'!H50/(Delivery!H50*Fx!H26)</f>
        <v>600.2170235853572</v>
      </c>
      <c r="I50" s="1184">
        <f>'Revenue (Baht)'!I50/(Delivery!I50*Fx!I26)</f>
        <v>548.09621799869626</v>
      </c>
      <c r="J50" s="1184">
        <f>'Revenue (Baht)'!J50/(Delivery!J50*Fx!J26)</f>
        <v>590.12946527976578</v>
      </c>
      <c r="K50" s="1185">
        <f>'Revenue (Baht)'!K50/(Delivery!K50*Fx!K26)</f>
        <v>665.17139999999995</v>
      </c>
      <c r="L50" s="1185">
        <f>'Revenue (Baht)'!L50/(Delivery!L50*Fx!L26)</f>
        <v>657.62399999999991</v>
      </c>
      <c r="M50" s="1185">
        <f>'Revenue (Baht)'!M50/(Delivery!M50*Fx!M26)</f>
        <v>653.42740000000003</v>
      </c>
      <c r="N50" s="1185">
        <f>'Revenue (Baht)'!N50/(Delivery!N50*Fx!N26)</f>
        <v>631.32920000000013</v>
      </c>
      <c r="O50" s="1185">
        <f>'Revenue (Baht)'!O50/(Delivery!O50*Fx!O26)</f>
        <v>642.13260000000002</v>
      </c>
      <c r="P50" s="1185">
        <f>'Revenue (Baht)'!P50/(Delivery!P50*Fx!P26)</f>
        <v>655.43600000000004</v>
      </c>
      <c r="U50" t="s">
        <v>538</v>
      </c>
      <c r="V50" s="705">
        <f>SUMPRODUCT(E75:E76,Delivery!E75:E76)/SUM(Delivery!E75:E76)</f>
        <v>453.76624591192376</v>
      </c>
      <c r="W50" s="705">
        <f>SUMPRODUCT(F75:F76,Delivery!F75:F76)/SUM(Delivery!F75:F76)</f>
        <v>453.31152918957207</v>
      </c>
      <c r="X50" s="705">
        <f>SUMPRODUCT(G75:G76,Delivery!G75:G76)/SUM(Delivery!G75:G76)</f>
        <v>453.24531652677405</v>
      </c>
      <c r="Y50" s="705">
        <f>SUMPRODUCT(H75:H76,Delivery!H75:H76)/SUM(Delivery!H75:H76)</f>
        <v>436.88469443380018</v>
      </c>
      <c r="Z50" s="705">
        <f>SUMPRODUCT(I75:I76,Delivery!I75:I76)/SUM(Delivery!I75:I76)</f>
        <v>436.81230612181344</v>
      </c>
      <c r="AA50" s="705">
        <f>SUMPRODUCT(J75:J76,Delivery!J75:J76)/SUM(Delivery!J75:J76)</f>
        <v>434.98480175264609</v>
      </c>
      <c r="AB50" s="705">
        <f>SUMPRODUCT(K75:K76,Delivery!K75:K76)/SUM(Delivery!K75:K76)</f>
        <v>397.68285661016279</v>
      </c>
      <c r="AC50" s="705">
        <f>SUMPRODUCT(L75:L76,Delivery!L75:L76)/SUM(Delivery!L75:L76)</f>
        <v>401.25149341453266</v>
      </c>
      <c r="AD50" s="705">
        <f>SUMPRODUCT(M75:M76,Delivery!M75:M76)/SUM(Delivery!M75:M76)</f>
        <v>404.56656771665467</v>
      </c>
      <c r="AE50" s="705">
        <f>SUMPRODUCT(N75:N76,Delivery!N75:N76)/SUM(Delivery!N75:N76)</f>
        <v>407.67562875578358</v>
      </c>
      <c r="AF50" s="705">
        <f>SUMPRODUCT(O75:O76,Delivery!O75:O76)/SUM(Delivery!O75:O76)</f>
        <v>411.30695462602415</v>
      </c>
      <c r="AG50" s="705">
        <f>SUMPRODUCT(P75:P76,Delivery!P75:P76)/SUM(Delivery!P75:P76)</f>
        <v>411.30695462602415</v>
      </c>
    </row>
    <row r="51" spans="1:33" ht="20" customHeight="1">
      <c r="A51" s="867" t="s">
        <v>38</v>
      </c>
      <c r="B51" s="36"/>
      <c r="C51" s="33" t="s">
        <v>36</v>
      </c>
      <c r="D51" s="1183"/>
      <c r="E51" s="1183"/>
      <c r="F51" s="1183">
        <f>'Revenue (Baht)'!F51/(Delivery!F51*Fx!F32)</f>
        <v>677.41548149531707</v>
      </c>
      <c r="G51" s="1185">
        <f>'Revenue (Baht)'!G51/(Delivery!G51*Fx!G32)</f>
        <v>620.73685966667279</v>
      </c>
      <c r="H51" s="1184">
        <f>'Revenue (Baht)'!H51/(Delivery!H51*Fx!H32)</f>
        <v>592.0275747614337</v>
      </c>
      <c r="I51" s="1184">
        <f>'Revenue (Baht)'!I51/(Delivery!I51*Fx!I32)</f>
        <v>560.88138501720493</v>
      </c>
      <c r="J51" s="1184">
        <f>'Revenue (Baht)'!J51/(Delivery!J51*Fx!J32)</f>
        <v>628.5345273059761</v>
      </c>
      <c r="K51" s="1185">
        <f>'Revenue (Baht)'!K51/(Delivery!K51*Fx!K32)</f>
        <v>653.87713363636362</v>
      </c>
      <c r="L51" s="1185">
        <f>'Revenue (Baht)'!L51/(Delivery!L51*Fx!L32)</f>
        <v>653.05381439493488</v>
      </c>
      <c r="M51" s="1185">
        <f>'Revenue (Baht)'!M51/(Delivery!M51*Fx!M32)</f>
        <v>648.20435930849703</v>
      </c>
      <c r="N51" s="1185">
        <f>'Revenue (Baht)'!N51/(Delivery!N51*Fx!N32)</f>
        <v>625.77963176527805</v>
      </c>
      <c r="O51" s="1185">
        <f>'Revenue (Baht)'!O51/(Delivery!O51*Fx!O32)</f>
        <v>635.93017667884021</v>
      </c>
      <c r="P51" s="1185">
        <f>'Revenue (Baht)'!P51/(Delivery!P51*Fx!P32)</f>
        <v>644.76942875751149</v>
      </c>
      <c r="T51" t="s">
        <v>226</v>
      </c>
      <c r="U51" t="s">
        <v>276</v>
      </c>
      <c r="V51" s="705">
        <f t="shared" ref="V51:AG52" si="41">SUM(E77)</f>
        <v>459.20931220773917</v>
      </c>
      <c r="W51" s="705">
        <f t="shared" si="41"/>
        <v>459.20931222626433</v>
      </c>
      <c r="X51" s="705">
        <f t="shared" si="41"/>
        <v>459.20931219042109</v>
      </c>
      <c r="Y51" s="705">
        <f t="shared" si="41"/>
        <v>442.58335023276777</v>
      </c>
      <c r="Z51" s="705">
        <f t="shared" si="41"/>
        <v>442.58335025043675</v>
      </c>
      <c r="AA51" s="705">
        <f t="shared" si="41"/>
        <v>440.67180378031048</v>
      </c>
      <c r="AB51" s="705">
        <f t="shared" si="41"/>
        <v>406.8368659541614</v>
      </c>
      <c r="AC51" s="705">
        <f t="shared" si="41"/>
        <v>410.38399242330627</v>
      </c>
      <c r="AD51" s="705">
        <f t="shared" si="41"/>
        <v>413.77451794062631</v>
      </c>
      <c r="AE51" s="705">
        <f t="shared" si="41"/>
        <v>416.95434132537656</v>
      </c>
      <c r="AF51" s="705">
        <f t="shared" si="41"/>
        <v>420.58566719561708</v>
      </c>
      <c r="AG51" s="705">
        <f t="shared" si="41"/>
        <v>420.58566719561708</v>
      </c>
    </row>
    <row r="52" spans="1:33" ht="20" customHeight="1" thickBot="1">
      <c r="A52" s="867" t="s">
        <v>38</v>
      </c>
      <c r="B52" s="28"/>
      <c r="C52" s="836" t="s">
        <v>37</v>
      </c>
      <c r="D52" s="1183">
        <f>'Revenue (Baht)'!D52/D20/Delivery!D52</f>
        <v>481.08969709291353</v>
      </c>
      <c r="E52" s="1183">
        <f>('Revenue (Baht)'!E52-'Revenue (Baht)'!E49)/((Delivery!E52+Delivery!E49)*Fx!E26)</f>
        <v>577.45529983971892</v>
      </c>
      <c r="F52" s="1183">
        <f>('Revenue (Baht)'!F52-'Revenue (Baht)'!F49)/((Delivery!F52+Delivery!F49)*Fx!F26)</f>
        <v>620.16063588291456</v>
      </c>
      <c r="G52" s="1183">
        <f>('Revenue (Baht)'!G52-'Revenue (Baht)'!G49)/((Delivery!G52+Delivery!G49)*Fx!G26)</f>
        <v>609.00122851419621</v>
      </c>
      <c r="H52" s="1184">
        <f>'Revenue (Baht)'!H52/(Delivery!H52*Fx!H26)</f>
        <v>579.30723329140585</v>
      </c>
      <c r="I52" s="1184">
        <f>'Revenue (Baht)'!I52/(Delivery!I52*Fx!I26)</f>
        <v>542.12053138621729</v>
      </c>
      <c r="J52" s="1184">
        <f>'Revenue (Baht)'!J52/(Delivery!J52*Fx!J26)</f>
        <v>576.67474001170683</v>
      </c>
      <c r="K52" s="1185">
        <f>'Revenue (Baht)'!K52/(Delivery!K52*Fx!K26)</f>
        <v>662.69044709671857</v>
      </c>
      <c r="L52" s="1185">
        <f>'Revenue (Baht)'!L52/(Delivery!L52*Fx!L26)</f>
        <v>602.62513626901648</v>
      </c>
      <c r="M52" s="1185">
        <f>'Revenue (Baht)'!M52/(Delivery!M52*Fx!M26)</f>
        <v>575.30457893970743</v>
      </c>
      <c r="N52" s="1185">
        <f>'Revenue (Baht)'!N52/(Delivery!N52*Fx!N26)</f>
        <v>533.08332746903807</v>
      </c>
      <c r="O52" s="1185">
        <f>'Revenue (Baht)'!O52/(Delivery!O52*Fx!O26)</f>
        <v>573.46661688848121</v>
      </c>
      <c r="P52" s="1185">
        <f>'Revenue (Baht)'!P52/(Delivery!P52*Fx!P26)</f>
        <v>590.03729492804257</v>
      </c>
      <c r="U52" t="s">
        <v>538</v>
      </c>
      <c r="V52" s="705">
        <f t="shared" si="41"/>
        <v>0</v>
      </c>
      <c r="W52" s="705">
        <f t="shared" si="41"/>
        <v>0</v>
      </c>
      <c r="X52" s="705">
        <f t="shared" si="41"/>
        <v>0</v>
      </c>
      <c r="Y52" s="705">
        <f t="shared" si="41"/>
        <v>0</v>
      </c>
      <c r="Z52" s="705">
        <f t="shared" si="41"/>
        <v>0</v>
      </c>
      <c r="AA52" s="705">
        <f t="shared" si="41"/>
        <v>0</v>
      </c>
      <c r="AB52" s="705">
        <f t="shared" si="41"/>
        <v>0</v>
      </c>
      <c r="AC52" s="705">
        <f t="shared" si="41"/>
        <v>0</v>
      </c>
      <c r="AD52" s="705">
        <f t="shared" si="41"/>
        <v>0</v>
      </c>
      <c r="AE52" s="705">
        <f t="shared" si="41"/>
        <v>0</v>
      </c>
      <c r="AF52" s="705">
        <f t="shared" si="41"/>
        <v>0</v>
      </c>
      <c r="AG52" s="705">
        <f t="shared" si="41"/>
        <v>0</v>
      </c>
    </row>
    <row r="53" spans="1:33" ht="20" customHeight="1" thickBot="1">
      <c r="A53" s="866" t="s">
        <v>214</v>
      </c>
      <c r="B53" s="1249" t="s">
        <v>25</v>
      </c>
      <c r="C53" s="1265" t="s">
        <v>51</v>
      </c>
      <c r="D53" s="1250">
        <v>516.31979999999999</v>
      </c>
      <c r="E53" s="1182">
        <v>629.84770000000003</v>
      </c>
      <c r="F53" s="1182">
        <v>675.85709999999995</v>
      </c>
      <c r="G53" s="1003">
        <v>647.42579999999998</v>
      </c>
      <c r="H53" s="1137">
        <v>580.21860000000004</v>
      </c>
      <c r="I53" s="1232">
        <v>533.09709999999995</v>
      </c>
      <c r="J53" s="1287">
        <v>582.62829999999997</v>
      </c>
      <c r="K53" s="690">
        <f>K8+(0.8*J16)+20-13</f>
        <v>665.17141818181824</v>
      </c>
      <c r="L53" s="690">
        <f t="shared" ref="L53:P53" si="42">L8+(0.8*K16)+20-13</f>
        <v>660.124016219645</v>
      </c>
      <c r="M53" s="690">
        <f t="shared" si="42"/>
        <v>655.92744710816567</v>
      </c>
      <c r="N53" s="690">
        <f t="shared" si="42"/>
        <v>631.32916255242606</v>
      </c>
      <c r="O53" s="690">
        <f t="shared" si="42"/>
        <v>642.13259344094672</v>
      </c>
      <c r="P53" s="846">
        <f t="shared" si="42"/>
        <v>655.4360243294675</v>
      </c>
      <c r="T53" t="s">
        <v>227</v>
      </c>
      <c r="U53" t="s">
        <v>276</v>
      </c>
      <c r="V53" s="705">
        <f t="shared" ref="V53:AG54" si="43">SUM(E91)</f>
        <v>459.20931222361043</v>
      </c>
      <c r="W53" s="705">
        <f t="shared" si="43"/>
        <v>459.20931223645579</v>
      </c>
      <c r="X53" s="705">
        <f t="shared" si="43"/>
        <v>459.20931221202022</v>
      </c>
      <c r="Y53" s="705">
        <f t="shared" si="43"/>
        <v>442.58335024447098</v>
      </c>
      <c r="Z53" s="705">
        <f t="shared" si="43"/>
        <v>442.58335025043675</v>
      </c>
      <c r="AA53" s="705">
        <f t="shared" si="43"/>
        <v>440.67180378031048</v>
      </c>
      <c r="AB53" s="705">
        <f t="shared" si="43"/>
        <v>406.8368659541614</v>
      </c>
      <c r="AC53" s="705">
        <f t="shared" si="43"/>
        <v>410.38399242330627</v>
      </c>
      <c r="AD53" s="705">
        <f t="shared" si="43"/>
        <v>413.77451794062631</v>
      </c>
      <c r="AE53" s="705">
        <f t="shared" si="43"/>
        <v>416.95434132537656</v>
      </c>
      <c r="AF53" s="705">
        <f t="shared" si="43"/>
        <v>420.58566719561708</v>
      </c>
      <c r="AG53" s="705">
        <f t="shared" si="43"/>
        <v>420.58566719561708</v>
      </c>
    </row>
    <row r="54" spans="1:33" ht="20" customHeight="1">
      <c r="A54" s="866" t="s">
        <v>214</v>
      </c>
      <c r="B54" s="28" t="s">
        <v>25</v>
      </c>
      <c r="C54" s="1264" t="s">
        <v>52</v>
      </c>
      <c r="D54" s="1182">
        <v>0</v>
      </c>
      <c r="E54" s="1182">
        <v>0</v>
      </c>
      <c r="F54" s="1182">
        <v>0</v>
      </c>
      <c r="G54" s="1193">
        <v>0</v>
      </c>
      <c r="H54" s="1191">
        <v>0</v>
      </c>
      <c r="I54" s="1233">
        <v>0</v>
      </c>
      <c r="J54" s="1288">
        <v>0</v>
      </c>
      <c r="K54" s="36"/>
      <c r="L54" s="36"/>
      <c r="M54" s="36"/>
      <c r="N54" s="36"/>
      <c r="O54" s="36"/>
      <c r="P54" s="1192"/>
      <c r="U54" t="s">
        <v>538</v>
      </c>
      <c r="V54" s="705">
        <f t="shared" si="43"/>
        <v>0</v>
      </c>
      <c r="W54" s="705">
        <f t="shared" si="43"/>
        <v>0</v>
      </c>
      <c r="X54" s="705">
        <f t="shared" si="43"/>
        <v>0</v>
      </c>
      <c r="Y54" s="705">
        <f t="shared" si="43"/>
        <v>0</v>
      </c>
      <c r="Z54" s="705">
        <f t="shared" si="43"/>
        <v>0</v>
      </c>
      <c r="AA54" s="705">
        <f t="shared" si="43"/>
        <v>0</v>
      </c>
      <c r="AB54" s="705">
        <f t="shared" si="43"/>
        <v>0</v>
      </c>
      <c r="AC54" s="705">
        <f t="shared" si="43"/>
        <v>0</v>
      </c>
      <c r="AD54" s="705">
        <f t="shared" si="43"/>
        <v>0</v>
      </c>
      <c r="AE54" s="705">
        <f t="shared" si="43"/>
        <v>0</v>
      </c>
      <c r="AF54" s="705">
        <f t="shared" si="43"/>
        <v>0</v>
      </c>
      <c r="AG54" s="705">
        <f t="shared" si="43"/>
        <v>0</v>
      </c>
    </row>
    <row r="55" spans="1:33" ht="15.5">
      <c r="A55" s="866" t="s">
        <v>214</v>
      </c>
      <c r="B55" s="32" t="s">
        <v>34</v>
      </c>
      <c r="C55" s="37" t="s">
        <v>53</v>
      </c>
      <c r="D55" s="865">
        <v>0</v>
      </c>
      <c r="E55" s="865">
        <v>0</v>
      </c>
      <c r="F55" s="865">
        <v>0</v>
      </c>
      <c r="G55" s="1003">
        <v>0</v>
      </c>
      <c r="H55" s="1137">
        <v>0</v>
      </c>
      <c r="I55" s="1232">
        <v>0</v>
      </c>
      <c r="J55" s="1287">
        <v>0</v>
      </c>
      <c r="K55" s="690">
        <f t="shared" ref="K55:P55" si="44">K53</f>
        <v>665.17141818181824</v>
      </c>
      <c r="L55" s="690">
        <f t="shared" si="44"/>
        <v>660.124016219645</v>
      </c>
      <c r="M55" s="690">
        <f t="shared" si="44"/>
        <v>655.92744710816567</v>
      </c>
      <c r="N55" s="690">
        <f t="shared" si="44"/>
        <v>631.32916255242606</v>
      </c>
      <c r="O55" s="690">
        <f t="shared" si="44"/>
        <v>642.13259344094672</v>
      </c>
      <c r="P55" s="846">
        <f t="shared" si="44"/>
        <v>655.4360243294675</v>
      </c>
      <c r="T55" t="s">
        <v>228</v>
      </c>
      <c r="U55" t="s">
        <v>276</v>
      </c>
      <c r="V55" s="705">
        <f t="shared" ref="V55:AG56" si="45">SUM(E79)</f>
        <v>0</v>
      </c>
      <c r="W55" s="705">
        <f t="shared" si="45"/>
        <v>0</v>
      </c>
      <c r="X55" s="705">
        <f t="shared" si="45"/>
        <v>0</v>
      </c>
      <c r="Y55" s="705">
        <f t="shared" si="45"/>
        <v>0</v>
      </c>
      <c r="Z55" s="705">
        <f t="shared" si="45"/>
        <v>0</v>
      </c>
      <c r="AA55" s="705">
        <f t="shared" si="45"/>
        <v>0</v>
      </c>
      <c r="AB55" s="705">
        <f t="shared" si="45"/>
        <v>406.5209644850932</v>
      </c>
      <c r="AC55" s="705">
        <f t="shared" si="45"/>
        <v>410.0688332679328</v>
      </c>
      <c r="AD55" s="705">
        <f t="shared" si="45"/>
        <v>413.45675499178611</v>
      </c>
      <c r="AE55" s="705">
        <f t="shared" si="45"/>
        <v>416.6341363942206</v>
      </c>
      <c r="AF55" s="705">
        <f t="shared" si="45"/>
        <v>420.26546226446112</v>
      </c>
      <c r="AG55" s="705">
        <f t="shared" si="45"/>
        <v>420.26546226446112</v>
      </c>
    </row>
    <row r="56" spans="1:33" ht="24" customHeight="1">
      <c r="A56" s="866" t="s">
        <v>214</v>
      </c>
      <c r="B56" s="28" t="s">
        <v>25</v>
      </c>
      <c r="C56" s="37" t="s">
        <v>54</v>
      </c>
      <c r="D56" s="865">
        <v>516.31979999999999</v>
      </c>
      <c r="E56" s="865">
        <v>629.84770000000003</v>
      </c>
      <c r="F56" s="865">
        <v>675.85709999999995</v>
      </c>
      <c r="G56" s="1003">
        <v>647.42579999999998</v>
      </c>
      <c r="H56" s="1137">
        <v>580.21860000000004</v>
      </c>
      <c r="I56" s="1232">
        <v>533.09709999999995</v>
      </c>
      <c r="J56" s="1287">
        <v>582.62829999999997</v>
      </c>
      <c r="K56" s="690">
        <f t="shared" ref="K56:P56" si="46">K53</f>
        <v>665.17141818181824</v>
      </c>
      <c r="L56" s="690">
        <f t="shared" si="46"/>
        <v>660.124016219645</v>
      </c>
      <c r="M56" s="690">
        <f t="shared" si="46"/>
        <v>655.92744710816567</v>
      </c>
      <c r="N56" s="690">
        <f t="shared" si="46"/>
        <v>631.32916255242606</v>
      </c>
      <c r="O56" s="690">
        <f t="shared" si="46"/>
        <v>642.13259344094672</v>
      </c>
      <c r="P56" s="846">
        <f t="shared" si="46"/>
        <v>655.4360243294675</v>
      </c>
      <c r="U56" t="s">
        <v>538</v>
      </c>
      <c r="V56" s="705">
        <f t="shared" si="45"/>
        <v>456.19880477477523</v>
      </c>
      <c r="W56" s="705">
        <f t="shared" si="45"/>
        <v>0</v>
      </c>
      <c r="X56" s="705">
        <f t="shared" si="45"/>
        <v>455.5737578352892</v>
      </c>
      <c r="Y56" s="705">
        <f t="shared" si="45"/>
        <v>439.53527775880076</v>
      </c>
      <c r="Z56" s="705">
        <f t="shared" si="45"/>
        <v>439.3165098296522</v>
      </c>
      <c r="AA56" s="705">
        <f t="shared" si="45"/>
        <v>437.13653844268384</v>
      </c>
      <c r="AB56" s="705">
        <f t="shared" si="45"/>
        <v>401.78244244907034</v>
      </c>
      <c r="AC56" s="705">
        <f t="shared" si="45"/>
        <v>405.34144593733083</v>
      </c>
      <c r="AD56" s="705">
        <f t="shared" si="45"/>
        <v>408.69031075918366</v>
      </c>
      <c r="AE56" s="705">
        <f t="shared" si="45"/>
        <v>411.83106242688149</v>
      </c>
      <c r="AF56" s="705">
        <f t="shared" si="45"/>
        <v>415.462388297122</v>
      </c>
      <c r="AG56" s="705">
        <f t="shared" si="45"/>
        <v>415.462388297122</v>
      </c>
    </row>
    <row r="57" spans="1:33" ht="21.65" customHeight="1">
      <c r="A57" s="866" t="s">
        <v>214</v>
      </c>
      <c r="B57" s="28" t="s">
        <v>25</v>
      </c>
      <c r="C57" s="37" t="s">
        <v>55</v>
      </c>
      <c r="D57" s="865">
        <v>0</v>
      </c>
      <c r="E57" s="865">
        <v>0</v>
      </c>
      <c r="F57" s="865">
        <v>0</v>
      </c>
      <c r="G57" s="1003">
        <v>0</v>
      </c>
      <c r="H57" s="1137">
        <v>0</v>
      </c>
      <c r="I57" s="1232">
        <v>0</v>
      </c>
      <c r="J57" s="1287">
        <v>0</v>
      </c>
      <c r="K57" s="690"/>
      <c r="L57" s="690"/>
      <c r="M57" s="690"/>
      <c r="N57" s="690"/>
      <c r="O57" s="690"/>
      <c r="P57" s="690"/>
      <c r="T57" t="s">
        <v>229</v>
      </c>
      <c r="U57" t="s">
        <v>276</v>
      </c>
      <c r="V57" s="705">
        <f t="shared" ref="V57:AG57" si="47">SUM(E82)</f>
        <v>0</v>
      </c>
      <c r="W57" s="705">
        <f t="shared" si="47"/>
        <v>0</v>
      </c>
      <c r="X57" s="705">
        <f t="shared" si="47"/>
        <v>0</v>
      </c>
      <c r="Y57" s="705">
        <f t="shared" si="47"/>
        <v>0</v>
      </c>
      <c r="Z57" s="705">
        <f t="shared" si="47"/>
        <v>0</v>
      </c>
      <c r="AA57" s="705">
        <f t="shared" si="47"/>
        <v>0</v>
      </c>
      <c r="AB57" s="705">
        <f t="shared" si="47"/>
        <v>412.83899386645709</v>
      </c>
      <c r="AC57" s="705">
        <f t="shared" si="47"/>
        <v>416.3720163754021</v>
      </c>
      <c r="AD57" s="705">
        <f t="shared" si="47"/>
        <v>419.81201396858944</v>
      </c>
      <c r="AE57" s="705">
        <f t="shared" si="47"/>
        <v>423.03823501733939</v>
      </c>
      <c r="AF57" s="705">
        <f t="shared" si="47"/>
        <v>426.66956088757991</v>
      </c>
      <c r="AG57" s="705">
        <f t="shared" si="47"/>
        <v>426.66956088757991</v>
      </c>
    </row>
    <row r="58" spans="1:33" ht="21.65" customHeight="1" thickBot="1">
      <c r="A58" s="866" t="s">
        <v>214</v>
      </c>
      <c r="B58" s="32" t="s">
        <v>34</v>
      </c>
      <c r="C58" s="1267" t="s">
        <v>56</v>
      </c>
      <c r="D58" s="865">
        <v>0</v>
      </c>
      <c r="E58" s="865">
        <v>0</v>
      </c>
      <c r="F58" s="865">
        <v>0</v>
      </c>
      <c r="G58" s="1003">
        <v>0</v>
      </c>
      <c r="H58" s="1137">
        <v>0</v>
      </c>
      <c r="I58" s="1232">
        <v>0</v>
      </c>
      <c r="J58" s="1287">
        <v>0</v>
      </c>
      <c r="K58" s="690">
        <f t="shared" ref="K58:P58" si="48">K55</f>
        <v>665.17141818181824</v>
      </c>
      <c r="L58" s="690">
        <f t="shared" si="48"/>
        <v>660.124016219645</v>
      </c>
      <c r="M58" s="690">
        <f t="shared" si="48"/>
        <v>655.92744710816567</v>
      </c>
      <c r="N58" s="690">
        <f t="shared" si="48"/>
        <v>631.32916255242606</v>
      </c>
      <c r="O58" s="690">
        <f t="shared" si="48"/>
        <v>642.13259344094672</v>
      </c>
      <c r="P58" s="846">
        <f t="shared" si="48"/>
        <v>655.4360243294675</v>
      </c>
      <c r="U58" t="s">
        <v>538</v>
      </c>
      <c r="V58" s="711">
        <f>SUMPRODUCT(E83:E84,Delivery!E83:E84)/SUM(Delivery!E83:E84)</f>
        <v>467.04712661567373</v>
      </c>
      <c r="W58" s="705">
        <f t="shared" ref="W58:AG58" si="49">SUM(F83:F84)</f>
        <v>933.98414368224201</v>
      </c>
      <c r="X58" s="705">
        <f t="shared" si="49"/>
        <v>933.98414368224201</v>
      </c>
      <c r="Y58" s="705">
        <f t="shared" si="49"/>
        <v>900.16866033137069</v>
      </c>
      <c r="Z58" s="705">
        <f t="shared" si="49"/>
        <v>900.16866033137057</v>
      </c>
      <c r="AA58" s="705">
        <f t="shared" si="49"/>
        <v>896.28077294428067</v>
      </c>
      <c r="AB58" s="705">
        <f t="shared" si="49"/>
        <v>808.3034069341636</v>
      </c>
      <c r="AC58" s="705">
        <f t="shared" si="49"/>
        <v>815.41027920526369</v>
      </c>
      <c r="AD58" s="705">
        <f t="shared" si="49"/>
        <v>822.14706575096977</v>
      </c>
      <c r="AE58" s="705">
        <f t="shared" si="49"/>
        <v>828.46519882110215</v>
      </c>
      <c r="AF58" s="705">
        <f t="shared" si="49"/>
        <v>835.72785056158318</v>
      </c>
      <c r="AG58" s="705">
        <f t="shared" si="49"/>
        <v>835.72785056158318</v>
      </c>
    </row>
    <row r="59" spans="1:33" ht="21.65" customHeight="1" thickBot="1">
      <c r="A59" s="866" t="s">
        <v>214</v>
      </c>
      <c r="B59" s="1249" t="s">
        <v>25</v>
      </c>
      <c r="C59" s="1269" t="s">
        <v>57</v>
      </c>
      <c r="D59" s="1266">
        <v>0</v>
      </c>
      <c r="E59" s="865">
        <v>0</v>
      </c>
      <c r="F59" s="865">
        <v>0</v>
      </c>
      <c r="G59" s="1003">
        <v>513.39670000000001</v>
      </c>
      <c r="H59" s="1137">
        <v>491.10709999999995</v>
      </c>
      <c r="I59" s="1232">
        <v>522.15129999999999</v>
      </c>
      <c r="J59" s="1287">
        <v>563.92049999999995</v>
      </c>
      <c r="K59" s="690">
        <f t="shared" ref="K59:P59" si="50">K7-80</f>
        <v>540</v>
      </c>
      <c r="L59" s="690">
        <f t="shared" si="50"/>
        <v>532.5</v>
      </c>
      <c r="M59" s="690">
        <f t="shared" si="50"/>
        <v>522.5</v>
      </c>
      <c r="N59" s="690">
        <f t="shared" si="50"/>
        <v>495</v>
      </c>
      <c r="O59" s="690">
        <f t="shared" si="50"/>
        <v>500</v>
      </c>
      <c r="P59" s="846">
        <f t="shared" si="50"/>
        <v>507.5</v>
      </c>
      <c r="T59" t="s">
        <v>133</v>
      </c>
      <c r="U59" t="s">
        <v>276</v>
      </c>
      <c r="V59" s="705">
        <f t="shared" ref="V59:AG60" si="51">SUM(E89)</f>
        <v>0</v>
      </c>
      <c r="W59" s="705">
        <f t="shared" si="51"/>
        <v>0</v>
      </c>
      <c r="X59" s="705">
        <f t="shared" si="51"/>
        <v>0</v>
      </c>
      <c r="Y59" s="705">
        <f t="shared" si="51"/>
        <v>0</v>
      </c>
      <c r="Z59" s="705">
        <f t="shared" si="51"/>
        <v>0</v>
      </c>
      <c r="AA59" s="705">
        <f t="shared" si="51"/>
        <v>0</v>
      </c>
      <c r="AB59" s="705">
        <f t="shared" si="51"/>
        <v>412.83899386645709</v>
      </c>
      <c r="AC59" s="705">
        <f t="shared" si="51"/>
        <v>416.3720163754021</v>
      </c>
      <c r="AD59" s="705">
        <f t="shared" si="51"/>
        <v>419.81201396858944</v>
      </c>
      <c r="AE59" s="705">
        <f t="shared" si="51"/>
        <v>423.03823501733939</v>
      </c>
      <c r="AF59" s="705">
        <f t="shared" si="51"/>
        <v>426.66956088757991</v>
      </c>
      <c r="AG59" s="705">
        <f t="shared" si="51"/>
        <v>426.66956088757991</v>
      </c>
    </row>
    <row r="60" spans="1:33" ht="21.65" customHeight="1">
      <c r="A60" s="866" t="s">
        <v>214</v>
      </c>
      <c r="B60" s="28" t="s">
        <v>25</v>
      </c>
      <c r="C60" s="1268" t="s">
        <v>58</v>
      </c>
      <c r="D60" s="900">
        <v>0</v>
      </c>
      <c r="E60" s="1194">
        <v>0</v>
      </c>
      <c r="F60" s="1194">
        <v>0</v>
      </c>
      <c r="G60" s="1003">
        <v>0</v>
      </c>
      <c r="H60" s="1137">
        <v>0</v>
      </c>
      <c r="I60" s="1232">
        <v>0</v>
      </c>
      <c r="J60" s="1287">
        <v>0</v>
      </c>
      <c r="K60" s="690">
        <f t="shared" ref="K60:P60" si="52">K8+0.711*J16+17-10</f>
        <v>660.92484790909089</v>
      </c>
      <c r="L60" s="690">
        <f t="shared" si="52"/>
        <v>655.60459441520948</v>
      </c>
      <c r="M60" s="690">
        <f t="shared" si="52"/>
        <v>650.76239361738226</v>
      </c>
      <c r="N60" s="690">
        <f t="shared" si="52"/>
        <v>625.84129321846865</v>
      </c>
      <c r="O60" s="690">
        <f t="shared" si="52"/>
        <v>635.99909242064143</v>
      </c>
      <c r="P60" s="690">
        <f t="shared" si="52"/>
        <v>648.65689162281421</v>
      </c>
      <c r="U60" t="s">
        <v>538</v>
      </c>
      <c r="V60" s="705">
        <f t="shared" si="51"/>
        <v>0</v>
      </c>
      <c r="W60" s="705">
        <f t="shared" si="51"/>
        <v>0</v>
      </c>
      <c r="X60" s="705">
        <f t="shared" si="51"/>
        <v>0</v>
      </c>
      <c r="Y60" s="705">
        <f t="shared" si="51"/>
        <v>0</v>
      </c>
      <c r="Z60" s="705">
        <f t="shared" si="51"/>
        <v>0</v>
      </c>
      <c r="AA60" s="705">
        <f t="shared" si="51"/>
        <v>0</v>
      </c>
      <c r="AB60" s="705">
        <f t="shared" si="51"/>
        <v>408.10047183043417</v>
      </c>
      <c r="AC60" s="705">
        <f t="shared" si="51"/>
        <v>411.64462904480013</v>
      </c>
      <c r="AD60" s="705">
        <f t="shared" si="51"/>
        <v>415.04556973598693</v>
      </c>
      <c r="AE60" s="705">
        <f t="shared" si="51"/>
        <v>418.23516105000033</v>
      </c>
      <c r="AF60" s="705">
        <f t="shared" si="51"/>
        <v>421.86648692024085</v>
      </c>
      <c r="AG60" s="705">
        <f t="shared" si="51"/>
        <v>421.86648692024085</v>
      </c>
    </row>
    <row r="61" spans="1:33" ht="21.65" customHeight="1">
      <c r="A61" s="866" t="s">
        <v>214</v>
      </c>
      <c r="B61" s="28" t="s">
        <v>25</v>
      </c>
      <c r="C61" s="28" t="s">
        <v>59</v>
      </c>
      <c r="D61" s="900">
        <v>0</v>
      </c>
      <c r="E61" s="1194">
        <v>0</v>
      </c>
      <c r="F61" s="1194">
        <v>0</v>
      </c>
      <c r="G61" s="1003">
        <v>0</v>
      </c>
      <c r="H61" s="1137">
        <v>0</v>
      </c>
      <c r="I61" s="1232">
        <v>0</v>
      </c>
      <c r="J61" s="1287">
        <v>0</v>
      </c>
      <c r="K61" s="690">
        <f t="shared" ref="K61:P61" si="53">K8+0.7*J16+17-10</f>
        <v>660.39999090909089</v>
      </c>
      <c r="L61" s="690">
        <f t="shared" si="53"/>
        <v>655.04601419218932</v>
      </c>
      <c r="M61" s="690">
        <f t="shared" si="53"/>
        <v>650.124016219645</v>
      </c>
      <c r="N61" s="690">
        <f t="shared" si="53"/>
        <v>625.16301723337278</v>
      </c>
      <c r="O61" s="690">
        <f t="shared" si="53"/>
        <v>635.24101926082835</v>
      </c>
      <c r="P61" s="690">
        <f t="shared" si="53"/>
        <v>647.81902128828403</v>
      </c>
      <c r="T61" t="s">
        <v>230</v>
      </c>
      <c r="U61" t="s">
        <v>276</v>
      </c>
      <c r="V61" s="705">
        <f t="shared" ref="V61:AG62" si="54">SUM(E93)</f>
        <v>0</v>
      </c>
      <c r="W61" s="705">
        <f t="shared" si="54"/>
        <v>0</v>
      </c>
      <c r="X61" s="705">
        <f t="shared" si="54"/>
        <v>0</v>
      </c>
      <c r="Y61" s="705">
        <f t="shared" si="54"/>
        <v>0</v>
      </c>
      <c r="Z61" s="705">
        <f t="shared" si="54"/>
        <v>0</v>
      </c>
      <c r="AA61" s="705">
        <f t="shared" si="54"/>
        <v>0</v>
      </c>
      <c r="AB61" s="705">
        <f t="shared" si="54"/>
        <v>412.83899386645709</v>
      </c>
      <c r="AC61" s="705">
        <f t="shared" si="54"/>
        <v>416.3720163754021</v>
      </c>
      <c r="AD61" s="705">
        <f t="shared" si="54"/>
        <v>419.81201396858944</v>
      </c>
      <c r="AE61" s="705">
        <f t="shared" si="54"/>
        <v>423.03823501733939</v>
      </c>
      <c r="AF61" s="705">
        <f t="shared" si="54"/>
        <v>426.66956088757991</v>
      </c>
      <c r="AG61" s="705">
        <f t="shared" si="54"/>
        <v>426.66956088757991</v>
      </c>
    </row>
    <row r="62" spans="1:33" ht="21.65" customHeight="1">
      <c r="A62" s="866" t="s">
        <v>214</v>
      </c>
      <c r="B62" s="28" t="s">
        <v>25</v>
      </c>
      <c r="C62" s="28" t="s">
        <v>60</v>
      </c>
      <c r="D62" s="900">
        <v>0</v>
      </c>
      <c r="E62" s="1194">
        <v>0</v>
      </c>
      <c r="F62" s="1194">
        <v>494.63160000000005</v>
      </c>
      <c r="G62" s="1003">
        <v>0</v>
      </c>
      <c r="H62" s="1137">
        <v>466.10709999999995</v>
      </c>
      <c r="I62" s="1232">
        <v>519.15129999999999</v>
      </c>
      <c r="J62" s="1287">
        <v>0</v>
      </c>
      <c r="K62" s="690">
        <f t="shared" ref="K62:P62" si="55">K8+5</f>
        <v>625</v>
      </c>
      <c r="L62" s="690">
        <f t="shared" si="55"/>
        <v>617.5</v>
      </c>
      <c r="M62" s="690">
        <f t="shared" si="55"/>
        <v>607.5</v>
      </c>
      <c r="N62" s="690">
        <f t="shared" si="55"/>
        <v>580</v>
      </c>
      <c r="O62" s="690">
        <f t="shared" si="55"/>
        <v>585</v>
      </c>
      <c r="P62" s="690">
        <f t="shared" si="55"/>
        <v>592.5</v>
      </c>
      <c r="U62" t="s">
        <v>538</v>
      </c>
      <c r="V62" s="705">
        <f t="shared" si="54"/>
        <v>0</v>
      </c>
      <c r="W62" s="705">
        <f t="shared" si="54"/>
        <v>0</v>
      </c>
      <c r="X62" s="705">
        <f t="shared" si="54"/>
        <v>0</v>
      </c>
      <c r="Y62" s="705">
        <f t="shared" si="54"/>
        <v>0</v>
      </c>
      <c r="Z62" s="705">
        <f t="shared" si="54"/>
        <v>0</v>
      </c>
      <c r="AA62" s="705">
        <f t="shared" si="54"/>
        <v>0</v>
      </c>
      <c r="AB62" s="705">
        <f t="shared" si="54"/>
        <v>408.10047183043417</v>
      </c>
      <c r="AC62" s="705">
        <f t="shared" si="54"/>
        <v>411.64462904480013</v>
      </c>
      <c r="AD62" s="705">
        <f t="shared" si="54"/>
        <v>415.04556973598693</v>
      </c>
      <c r="AE62" s="705">
        <f t="shared" si="54"/>
        <v>418.23516105000033</v>
      </c>
      <c r="AF62" s="705">
        <f t="shared" si="54"/>
        <v>421.86648692024085</v>
      </c>
      <c r="AG62" s="705">
        <f t="shared" si="54"/>
        <v>421.86648692024085</v>
      </c>
    </row>
    <row r="63" spans="1:33" ht="21.65" customHeight="1">
      <c r="A63" s="866" t="s">
        <v>214</v>
      </c>
      <c r="B63" s="28" t="s">
        <v>25</v>
      </c>
      <c r="C63" s="28" t="s">
        <v>61</v>
      </c>
      <c r="D63" s="865">
        <v>0</v>
      </c>
      <c r="E63" s="865">
        <v>0</v>
      </c>
      <c r="F63" s="865">
        <v>0</v>
      </c>
      <c r="G63" s="1003">
        <v>0</v>
      </c>
      <c r="H63" s="1137">
        <v>0</v>
      </c>
      <c r="I63" s="1232">
        <v>0</v>
      </c>
      <c r="J63" s="1287">
        <v>0</v>
      </c>
      <c r="K63" s="690">
        <f t="shared" ref="K63:P63" si="56">K58</f>
        <v>665.17141818181824</v>
      </c>
      <c r="L63" s="690">
        <f t="shared" si="56"/>
        <v>660.124016219645</v>
      </c>
      <c r="M63" s="690">
        <f t="shared" si="56"/>
        <v>655.92744710816567</v>
      </c>
      <c r="N63" s="690">
        <f t="shared" si="56"/>
        <v>631.32916255242606</v>
      </c>
      <c r="O63" s="690">
        <f t="shared" si="56"/>
        <v>642.13259344094672</v>
      </c>
      <c r="P63" s="846">
        <f t="shared" si="56"/>
        <v>655.4360243294675</v>
      </c>
      <c r="T63" t="s">
        <v>231</v>
      </c>
      <c r="U63" t="s">
        <v>276</v>
      </c>
      <c r="V63" s="705">
        <f t="shared" ref="V63:AG66" si="57">SUM(E85)</f>
        <v>0</v>
      </c>
      <c r="W63" s="705">
        <f t="shared" si="57"/>
        <v>0</v>
      </c>
      <c r="X63" s="705">
        <f t="shared" si="57"/>
        <v>0</v>
      </c>
      <c r="Y63" s="705">
        <f t="shared" si="57"/>
        <v>0</v>
      </c>
      <c r="Z63" s="705">
        <f t="shared" si="57"/>
        <v>0</v>
      </c>
      <c r="AA63" s="705">
        <f t="shared" si="57"/>
        <v>0</v>
      </c>
      <c r="AB63" s="705">
        <f t="shared" si="57"/>
        <v>412.83899386645709</v>
      </c>
      <c r="AC63" s="705">
        <f t="shared" si="57"/>
        <v>416.3720163754021</v>
      </c>
      <c r="AD63" s="705">
        <f t="shared" si="57"/>
        <v>419.81201396858944</v>
      </c>
      <c r="AE63" s="705">
        <f t="shared" si="57"/>
        <v>423.03823501733939</v>
      </c>
      <c r="AF63" s="705">
        <f t="shared" si="57"/>
        <v>426.66956088757991</v>
      </c>
      <c r="AG63" s="705">
        <f t="shared" si="57"/>
        <v>426.66956088757991</v>
      </c>
    </row>
    <row r="64" spans="1:33" ht="21.65" customHeight="1">
      <c r="A64" s="866" t="s">
        <v>214</v>
      </c>
      <c r="B64" s="32" t="s">
        <v>25</v>
      </c>
      <c r="C64" s="28" t="s">
        <v>62</v>
      </c>
      <c r="D64" s="865">
        <v>0</v>
      </c>
      <c r="E64" s="865">
        <v>0</v>
      </c>
      <c r="F64" s="865">
        <v>0</v>
      </c>
      <c r="G64" s="1003">
        <v>0</v>
      </c>
      <c r="H64" s="1137">
        <v>0</v>
      </c>
      <c r="I64" s="1232">
        <v>0</v>
      </c>
      <c r="J64" s="1287">
        <v>0</v>
      </c>
      <c r="K64" s="690">
        <f t="shared" ref="K64:P64" si="58">K60</f>
        <v>660.92484790909089</v>
      </c>
      <c r="L64" s="690">
        <f t="shared" si="58"/>
        <v>655.60459441520948</v>
      </c>
      <c r="M64" s="690">
        <f t="shared" si="58"/>
        <v>650.76239361738226</v>
      </c>
      <c r="N64" s="690">
        <f t="shared" si="58"/>
        <v>625.84129321846865</v>
      </c>
      <c r="O64" s="690">
        <f t="shared" si="58"/>
        <v>635.99909242064143</v>
      </c>
      <c r="P64" s="690">
        <f t="shared" si="58"/>
        <v>648.65689162281421</v>
      </c>
      <c r="U64" t="s">
        <v>538</v>
      </c>
      <c r="V64" s="705">
        <f t="shared" si="57"/>
        <v>0</v>
      </c>
      <c r="W64" s="705">
        <f t="shared" si="57"/>
        <v>0</v>
      </c>
      <c r="X64" s="705">
        <f t="shared" si="57"/>
        <v>0</v>
      </c>
      <c r="Y64" s="705">
        <f t="shared" si="57"/>
        <v>0</v>
      </c>
      <c r="Z64" s="705">
        <f t="shared" si="57"/>
        <v>0</v>
      </c>
      <c r="AA64" s="705">
        <f t="shared" si="57"/>
        <v>0</v>
      </c>
      <c r="AB64" s="705">
        <f t="shared" si="57"/>
        <v>408.10047183043417</v>
      </c>
      <c r="AC64" s="705">
        <f t="shared" si="57"/>
        <v>411.64462904480013</v>
      </c>
      <c r="AD64" s="705">
        <f t="shared" si="57"/>
        <v>415.04556973598693</v>
      </c>
      <c r="AE64" s="705">
        <f t="shared" si="57"/>
        <v>418.23516105000033</v>
      </c>
      <c r="AF64" s="705">
        <f t="shared" si="57"/>
        <v>421.86648692024085</v>
      </c>
      <c r="AG64" s="705">
        <f t="shared" si="57"/>
        <v>421.86648692024085</v>
      </c>
    </row>
    <row r="65" spans="1:34" ht="21.65" customHeight="1">
      <c r="A65" s="866" t="s">
        <v>214</v>
      </c>
      <c r="B65" s="28" t="s">
        <v>25</v>
      </c>
      <c r="C65" s="28" t="s">
        <v>63</v>
      </c>
      <c r="D65" s="865">
        <v>0</v>
      </c>
      <c r="E65" s="865">
        <v>0</v>
      </c>
      <c r="F65" s="865">
        <v>0</v>
      </c>
      <c r="G65" s="1003">
        <v>0</v>
      </c>
      <c r="H65" s="1137">
        <v>0</v>
      </c>
      <c r="I65" s="1232">
        <v>0</v>
      </c>
      <c r="J65" s="1287">
        <v>0</v>
      </c>
      <c r="K65" s="690">
        <f t="shared" ref="K65:P66" si="59">K61</f>
        <v>660.39999090909089</v>
      </c>
      <c r="L65" s="690">
        <f t="shared" si="59"/>
        <v>655.04601419218932</v>
      </c>
      <c r="M65" s="690">
        <f t="shared" si="59"/>
        <v>650.124016219645</v>
      </c>
      <c r="N65" s="690">
        <f t="shared" si="59"/>
        <v>625.16301723337278</v>
      </c>
      <c r="O65" s="690">
        <f t="shared" si="59"/>
        <v>635.24101926082835</v>
      </c>
      <c r="P65" s="690">
        <f t="shared" si="59"/>
        <v>647.81902128828403</v>
      </c>
      <c r="T65" t="s">
        <v>232</v>
      </c>
      <c r="U65" t="s">
        <v>276</v>
      </c>
      <c r="V65" s="705">
        <f t="shared" si="57"/>
        <v>0</v>
      </c>
      <c r="W65" s="705">
        <f t="shared" si="57"/>
        <v>0</v>
      </c>
      <c r="X65" s="705">
        <f t="shared" si="57"/>
        <v>0</v>
      </c>
      <c r="Y65" s="705">
        <f t="shared" si="57"/>
        <v>0</v>
      </c>
      <c r="Z65" s="705">
        <f t="shared" si="57"/>
        <v>0</v>
      </c>
      <c r="AA65" s="705">
        <f t="shared" si="57"/>
        <v>0</v>
      </c>
      <c r="AB65" s="705">
        <f t="shared" si="57"/>
        <v>412.83899386645709</v>
      </c>
      <c r="AC65" s="705">
        <f t="shared" si="57"/>
        <v>416.3720163754021</v>
      </c>
      <c r="AD65" s="705">
        <f t="shared" si="57"/>
        <v>419.81201396858944</v>
      </c>
      <c r="AE65" s="705">
        <f t="shared" si="57"/>
        <v>423.03823501733939</v>
      </c>
      <c r="AF65" s="705">
        <f t="shared" si="57"/>
        <v>426.66956088757991</v>
      </c>
      <c r="AG65" s="705">
        <f t="shared" si="57"/>
        <v>426.66956088757991</v>
      </c>
    </row>
    <row r="66" spans="1:34" ht="21.65" customHeight="1">
      <c r="A66" s="866" t="s">
        <v>214</v>
      </c>
      <c r="B66" s="32" t="s">
        <v>34</v>
      </c>
      <c r="C66" s="28" t="s">
        <v>64</v>
      </c>
      <c r="D66" s="865">
        <v>0</v>
      </c>
      <c r="E66" s="865">
        <v>0</v>
      </c>
      <c r="F66" s="865">
        <v>0</v>
      </c>
      <c r="G66" s="1003">
        <v>0</v>
      </c>
      <c r="H66" s="1137">
        <v>0</v>
      </c>
      <c r="I66" s="1232">
        <v>0</v>
      </c>
      <c r="J66" s="1287">
        <v>0</v>
      </c>
      <c r="K66" s="690">
        <f t="shared" si="59"/>
        <v>625</v>
      </c>
      <c r="L66" s="690">
        <f t="shared" si="59"/>
        <v>617.5</v>
      </c>
      <c r="M66" s="690">
        <f t="shared" si="59"/>
        <v>607.5</v>
      </c>
      <c r="N66" s="690">
        <f t="shared" si="59"/>
        <v>580</v>
      </c>
      <c r="O66" s="690">
        <f t="shared" si="59"/>
        <v>585</v>
      </c>
      <c r="P66" s="690">
        <f t="shared" si="59"/>
        <v>592.5</v>
      </c>
      <c r="U66" t="s">
        <v>538</v>
      </c>
      <c r="V66" s="705">
        <f t="shared" si="57"/>
        <v>0</v>
      </c>
      <c r="W66" s="705">
        <f t="shared" si="57"/>
        <v>0</v>
      </c>
      <c r="X66" s="705">
        <f t="shared" si="57"/>
        <v>0</v>
      </c>
      <c r="Y66" s="705">
        <f t="shared" si="57"/>
        <v>0</v>
      </c>
      <c r="Z66" s="705">
        <f t="shared" si="57"/>
        <v>0</v>
      </c>
      <c r="AA66" s="705">
        <f t="shared" si="57"/>
        <v>0</v>
      </c>
      <c r="AB66" s="705">
        <f t="shared" si="57"/>
        <v>408.10047183043417</v>
      </c>
      <c r="AC66" s="705">
        <f t="shared" si="57"/>
        <v>411.64462904480013</v>
      </c>
      <c r="AD66" s="705">
        <f t="shared" si="57"/>
        <v>415.04556973598693</v>
      </c>
      <c r="AE66" s="705">
        <f t="shared" si="57"/>
        <v>418.23516105000033</v>
      </c>
      <c r="AF66" s="705">
        <f t="shared" si="57"/>
        <v>421.86648692024085</v>
      </c>
      <c r="AG66" s="705">
        <f t="shared" si="57"/>
        <v>421.86648692024085</v>
      </c>
    </row>
    <row r="67" spans="1:34" ht="21.65" customHeight="1">
      <c r="A67" s="866" t="s">
        <v>214</v>
      </c>
      <c r="B67" s="32"/>
      <c r="C67" s="33" t="s">
        <v>35</v>
      </c>
      <c r="D67" s="1195">
        <v>516.31917332580213</v>
      </c>
      <c r="E67" s="1195">
        <f>'Revenue (Baht)'!E67/(Delivery!E67*Fx!E26)</f>
        <v>629.84613026104864</v>
      </c>
      <c r="F67" s="1195">
        <f>'Revenue (Baht)'!F67/(Delivery!F67*Fx!F26)</f>
        <v>675.85785948715204</v>
      </c>
      <c r="G67" s="1196">
        <f>'Revenue (Baht)'!G67/(Delivery!G67*Fx!G26)</f>
        <v>647.42590210371759</v>
      </c>
      <c r="H67" s="1197">
        <f>'Revenue (Baht)'!H67/(Delivery!H67*Fx!H26)</f>
        <v>580.21893849934577</v>
      </c>
      <c r="I67" s="940">
        <f>'Revenue (Baht)'!I67/(Delivery!I67*Fx!I26)</f>
        <v>533.09730441339991</v>
      </c>
      <c r="J67" s="1197">
        <f>'Revenue (Baht)'!J67/(Delivery!J67*Fx!J26)</f>
        <v>582.62874956261726</v>
      </c>
      <c r="K67" s="1196">
        <f>'Revenue (Baht)'!K67/(Delivery!K67*Fx!K26)</f>
        <v>665.17141818181824</v>
      </c>
      <c r="L67" s="1196">
        <f>'Revenue (Baht)'!L67/(Delivery!L67*Fx!L26)</f>
        <v>660.12401621964489</v>
      </c>
      <c r="M67" s="1196">
        <f>'Revenue (Baht)'!M67/(Delivery!M67*Fx!M26)</f>
        <v>655.92744710816567</v>
      </c>
      <c r="N67" s="1196">
        <f>'Revenue (Baht)'!N67/(Delivery!N67*Fx!N26)</f>
        <v>631.32916255242594</v>
      </c>
      <c r="O67" s="1196">
        <f>'Revenue (Baht)'!O67/(Delivery!O67*Fx!O26)</f>
        <v>642.13259344094683</v>
      </c>
      <c r="P67" s="1196">
        <f>'Revenue (Baht)'!P67/(Delivery!P67*Fx!P26)</f>
        <v>655.4360243294675</v>
      </c>
      <c r="T67" t="s">
        <v>177</v>
      </c>
      <c r="V67" s="705">
        <f t="shared" ref="V67:AG67" si="60">E95</f>
        <v>459.45936955996279</v>
      </c>
      <c r="W67" s="705">
        <f t="shared" si="60"/>
        <v>459.77629187030374</v>
      </c>
      <c r="X67" s="705">
        <f t="shared" si="60"/>
        <v>454.95780688484501</v>
      </c>
      <c r="Y67" s="705">
        <f t="shared" si="60"/>
        <v>442.47837407906258</v>
      </c>
      <c r="Z67" s="705">
        <f t="shared" si="60"/>
        <v>440.71164807778246</v>
      </c>
      <c r="AA67" s="705">
        <f t="shared" si="60"/>
        <v>440.28394872879903</v>
      </c>
      <c r="AB67" s="705">
        <f t="shared" si="60"/>
        <v>383.76164746012694</v>
      </c>
      <c r="AC67" s="705">
        <f t="shared" si="60"/>
        <v>385.84467887548249</v>
      </c>
      <c r="AD67" s="705">
        <f t="shared" si="60"/>
        <v>392.23790052932009</v>
      </c>
      <c r="AE67" s="705">
        <f t="shared" si="60"/>
        <v>398.29533595955655</v>
      </c>
      <c r="AF67" s="705">
        <f t="shared" si="60"/>
        <v>401.78228858348729</v>
      </c>
      <c r="AG67" s="705">
        <f t="shared" si="60"/>
        <v>401.79398753009963</v>
      </c>
    </row>
    <row r="68" spans="1:34" ht="21.65" customHeight="1">
      <c r="A68" s="866" t="s">
        <v>214</v>
      </c>
      <c r="B68" s="32"/>
      <c r="C68" s="33" t="s">
        <v>36</v>
      </c>
      <c r="D68" s="1195"/>
      <c r="E68" s="1195"/>
      <c r="F68" s="1195">
        <f>Table2[[#This Row],[ก.พ.-64]]/(Delivery!F68*Fx!F32)</f>
        <v>494.63671051578297</v>
      </c>
      <c r="G68" s="1196">
        <f>'Revenue (Baht)'!G68/(Delivery!G68*Fx!G32)</f>
        <v>513.26030743642718</v>
      </c>
      <c r="H68" s="1197">
        <f>'Revenue (Baht)'!H68/(Delivery!H68*Fx!H32)</f>
        <v>486.00937256775813</v>
      </c>
      <c r="I68" s="940">
        <f>'Revenue (Baht)'!I68/(Delivery!I68*Fx!I32)</f>
        <v>521.35630707926475</v>
      </c>
      <c r="J68" s="1197">
        <f>'Revenue (Baht)'!J68/(Delivery!J68*Fx!J32)</f>
        <v>563.98511308330956</v>
      </c>
      <c r="K68" s="1196">
        <f>'Revenue (Baht)'!K68/(Delivery!K68*Fx!K32)</f>
        <v>540</v>
      </c>
      <c r="L68" s="1196">
        <f>'Revenue (Baht)'!L68/(Delivery!L68*Fx!L32)</f>
        <v>532.5</v>
      </c>
      <c r="M68" s="1196">
        <f>'Revenue (Baht)'!M68/(Delivery!M68*Fx!M32)</f>
        <v>522.5</v>
      </c>
      <c r="N68" s="1196">
        <f>'Revenue (Baht)'!N68/(Delivery!N68*Fx!N32)</f>
        <v>495</v>
      </c>
      <c r="O68" s="1196">
        <f>'Revenue (Baht)'!O68/(Delivery!O68*Fx!O32)</f>
        <v>500</v>
      </c>
      <c r="P68" s="1196">
        <f>'Revenue (Baht)'!P68/(Delivery!P68*Fx!P32)</f>
        <v>507.5</v>
      </c>
      <c r="T68" s="1331" t="s">
        <v>71</v>
      </c>
      <c r="U68" s="1332"/>
      <c r="V68" s="705"/>
      <c r="W68" s="705"/>
      <c r="X68" s="705"/>
      <c r="Y68" s="705"/>
      <c r="Z68" s="705"/>
      <c r="AA68" s="705"/>
      <c r="AB68" s="705"/>
      <c r="AC68" s="705"/>
      <c r="AD68" s="705"/>
      <c r="AE68" s="705"/>
      <c r="AF68" s="705"/>
      <c r="AG68" s="705"/>
    </row>
    <row r="69" spans="1:34" ht="21.65" customHeight="1">
      <c r="A69" s="866" t="s">
        <v>214</v>
      </c>
      <c r="B69" s="28"/>
      <c r="C69" s="33" t="s">
        <v>37</v>
      </c>
      <c r="D69" s="1195">
        <v>516.31917332580213</v>
      </c>
      <c r="E69" s="1195">
        <f>'Revenue (Baht)'!E69/(Delivery!E69*Fx!E26)</f>
        <v>629.84613026104864</v>
      </c>
      <c r="F69" s="1195">
        <f>'Revenue (Baht)'!F69/(Delivery!F69*Fx!F26)</f>
        <v>591.41372204599395</v>
      </c>
      <c r="G69" s="1196">
        <f>'Revenue (Baht)'!G69/(Delivery!G69*Fx!G26)</f>
        <v>630.86746537756903</v>
      </c>
      <c r="H69" s="1197">
        <f>'Revenue (Baht)'!H69/(Delivery!H69*Fx!H26)</f>
        <v>525.60176774942533</v>
      </c>
      <c r="I69" s="940">
        <f>'Revenue (Baht)'!I69/(Delivery!I69*Fx!I26)</f>
        <v>527.97993421401225</v>
      </c>
      <c r="J69" s="1197">
        <f>'Revenue (Baht)'!J69/(Delivery!J69*Fx!J26)</f>
        <v>576.77841731749652</v>
      </c>
      <c r="K69" s="1196">
        <f>'Revenue (Baht)'!K69/(Delivery!K69*Fx!K26)</f>
        <v>659.73831651873797</v>
      </c>
      <c r="L69" s="1196">
        <f>'Revenue (Baht)'!L69/(Delivery!L69*Fx!L26)</f>
        <v>649.72553581065699</v>
      </c>
      <c r="M69" s="1196">
        <f>'Revenue (Baht)'!M69/(Delivery!M69*Fx!M26)</f>
        <v>644.92433153807031</v>
      </c>
      <c r="N69" s="1196">
        <f>'Revenue (Baht)'!N69/(Delivery!N69*Fx!N26)</f>
        <v>620.20811927264356</v>
      </c>
      <c r="O69" s="1196">
        <f>'Revenue (Baht)'!O69/(Delivery!O69*Fx!O26)</f>
        <v>630.28821065420118</v>
      </c>
      <c r="P69" s="1196">
        <f>'Revenue (Baht)'!P69/(Delivery!P69*Fx!P26)</f>
        <v>643.47354257775851</v>
      </c>
      <c r="T69" s="147" t="s">
        <v>218</v>
      </c>
      <c r="U69" s="147"/>
      <c r="V69" s="705">
        <f t="shared" ref="V69:AG69" si="61">E135</f>
        <v>500.78129999999999</v>
      </c>
      <c r="W69" s="705">
        <f t="shared" si="61"/>
        <v>552.13160000000005</v>
      </c>
      <c r="X69" s="705">
        <f t="shared" si="61"/>
        <v>580.89670000000001</v>
      </c>
      <c r="Y69" s="705">
        <f t="shared" si="61"/>
        <v>558.60709999999995</v>
      </c>
      <c r="Z69" s="705">
        <f t="shared" si="61"/>
        <v>589.65129999999999</v>
      </c>
      <c r="AA69" s="705">
        <f t="shared" si="61"/>
        <v>631.42049999999995</v>
      </c>
      <c r="AB69" s="705">
        <f t="shared" si="61"/>
        <v>624.54999999999995</v>
      </c>
      <c r="AC69" s="705">
        <f t="shared" si="61"/>
        <v>620.32000000000005</v>
      </c>
      <c r="AD69" s="705">
        <f t="shared" si="61"/>
        <v>609.25</v>
      </c>
      <c r="AE69" s="705">
        <f t="shared" si="61"/>
        <v>608.08000000000004</v>
      </c>
      <c r="AF69" s="705">
        <f t="shared" si="61"/>
        <v>600.07000000000005</v>
      </c>
      <c r="AG69" s="705">
        <f t="shared" si="61"/>
        <v>600.52</v>
      </c>
    </row>
    <row r="70" spans="1:34" ht="21" customHeight="1">
      <c r="A70" s="867" t="s">
        <v>215</v>
      </c>
      <c r="B70" s="28" t="s">
        <v>25</v>
      </c>
      <c r="C70" s="35" t="s">
        <v>87</v>
      </c>
      <c r="D70" s="1198">
        <v>560.72300765869795</v>
      </c>
      <c r="E70" s="1198">
        <v>558.89487163681429</v>
      </c>
      <c r="F70" s="1198">
        <v>558.89487163681429</v>
      </c>
      <c r="G70" s="1013">
        <v>558.89487163681429</v>
      </c>
      <c r="H70" s="1132">
        <v>538.65973129255599</v>
      </c>
      <c r="I70" s="1246">
        <v>538.65973129255599</v>
      </c>
      <c r="J70" s="1297">
        <v>536.33322464161938</v>
      </c>
      <c r="K70" s="690">
        <f t="shared" ref="K70:P70" si="62">K$18+2500/K$19</f>
        <v>502.87091255089172</v>
      </c>
      <c r="L70" s="690">
        <f t="shared" si="62"/>
        <v>506.1923756568392</v>
      </c>
      <c r="M70" s="690">
        <f t="shared" si="62"/>
        <v>510.3744543880365</v>
      </c>
      <c r="N70" s="690">
        <f t="shared" si="62"/>
        <v>514.29664039678221</v>
      </c>
      <c r="O70" s="690">
        <f t="shared" si="62"/>
        <v>517.92796626702273</v>
      </c>
      <c r="P70" s="846">
        <f t="shared" si="62"/>
        <v>517.92796626702273</v>
      </c>
      <c r="T70" s="147" t="s">
        <v>220</v>
      </c>
      <c r="U70" s="147"/>
      <c r="V70" s="705">
        <f>E143</f>
        <v>501.47867283892595</v>
      </c>
      <c r="W70" s="705">
        <f t="shared" ref="W70:AG70" si="63">SUM(F136:F137)</f>
        <v>552.63160000000005</v>
      </c>
      <c r="X70" s="705">
        <f t="shared" si="63"/>
        <v>581.39670000000001</v>
      </c>
      <c r="Y70" s="705">
        <f t="shared" si="63"/>
        <v>559.10709999999995</v>
      </c>
      <c r="Z70" s="705">
        <f t="shared" si="63"/>
        <v>590.15129999999999</v>
      </c>
      <c r="AA70" s="705">
        <f t="shared" si="63"/>
        <v>631.92049999999995</v>
      </c>
      <c r="AB70" s="705">
        <f t="shared" si="63"/>
        <v>1250.0999999999999</v>
      </c>
      <c r="AC70" s="705">
        <f t="shared" si="63"/>
        <v>1241.6400000000001</v>
      </c>
      <c r="AD70" s="705">
        <f t="shared" si="63"/>
        <v>1219.5</v>
      </c>
      <c r="AE70" s="705">
        <f t="shared" si="63"/>
        <v>1217.1600000000001</v>
      </c>
      <c r="AF70" s="705">
        <f t="shared" si="63"/>
        <v>1201.1400000000001</v>
      </c>
      <c r="AG70" s="705">
        <f t="shared" si="63"/>
        <v>1202.04</v>
      </c>
    </row>
    <row r="71" spans="1:34" ht="21.65" customHeight="1">
      <c r="A71" s="867" t="s">
        <v>215</v>
      </c>
      <c r="B71" s="28" t="s">
        <v>25</v>
      </c>
      <c r="C71" s="35" t="s">
        <v>88</v>
      </c>
      <c r="D71" s="1198">
        <v>458.46069881344556</v>
      </c>
      <c r="E71" s="1198">
        <v>457.88458717668294</v>
      </c>
      <c r="F71" s="1198">
        <v>457.88458717668294</v>
      </c>
      <c r="G71" s="1013">
        <v>457.88458717668294</v>
      </c>
      <c r="H71" s="1132">
        <v>441.30658771167111</v>
      </c>
      <c r="I71" s="1246">
        <v>441.30658771167111</v>
      </c>
      <c r="J71" s="1297">
        <v>439.40055566255228</v>
      </c>
      <c r="K71" s="690">
        <f t="shared" ref="K71:P74" si="64">K$18-583/K$19</f>
        <v>405.4784896371682</v>
      </c>
      <c r="L71" s="690">
        <f t="shared" si="64"/>
        <v>409.02880805520039</v>
      </c>
      <c r="M71" s="690">
        <f t="shared" si="64"/>
        <v>412.40813726061356</v>
      </c>
      <c r="N71" s="690">
        <f t="shared" si="64"/>
        <v>415.57746012140598</v>
      </c>
      <c r="O71" s="690">
        <f t="shared" si="64"/>
        <v>419.20878599164649</v>
      </c>
      <c r="P71" s="846">
        <f t="shared" si="64"/>
        <v>419.20878599164649</v>
      </c>
      <c r="T71" s="147" t="s">
        <v>233</v>
      </c>
      <c r="U71" s="147"/>
      <c r="V71" s="705">
        <f>SUMPRODUCT(E138:E141,Delivery!E138:E141)/SUM(Delivery!E138:E141)</f>
        <v>472.26941071146916</v>
      </c>
      <c r="W71" s="705">
        <f>SUMPRODUCT(F138:F141,Delivery!F138:F141)/SUM(Delivery!F138:F141)</f>
        <v>518.39666839969652</v>
      </c>
      <c r="X71" s="705">
        <f>SUMPRODUCT(G138:G141,Delivery!G138:G141)/SUM(Delivery!G138:G141)</f>
        <v>552.55630025588391</v>
      </c>
      <c r="Y71" s="705">
        <f>SUMPRODUCT(H138:H141,Delivery!H138:H141)/SUM(Delivery!H138:H141)</f>
        <v>550.85054930170736</v>
      </c>
      <c r="Z71" s="705">
        <f>SUMPRODUCT(I138:I141,Delivery!I138:I141)/SUM(Delivery!I138:I141)</f>
        <v>559.37562712059207</v>
      </c>
      <c r="AA71" s="705">
        <f>SUMPRODUCT(J138:J141,Delivery!J138:J141)/SUM(Delivery!J138:J141)</f>
        <v>596.58102816616929</v>
      </c>
      <c r="AB71" s="705">
        <f>SUMPRODUCT(K138:K141,Delivery!K138:K141)/SUM(Delivery!K138:K141)</f>
        <v>545.35950274915706</v>
      </c>
      <c r="AC71" s="705">
        <f>SUMPRODUCT(L138:L141,Delivery!L138:L141)/SUM(Delivery!L138:L141)</f>
        <v>541.12950274915715</v>
      </c>
      <c r="AD71" s="705">
        <f>SUMPRODUCT(M138:M141,Delivery!M138:M141)/SUM(Delivery!M138:M141)</f>
        <v>530.05950274915722</v>
      </c>
      <c r="AE71" s="705">
        <f>SUMPRODUCT(N138:N141,Delivery!N138:N141)/SUM(Delivery!N138:N141)</f>
        <v>528.88950274915715</v>
      </c>
      <c r="AF71" s="705">
        <f>SUMPRODUCT(O138:O141,Delivery!O138:O141)/SUM(Delivery!O138:O141)</f>
        <v>520.87950274915715</v>
      </c>
      <c r="AG71" s="705">
        <f>SUMPRODUCT(P138:P141,Delivery!P138:P141)/SUM(Delivery!P138:P141)</f>
        <v>521.3295027491572</v>
      </c>
    </row>
    <row r="72" spans="1:34" ht="21.65" customHeight="1">
      <c r="A72" s="867" t="s">
        <v>215</v>
      </c>
      <c r="B72" s="28" t="s">
        <v>25</v>
      </c>
      <c r="C72" s="35" t="s">
        <v>89</v>
      </c>
      <c r="D72" s="1198">
        <v>0</v>
      </c>
      <c r="E72" s="1198">
        <v>0</v>
      </c>
      <c r="F72" s="1198">
        <v>0</v>
      </c>
      <c r="G72" s="1013">
        <v>0</v>
      </c>
      <c r="H72" s="1132">
        <v>0</v>
      </c>
      <c r="I72" s="1246">
        <v>0</v>
      </c>
      <c r="J72" s="1297">
        <v>0</v>
      </c>
      <c r="K72" s="690">
        <f t="shared" si="64"/>
        <v>405.4784896371682</v>
      </c>
      <c r="L72" s="690">
        <f t="shared" si="64"/>
        <v>409.02880805520039</v>
      </c>
      <c r="M72" s="690">
        <f t="shared" si="64"/>
        <v>412.40813726061356</v>
      </c>
      <c r="N72" s="690">
        <f t="shared" si="64"/>
        <v>415.57746012140598</v>
      </c>
      <c r="O72" s="690">
        <f t="shared" si="64"/>
        <v>419.20878599164649</v>
      </c>
      <c r="P72" s="846">
        <f t="shared" si="64"/>
        <v>419.20878599164649</v>
      </c>
      <c r="T72" s="147" t="s">
        <v>177</v>
      </c>
      <c r="U72" s="147"/>
      <c r="V72" s="705">
        <f t="shared" ref="V72:AG72" si="65">E144</f>
        <v>498.54906993638735</v>
      </c>
      <c r="W72" s="705">
        <f t="shared" si="65"/>
        <v>550.74076617443177</v>
      </c>
      <c r="X72" s="705">
        <f t="shared" si="65"/>
        <v>578.06406251941507</v>
      </c>
      <c r="Y72" s="705">
        <f t="shared" si="65"/>
        <v>558.0893579802713</v>
      </c>
      <c r="Z72" s="705">
        <f t="shared" si="65"/>
        <v>587.95363107809203</v>
      </c>
      <c r="AA72" s="705">
        <f t="shared" si="65"/>
        <v>582.52418813677627</v>
      </c>
      <c r="AB72" s="705">
        <f t="shared" si="65"/>
        <v>620.26162578243475</v>
      </c>
      <c r="AC72" s="705">
        <f t="shared" si="65"/>
        <v>615.16186184077071</v>
      </c>
      <c r="AD72" s="705">
        <f t="shared" si="65"/>
        <v>605.53615798423516</v>
      </c>
      <c r="AE72" s="705">
        <f t="shared" si="65"/>
        <v>601.99492814363009</v>
      </c>
      <c r="AF72" s="705">
        <f t="shared" si="65"/>
        <v>596.46685944171043</v>
      </c>
      <c r="AG72" s="705">
        <f t="shared" si="65"/>
        <v>595.26447526987874</v>
      </c>
    </row>
    <row r="73" spans="1:34" ht="21.65" customHeight="1">
      <c r="A73" s="867" t="s">
        <v>215</v>
      </c>
      <c r="B73" s="28" t="s">
        <v>25</v>
      </c>
      <c r="C73" s="35" t="s">
        <v>90</v>
      </c>
      <c r="D73" s="1198">
        <v>461.95195002012923</v>
      </c>
      <c r="E73" s="1198">
        <v>461.4254924725094</v>
      </c>
      <c r="F73" s="1198">
        <v>461.55439764585856</v>
      </c>
      <c r="G73" s="1013">
        <v>461.55145574847666</v>
      </c>
      <c r="H73" s="1132">
        <v>444.7676891978283</v>
      </c>
      <c r="I73" s="1246">
        <v>444.90130963787095</v>
      </c>
      <c r="J73" s="1297">
        <v>442.97759049984859</v>
      </c>
      <c r="K73" s="690">
        <f t="shared" si="64"/>
        <v>405.4784896371682</v>
      </c>
      <c r="L73" s="690">
        <f t="shared" si="64"/>
        <v>409.02880805520039</v>
      </c>
      <c r="M73" s="690">
        <f t="shared" si="64"/>
        <v>412.40813726061356</v>
      </c>
      <c r="N73" s="690">
        <f t="shared" si="64"/>
        <v>415.57746012140598</v>
      </c>
      <c r="O73" s="690">
        <f t="shared" si="64"/>
        <v>419.20878599164649</v>
      </c>
      <c r="P73" s="846">
        <f t="shared" si="64"/>
        <v>419.20878599164649</v>
      </c>
      <c r="T73" s="44" t="s">
        <v>79</v>
      </c>
      <c r="U73" s="723"/>
      <c r="V73" s="705"/>
      <c r="W73" s="705"/>
      <c r="X73" s="705"/>
      <c r="Y73" s="705"/>
      <c r="Z73" s="705"/>
      <c r="AA73" s="705"/>
      <c r="AB73" s="705"/>
      <c r="AC73" s="705"/>
      <c r="AD73" s="705"/>
      <c r="AE73" s="705"/>
      <c r="AF73" s="705"/>
      <c r="AG73" s="705"/>
    </row>
    <row r="74" spans="1:34" ht="15.5">
      <c r="A74" s="867" t="s">
        <v>215</v>
      </c>
      <c r="B74" s="28" t="s">
        <v>76</v>
      </c>
      <c r="C74" s="35" t="s">
        <v>91</v>
      </c>
      <c r="D74" s="1198">
        <v>458.46069879866644</v>
      </c>
      <c r="E74" s="1198">
        <v>457.88458717668294</v>
      </c>
      <c r="F74" s="1198">
        <v>457.88458704907498</v>
      </c>
      <c r="G74" s="1013">
        <v>457.88458717668283</v>
      </c>
      <c r="H74" s="1132">
        <v>441.30658771167106</v>
      </c>
      <c r="I74" s="1246">
        <v>441.3065877178928</v>
      </c>
      <c r="J74" s="1297">
        <v>439.40055564507492</v>
      </c>
      <c r="K74" s="690">
        <f t="shared" si="64"/>
        <v>405.4784896371682</v>
      </c>
      <c r="L74" s="690">
        <f t="shared" si="64"/>
        <v>409.02880805520039</v>
      </c>
      <c r="M74" s="690">
        <f t="shared" si="64"/>
        <v>412.40813726061356</v>
      </c>
      <c r="N74" s="690">
        <f t="shared" si="64"/>
        <v>415.57746012140598</v>
      </c>
      <c r="O74" s="690">
        <f t="shared" si="64"/>
        <v>419.20878599164649</v>
      </c>
      <c r="P74" s="846">
        <f t="shared" si="64"/>
        <v>419.20878599164649</v>
      </c>
      <c r="T74" s="147" t="s">
        <v>220</v>
      </c>
      <c r="U74" s="147"/>
      <c r="V74" s="705">
        <f t="shared" ref="V74:AG74" si="66">SUM(E145:E147)</f>
        <v>413.28129999999999</v>
      </c>
      <c r="W74" s="705">
        <f t="shared" si="66"/>
        <v>464.63160000000005</v>
      </c>
      <c r="X74" s="705">
        <f t="shared" si="66"/>
        <v>493.39670000000001</v>
      </c>
      <c r="Y74" s="705">
        <f t="shared" si="66"/>
        <v>471.10709999999995</v>
      </c>
      <c r="Z74" s="705">
        <f t="shared" si="66"/>
        <v>502.15129999999999</v>
      </c>
      <c r="AA74" s="705">
        <f t="shared" si="66"/>
        <v>543.92049999999995</v>
      </c>
      <c r="AB74" s="705">
        <f t="shared" si="66"/>
        <v>537.04999999999995</v>
      </c>
      <c r="AC74" s="705">
        <f t="shared" si="66"/>
        <v>532.82000000000005</v>
      </c>
      <c r="AD74" s="705">
        <f t="shared" si="66"/>
        <v>521.75</v>
      </c>
      <c r="AE74" s="705">
        <f t="shared" si="66"/>
        <v>520.58000000000004</v>
      </c>
      <c r="AF74" s="705">
        <f t="shared" si="66"/>
        <v>512.57000000000005</v>
      </c>
      <c r="AG74" s="705">
        <f t="shared" si="66"/>
        <v>513.02</v>
      </c>
    </row>
    <row r="75" spans="1:34" ht="20" customHeight="1">
      <c r="A75" s="867" t="s">
        <v>215</v>
      </c>
      <c r="B75" s="28" t="s">
        <v>25</v>
      </c>
      <c r="C75" s="35" t="s">
        <v>92</v>
      </c>
      <c r="D75" s="1198">
        <v>466.76731191196552</v>
      </c>
      <c r="E75" s="1198">
        <v>466.16411868980845</v>
      </c>
      <c r="F75" s="1198">
        <v>466.16411903964473</v>
      </c>
      <c r="G75" s="1013">
        <v>466.16411868980845</v>
      </c>
      <c r="H75" s="1132">
        <v>449.28635357895678</v>
      </c>
      <c r="I75" s="1246">
        <v>449.28635438286216</v>
      </c>
      <c r="J75" s="1297">
        <v>447.34585778783293</v>
      </c>
      <c r="K75" s="690">
        <f t="shared" ref="K75:P75" si="67">K$18-(583+150)/K$19</f>
        <v>400.73996760114534</v>
      </c>
      <c r="L75" s="690">
        <f t="shared" si="67"/>
        <v>404.30142072459842</v>
      </c>
      <c r="M75" s="690">
        <f t="shared" si="67"/>
        <v>407.6416930280111</v>
      </c>
      <c r="N75" s="690">
        <f t="shared" si="67"/>
        <v>410.77438615406692</v>
      </c>
      <c r="O75" s="690">
        <f t="shared" si="67"/>
        <v>414.40571202430743</v>
      </c>
      <c r="P75" s="846">
        <f t="shared" si="67"/>
        <v>414.40571202430743</v>
      </c>
    </row>
    <row r="76" spans="1:34" ht="20" customHeight="1">
      <c r="A76" s="867" t="s">
        <v>215</v>
      </c>
      <c r="B76" s="28" t="s">
        <v>25</v>
      </c>
      <c r="C76" s="35" t="s">
        <v>93</v>
      </c>
      <c r="D76" s="1198">
        <v>453.47673057793639</v>
      </c>
      <c r="E76" s="1198">
        <v>452.91686826880766</v>
      </c>
      <c r="F76" s="1198">
        <v>452.91686826880766</v>
      </c>
      <c r="G76" s="1013">
        <v>452.91686826880766</v>
      </c>
      <c r="H76" s="1132">
        <v>436.51872819129977</v>
      </c>
      <c r="I76" s="1246">
        <v>436.51872819129977</v>
      </c>
      <c r="J76" s="1297">
        <v>434.6333752209589</v>
      </c>
      <c r="K76" s="690">
        <f t="shared" ref="K76:P76" si="68">K$18-(583+250)/K$19</f>
        <v>397.5809529104634</v>
      </c>
      <c r="L76" s="690">
        <f t="shared" si="68"/>
        <v>401.14982917086377</v>
      </c>
      <c r="M76" s="690">
        <f t="shared" si="68"/>
        <v>404.46406353960947</v>
      </c>
      <c r="N76" s="690">
        <f t="shared" si="68"/>
        <v>407.57233684250753</v>
      </c>
      <c r="O76" s="690">
        <f t="shared" si="68"/>
        <v>411.20366271274804</v>
      </c>
      <c r="P76" s="846">
        <f t="shared" si="68"/>
        <v>411.20366271274804</v>
      </c>
      <c r="T76" s="712" t="s">
        <v>66</v>
      </c>
      <c r="U76" s="723"/>
    </row>
    <row r="77" spans="1:34" ht="20" customHeight="1">
      <c r="A77" s="867" t="s">
        <v>215</v>
      </c>
      <c r="B77" s="28" t="s">
        <v>25</v>
      </c>
      <c r="C77" s="35" t="s">
        <v>95</v>
      </c>
      <c r="D77" s="1198">
        <v>459.71458475446184</v>
      </c>
      <c r="E77" s="1198">
        <v>459.20931220773917</v>
      </c>
      <c r="F77" s="1198">
        <v>459.20931222626433</v>
      </c>
      <c r="G77" s="1013">
        <v>459.20931219042109</v>
      </c>
      <c r="H77" s="1132">
        <v>442.58335023276777</v>
      </c>
      <c r="I77" s="1246">
        <v>442.58335025043675</v>
      </c>
      <c r="J77" s="1297">
        <v>440.67180378031048</v>
      </c>
      <c r="K77" s="690">
        <f t="shared" ref="K77:P77" si="69">K$18-540/K$19</f>
        <v>406.8368659541614</v>
      </c>
      <c r="L77" s="690">
        <f t="shared" si="69"/>
        <v>410.38399242330627</v>
      </c>
      <c r="M77" s="690">
        <f t="shared" si="69"/>
        <v>413.77451794062631</v>
      </c>
      <c r="N77" s="690">
        <f t="shared" si="69"/>
        <v>416.95434132537656</v>
      </c>
      <c r="O77" s="690">
        <f t="shared" si="69"/>
        <v>420.58566719561708</v>
      </c>
      <c r="P77" s="846">
        <f t="shared" si="69"/>
        <v>420.58566719561708</v>
      </c>
      <c r="V77" s="43">
        <v>23377</v>
      </c>
      <c r="W77" s="43">
        <v>23408</v>
      </c>
      <c r="X77" s="43">
        <v>23437</v>
      </c>
      <c r="Y77" s="43">
        <v>23468</v>
      </c>
      <c r="Z77" s="43">
        <v>23498</v>
      </c>
      <c r="AA77" s="43">
        <v>23529</v>
      </c>
      <c r="AB77" s="43">
        <v>23559</v>
      </c>
      <c r="AC77" s="43">
        <v>23590</v>
      </c>
      <c r="AD77" s="43">
        <v>23621</v>
      </c>
      <c r="AE77" s="43">
        <v>23651</v>
      </c>
      <c r="AF77" s="43">
        <v>23682</v>
      </c>
      <c r="AG77" s="43">
        <v>23712</v>
      </c>
      <c r="AH77" s="526" t="s">
        <v>177</v>
      </c>
    </row>
    <row r="78" spans="1:34" ht="20" customHeight="1">
      <c r="A78" s="867" t="s">
        <v>215</v>
      </c>
      <c r="B78" s="28" t="s">
        <v>25</v>
      </c>
      <c r="C78" s="35" t="s">
        <v>96</v>
      </c>
      <c r="D78" s="1198">
        <v>0</v>
      </c>
      <c r="E78" s="1198">
        <v>0</v>
      </c>
      <c r="F78" s="1198">
        <v>0</v>
      </c>
      <c r="G78" s="1013">
        <v>0</v>
      </c>
      <c r="H78" s="1132">
        <v>0</v>
      </c>
      <c r="I78" s="1246">
        <v>0</v>
      </c>
      <c r="J78" s="1297">
        <v>0</v>
      </c>
      <c r="K78" s="690"/>
      <c r="L78" s="690"/>
      <c r="M78" s="690"/>
      <c r="N78" s="690"/>
      <c r="O78" s="690"/>
      <c r="P78" s="846"/>
      <c r="T78" s="713" t="s">
        <v>134</v>
      </c>
      <c r="V78" s="705"/>
      <c r="W78" s="705"/>
      <c r="X78" s="705"/>
      <c r="Y78" s="705"/>
      <c r="Z78" s="705"/>
      <c r="AA78" s="705"/>
      <c r="AB78" s="705"/>
      <c r="AC78" s="705"/>
      <c r="AD78" s="705"/>
      <c r="AE78" s="705"/>
      <c r="AF78" s="705"/>
      <c r="AG78" s="705"/>
      <c r="AH78" s="705"/>
    </row>
    <row r="79" spans="1:34" ht="20" customHeight="1">
      <c r="A79" s="867" t="s">
        <v>215</v>
      </c>
      <c r="B79" s="28" t="s">
        <v>25</v>
      </c>
      <c r="C79" s="35" t="s">
        <v>98</v>
      </c>
      <c r="D79" s="1198">
        <v>0</v>
      </c>
      <c r="E79" s="1198">
        <v>0</v>
      </c>
      <c r="F79" s="1198">
        <v>0</v>
      </c>
      <c r="G79" s="1013">
        <v>0</v>
      </c>
      <c r="H79" s="1132">
        <v>0</v>
      </c>
      <c r="I79" s="1246">
        <v>0</v>
      </c>
      <c r="J79" s="1297">
        <v>0</v>
      </c>
      <c r="K79" s="690">
        <f t="shared" ref="K79:P79" si="70">K$18-550/K$19</f>
        <v>406.5209644850932</v>
      </c>
      <c r="L79" s="690">
        <f t="shared" si="70"/>
        <v>410.0688332679328</v>
      </c>
      <c r="M79" s="690">
        <f t="shared" si="70"/>
        <v>413.45675499178611</v>
      </c>
      <c r="N79" s="690">
        <f t="shared" si="70"/>
        <v>416.6341363942206</v>
      </c>
      <c r="O79" s="690">
        <f t="shared" si="70"/>
        <v>420.26546226446112</v>
      </c>
      <c r="P79" s="846">
        <f t="shared" si="70"/>
        <v>420.26546226446112</v>
      </c>
      <c r="T79" s="713" t="s">
        <v>132</v>
      </c>
      <c r="V79" s="705"/>
      <c r="W79" s="705"/>
      <c r="X79" s="705"/>
      <c r="Y79" s="705"/>
      <c r="Z79" s="705"/>
      <c r="AA79" s="705"/>
      <c r="AB79" s="705"/>
      <c r="AC79" s="705"/>
      <c r="AD79" s="705"/>
      <c r="AE79" s="705"/>
      <c r="AF79" s="705"/>
      <c r="AG79" s="705"/>
      <c r="AH79" s="705"/>
    </row>
    <row r="80" spans="1:34" ht="20" customHeight="1">
      <c r="A80" s="867" t="s">
        <v>215</v>
      </c>
      <c r="B80" s="28" t="s">
        <v>25</v>
      </c>
      <c r="C80" s="35" t="s">
        <v>99</v>
      </c>
      <c r="D80" s="1198">
        <v>454.40027924065231</v>
      </c>
      <c r="E80" s="1198">
        <v>456.19880477477523</v>
      </c>
      <c r="F80" s="1198">
        <v>0</v>
      </c>
      <c r="G80" s="1013">
        <v>455.5737578352892</v>
      </c>
      <c r="H80" s="1132">
        <v>439.53527775880076</v>
      </c>
      <c r="I80" s="1246">
        <v>439.3165098296522</v>
      </c>
      <c r="J80" s="1297">
        <v>437.13653844268384</v>
      </c>
      <c r="K80" s="690">
        <f t="shared" ref="K80:P80" si="71">K$18-700/K$19</f>
        <v>401.78244244907034</v>
      </c>
      <c r="L80" s="690">
        <f t="shared" si="71"/>
        <v>405.34144593733083</v>
      </c>
      <c r="M80" s="690">
        <f t="shared" si="71"/>
        <v>408.69031075918366</v>
      </c>
      <c r="N80" s="690">
        <f t="shared" si="71"/>
        <v>411.83106242688149</v>
      </c>
      <c r="O80" s="690">
        <f t="shared" si="71"/>
        <v>415.462388297122</v>
      </c>
      <c r="P80" s="846">
        <f t="shared" si="71"/>
        <v>415.462388297122</v>
      </c>
      <c r="T80" s="713" t="s">
        <v>131</v>
      </c>
      <c r="V80" s="705"/>
      <c r="W80" s="705"/>
      <c r="X80" s="705"/>
      <c r="Y80" s="705"/>
      <c r="Z80" s="705"/>
      <c r="AA80" s="705"/>
      <c r="AB80" s="705"/>
      <c r="AC80" s="705"/>
      <c r="AD80" s="705"/>
      <c r="AE80" s="705"/>
      <c r="AF80" s="705"/>
      <c r="AG80" s="705"/>
      <c r="AH80" s="705"/>
    </row>
    <row r="81" spans="1:34" ht="20" customHeight="1">
      <c r="A81" s="867" t="s">
        <v>215</v>
      </c>
      <c r="B81" s="28" t="s">
        <v>25</v>
      </c>
      <c r="C81" s="35" t="s">
        <v>600</v>
      </c>
      <c r="D81" s="1199"/>
      <c r="E81" s="1200">
        <v>0</v>
      </c>
      <c r="F81" s="1200">
        <v>455.78490133541828</v>
      </c>
      <c r="G81" s="1013">
        <v>0</v>
      </c>
      <c r="H81" s="1132">
        <v>0</v>
      </c>
      <c r="I81" s="1246">
        <v>0</v>
      </c>
      <c r="J81" s="1297">
        <v>0</v>
      </c>
      <c r="K81" s="690"/>
      <c r="L81" s="690"/>
      <c r="M81" s="690"/>
      <c r="N81" s="690"/>
      <c r="O81" s="690"/>
      <c r="P81" s="846"/>
      <c r="T81" s="713" t="s">
        <v>133</v>
      </c>
      <c r="V81" s="705"/>
      <c r="W81" s="705"/>
      <c r="X81" s="705"/>
      <c r="Y81" s="705"/>
      <c r="Z81" s="705"/>
      <c r="AA81" s="705"/>
      <c r="AB81" s="705"/>
      <c r="AC81" s="705"/>
      <c r="AD81" s="705"/>
      <c r="AE81" s="705"/>
      <c r="AF81" s="705"/>
      <c r="AG81" s="705"/>
      <c r="AH81" s="705"/>
    </row>
    <row r="82" spans="1:34" ht="20" customHeight="1">
      <c r="A82" s="867" t="s">
        <v>215</v>
      </c>
      <c r="B82" s="28" t="s">
        <v>25</v>
      </c>
      <c r="C82" s="35" t="s">
        <v>102</v>
      </c>
      <c r="D82" s="1198">
        <v>0</v>
      </c>
      <c r="E82" s="1198">
        <v>0</v>
      </c>
      <c r="F82" s="1198">
        <v>0</v>
      </c>
      <c r="G82" s="1013">
        <v>0</v>
      </c>
      <c r="H82" s="1132">
        <v>0</v>
      </c>
      <c r="I82" s="1246">
        <v>0</v>
      </c>
      <c r="J82" s="1297">
        <v>0</v>
      </c>
      <c r="K82" s="690">
        <f t="shared" ref="K82:P82" si="72">K$18-350/K$19</f>
        <v>412.83899386645709</v>
      </c>
      <c r="L82" s="690">
        <f t="shared" si="72"/>
        <v>416.3720163754021</v>
      </c>
      <c r="M82" s="690">
        <f t="shared" si="72"/>
        <v>419.81201396858944</v>
      </c>
      <c r="N82" s="690">
        <f t="shared" si="72"/>
        <v>423.03823501733939</v>
      </c>
      <c r="O82" s="690">
        <f t="shared" si="72"/>
        <v>426.66956088757991</v>
      </c>
      <c r="P82" s="846">
        <f t="shared" si="72"/>
        <v>426.66956088757991</v>
      </c>
      <c r="T82" s="147" t="s">
        <v>177</v>
      </c>
      <c r="V82" s="705">
        <f t="shared" ref="V82:AG82" si="73">E117</f>
        <v>380.37499573533989</v>
      </c>
      <c r="W82" s="705">
        <f t="shared" si="73"/>
        <v>462.15937815615382</v>
      </c>
      <c r="X82" s="705">
        <f t="shared" si="73"/>
        <v>455.71011973738916</v>
      </c>
      <c r="Y82" s="705">
        <f t="shared" si="73"/>
        <v>447.35956853148662</v>
      </c>
      <c r="Z82" s="705">
        <f t="shared" si="73"/>
        <v>449.20927399693608</v>
      </c>
      <c r="AA82" s="705">
        <f t="shared" si="73"/>
        <v>449.27706638850583</v>
      </c>
      <c r="AB82" s="705">
        <f t="shared" si="73"/>
        <v>415.58963433769071</v>
      </c>
      <c r="AC82" s="705">
        <f t="shared" si="73"/>
        <v>414.52216189371796</v>
      </c>
      <c r="AD82" s="705">
        <f t="shared" si="73"/>
        <v>410.04074434889577</v>
      </c>
      <c r="AE82" s="705">
        <f t="shared" si="73"/>
        <v>396.3575735744447</v>
      </c>
      <c r="AF82" s="705">
        <f t="shared" si="73"/>
        <v>403.16763148066639</v>
      </c>
      <c r="AG82" s="705">
        <f t="shared" si="73"/>
        <v>413.38271833999886</v>
      </c>
      <c r="AH82" s="705">
        <f>Q123</f>
        <v>0</v>
      </c>
    </row>
    <row r="83" spans="1:34" ht="20" customHeight="1">
      <c r="A83" s="867" t="s">
        <v>215</v>
      </c>
      <c r="B83" s="28" t="s">
        <v>25</v>
      </c>
      <c r="C83" s="35" t="s">
        <v>103</v>
      </c>
      <c r="D83" s="1198">
        <v>461.04364294851564</v>
      </c>
      <c r="E83" s="1198">
        <v>462.85230608455822</v>
      </c>
      <c r="F83" s="1198">
        <v>462.85230608455828</v>
      </c>
      <c r="G83" s="1013">
        <v>462.85230608455822</v>
      </c>
      <c r="H83" s="1132">
        <v>446.09444723204251</v>
      </c>
      <c r="I83" s="1246">
        <v>446.09444723204251</v>
      </c>
      <c r="J83" s="1297">
        <v>444.16773610414577</v>
      </c>
      <c r="K83" s="690">
        <f t="shared" ref="K83:P83" si="74">K$18-500/K$19</f>
        <v>408.10047183043417</v>
      </c>
      <c r="L83" s="690">
        <f t="shared" si="74"/>
        <v>411.64462904480013</v>
      </c>
      <c r="M83" s="690">
        <f t="shared" si="74"/>
        <v>415.04556973598693</v>
      </c>
      <c r="N83" s="690">
        <f t="shared" si="74"/>
        <v>418.23516105000033</v>
      </c>
      <c r="O83" s="690">
        <f t="shared" si="74"/>
        <v>421.86648692024085</v>
      </c>
      <c r="P83" s="846">
        <f t="shared" si="74"/>
        <v>421.86648692024085</v>
      </c>
      <c r="T83" s="147"/>
      <c r="V83" s="705"/>
      <c r="W83" s="705"/>
      <c r="X83" s="705"/>
      <c r="Y83" s="705"/>
      <c r="Z83" s="705"/>
      <c r="AA83" s="705"/>
      <c r="AB83" s="705"/>
      <c r="AC83" s="705"/>
      <c r="AD83" s="705"/>
      <c r="AE83" s="705"/>
      <c r="AF83" s="705"/>
    </row>
    <row r="84" spans="1:34" ht="20" customHeight="1">
      <c r="A84" s="867" t="s">
        <v>215</v>
      </c>
      <c r="B84" s="28" t="s">
        <v>25</v>
      </c>
      <c r="C84" s="35" t="s">
        <v>104</v>
      </c>
      <c r="D84" s="1198">
        <v>474.33422490987329</v>
      </c>
      <c r="E84" s="1198">
        <v>471.13183759768373</v>
      </c>
      <c r="F84" s="1198">
        <v>471.13183759768373</v>
      </c>
      <c r="G84" s="1013">
        <v>471.13183759768378</v>
      </c>
      <c r="H84" s="1132">
        <v>454.07421309932818</v>
      </c>
      <c r="I84" s="1246">
        <v>454.07421309932812</v>
      </c>
      <c r="J84" s="1297">
        <v>452.11303684013484</v>
      </c>
      <c r="K84" s="690">
        <f t="shared" ref="K84:P84" si="75">K$18-(500+250)/K$19</f>
        <v>400.20293510372937</v>
      </c>
      <c r="L84" s="690">
        <f t="shared" si="75"/>
        <v>403.76565016046357</v>
      </c>
      <c r="M84" s="690">
        <f t="shared" si="75"/>
        <v>407.10149601498284</v>
      </c>
      <c r="N84" s="690">
        <f t="shared" si="75"/>
        <v>410.23003777110182</v>
      </c>
      <c r="O84" s="690">
        <f t="shared" si="75"/>
        <v>413.86136364134234</v>
      </c>
      <c r="P84" s="846">
        <f t="shared" si="75"/>
        <v>413.86136364134234</v>
      </c>
    </row>
    <row r="85" spans="1:34" ht="20" customHeight="1">
      <c r="A85" s="867" t="s">
        <v>215</v>
      </c>
      <c r="B85" s="28" t="s">
        <v>25</v>
      </c>
      <c r="C85" s="38" t="s">
        <v>105</v>
      </c>
      <c r="D85" s="1198">
        <v>0</v>
      </c>
      <c r="E85" s="1198">
        <v>0</v>
      </c>
      <c r="F85" s="1198">
        <v>0</v>
      </c>
      <c r="G85" s="1013">
        <v>0</v>
      </c>
      <c r="H85" s="1132">
        <v>0</v>
      </c>
      <c r="I85" s="1246">
        <v>0</v>
      </c>
      <c r="J85" s="1297">
        <v>0</v>
      </c>
      <c r="K85" s="690">
        <f t="shared" ref="K85:P85" si="76">K$18-350/K$19</f>
        <v>412.83899386645709</v>
      </c>
      <c r="L85" s="690">
        <f t="shared" si="76"/>
        <v>416.3720163754021</v>
      </c>
      <c r="M85" s="690">
        <f t="shared" si="76"/>
        <v>419.81201396858944</v>
      </c>
      <c r="N85" s="690">
        <f t="shared" si="76"/>
        <v>423.03823501733939</v>
      </c>
      <c r="O85" s="690">
        <f t="shared" si="76"/>
        <v>426.66956088757991</v>
      </c>
      <c r="P85" s="846">
        <f t="shared" si="76"/>
        <v>426.66956088757991</v>
      </c>
    </row>
    <row r="86" spans="1:34" ht="20" customHeight="1">
      <c r="A86" s="867" t="s">
        <v>215</v>
      </c>
      <c r="B86" s="28" t="s">
        <v>25</v>
      </c>
      <c r="C86" s="38" t="s">
        <v>106</v>
      </c>
      <c r="D86" s="1198">
        <v>0</v>
      </c>
      <c r="E86" s="1198">
        <v>0</v>
      </c>
      <c r="F86" s="1198">
        <v>0</v>
      </c>
      <c r="G86" s="1013">
        <v>0</v>
      </c>
      <c r="H86" s="1132">
        <v>0</v>
      </c>
      <c r="I86" s="1246">
        <v>0</v>
      </c>
      <c r="J86" s="1297">
        <v>0</v>
      </c>
      <c r="K86" s="690">
        <f t="shared" ref="K86:P86" si="77">K$18-500/K$19</f>
        <v>408.10047183043417</v>
      </c>
      <c r="L86" s="690">
        <f t="shared" si="77"/>
        <v>411.64462904480013</v>
      </c>
      <c r="M86" s="690">
        <f t="shared" si="77"/>
        <v>415.04556973598693</v>
      </c>
      <c r="N86" s="690">
        <f t="shared" si="77"/>
        <v>418.23516105000033</v>
      </c>
      <c r="O86" s="690">
        <f t="shared" si="77"/>
        <v>421.86648692024085</v>
      </c>
      <c r="P86" s="846">
        <f t="shared" si="77"/>
        <v>421.86648692024085</v>
      </c>
    </row>
    <row r="87" spans="1:34" ht="20" customHeight="1">
      <c r="A87" s="867" t="s">
        <v>215</v>
      </c>
      <c r="B87" s="28" t="s">
        <v>25</v>
      </c>
      <c r="C87" s="38" t="s">
        <v>107</v>
      </c>
      <c r="D87" s="1198">
        <v>0</v>
      </c>
      <c r="E87" s="1198">
        <v>0</v>
      </c>
      <c r="F87" s="1198">
        <v>0</v>
      </c>
      <c r="G87" s="1013">
        <v>0</v>
      </c>
      <c r="H87" s="1132">
        <v>0</v>
      </c>
      <c r="I87" s="1246">
        <v>0</v>
      </c>
      <c r="J87" s="1297">
        <v>0</v>
      </c>
      <c r="K87" s="690">
        <f t="shared" ref="K87:P87" si="78">K$18-350/K$19</f>
        <v>412.83899386645709</v>
      </c>
      <c r="L87" s="690">
        <f t="shared" si="78"/>
        <v>416.3720163754021</v>
      </c>
      <c r="M87" s="690">
        <f t="shared" si="78"/>
        <v>419.81201396858944</v>
      </c>
      <c r="N87" s="690">
        <f t="shared" si="78"/>
        <v>423.03823501733939</v>
      </c>
      <c r="O87" s="690">
        <f t="shared" si="78"/>
        <v>426.66956088757991</v>
      </c>
      <c r="P87" s="846">
        <f t="shared" si="78"/>
        <v>426.66956088757991</v>
      </c>
    </row>
    <row r="88" spans="1:34" ht="20" customHeight="1">
      <c r="A88" s="867" t="s">
        <v>215</v>
      </c>
      <c r="B88" s="28" t="s">
        <v>25</v>
      </c>
      <c r="C88" s="38" t="s">
        <v>108</v>
      </c>
      <c r="D88" s="1198">
        <v>0</v>
      </c>
      <c r="E88" s="1198">
        <v>0</v>
      </c>
      <c r="F88" s="1198">
        <v>0</v>
      </c>
      <c r="G88" s="1013">
        <v>0</v>
      </c>
      <c r="H88" s="1132">
        <v>0</v>
      </c>
      <c r="I88" s="1246">
        <v>0</v>
      </c>
      <c r="J88" s="1297">
        <v>0</v>
      </c>
      <c r="K88" s="690">
        <f t="shared" ref="K88:P88" si="79">K$18-500/K$19</f>
        <v>408.10047183043417</v>
      </c>
      <c r="L88" s="690">
        <f t="shared" si="79"/>
        <v>411.64462904480013</v>
      </c>
      <c r="M88" s="690">
        <f t="shared" si="79"/>
        <v>415.04556973598693</v>
      </c>
      <c r="N88" s="690">
        <f t="shared" si="79"/>
        <v>418.23516105000033</v>
      </c>
      <c r="O88" s="690">
        <f t="shared" si="79"/>
        <v>421.86648692024085</v>
      </c>
      <c r="P88" s="846">
        <f t="shared" si="79"/>
        <v>421.86648692024085</v>
      </c>
    </row>
    <row r="89" spans="1:34" ht="20" customHeight="1">
      <c r="A89" s="867" t="s">
        <v>215</v>
      </c>
      <c r="B89" s="28" t="s">
        <v>25</v>
      </c>
      <c r="C89" s="38" t="s">
        <v>109</v>
      </c>
      <c r="D89" s="1198">
        <v>0</v>
      </c>
      <c r="E89" s="1198">
        <v>0</v>
      </c>
      <c r="F89" s="1198">
        <v>0</v>
      </c>
      <c r="G89" s="1013">
        <v>0</v>
      </c>
      <c r="H89" s="1132">
        <v>0</v>
      </c>
      <c r="I89" s="1246">
        <v>0</v>
      </c>
      <c r="J89" s="1297">
        <v>0</v>
      </c>
      <c r="K89" s="690">
        <f t="shared" ref="K89:P89" si="80">K$18-350/K$19</f>
        <v>412.83899386645709</v>
      </c>
      <c r="L89" s="690">
        <f t="shared" si="80"/>
        <v>416.3720163754021</v>
      </c>
      <c r="M89" s="690">
        <f t="shared" si="80"/>
        <v>419.81201396858944</v>
      </c>
      <c r="N89" s="690">
        <f t="shared" si="80"/>
        <v>423.03823501733939</v>
      </c>
      <c r="O89" s="690">
        <f t="shared" si="80"/>
        <v>426.66956088757991</v>
      </c>
      <c r="P89" s="846">
        <f t="shared" si="80"/>
        <v>426.66956088757991</v>
      </c>
    </row>
    <row r="90" spans="1:34" ht="20" customHeight="1">
      <c r="A90" s="867" t="s">
        <v>215</v>
      </c>
      <c r="B90" s="28" t="s">
        <v>25</v>
      </c>
      <c r="C90" s="38" t="s">
        <v>110</v>
      </c>
      <c r="D90" s="1198">
        <v>0</v>
      </c>
      <c r="E90" s="1198">
        <v>0</v>
      </c>
      <c r="F90" s="1198">
        <v>0</v>
      </c>
      <c r="G90" s="1013">
        <v>0</v>
      </c>
      <c r="H90" s="1132">
        <v>0</v>
      </c>
      <c r="I90" s="1246">
        <v>0</v>
      </c>
      <c r="J90" s="1297">
        <v>0</v>
      </c>
      <c r="K90" s="690">
        <f t="shared" ref="K90:P90" si="81">K$18-500/K$19</f>
        <v>408.10047183043417</v>
      </c>
      <c r="L90" s="690">
        <f t="shared" si="81"/>
        <v>411.64462904480013</v>
      </c>
      <c r="M90" s="690">
        <f t="shared" si="81"/>
        <v>415.04556973598693</v>
      </c>
      <c r="N90" s="690">
        <f t="shared" si="81"/>
        <v>418.23516105000033</v>
      </c>
      <c r="O90" s="690">
        <f t="shared" si="81"/>
        <v>421.86648692024085</v>
      </c>
      <c r="P90" s="846">
        <f t="shared" si="81"/>
        <v>421.86648692024085</v>
      </c>
    </row>
    <row r="91" spans="1:34" ht="20" customHeight="1">
      <c r="A91" s="867" t="s">
        <v>215</v>
      </c>
      <c r="B91" s="28" t="s">
        <v>25</v>
      </c>
      <c r="C91" s="38" t="s">
        <v>111</v>
      </c>
      <c r="D91" s="1198">
        <v>459.71458473220002</v>
      </c>
      <c r="E91" s="1198">
        <v>459.20931222361043</v>
      </c>
      <c r="F91" s="1198">
        <v>459.20931223645579</v>
      </c>
      <c r="G91" s="1013">
        <v>459.20931221202022</v>
      </c>
      <c r="H91" s="1132">
        <v>442.58335024447098</v>
      </c>
      <c r="I91" s="1246">
        <v>442.58335025043675</v>
      </c>
      <c r="J91" s="1297">
        <v>440.67180378031048</v>
      </c>
      <c r="K91" s="690">
        <f t="shared" ref="K91:P91" si="82">K$18-540/K$19</f>
        <v>406.8368659541614</v>
      </c>
      <c r="L91" s="690">
        <f t="shared" si="82"/>
        <v>410.38399242330627</v>
      </c>
      <c r="M91" s="690">
        <f t="shared" si="82"/>
        <v>413.77451794062631</v>
      </c>
      <c r="N91" s="690">
        <f t="shared" si="82"/>
        <v>416.95434132537656</v>
      </c>
      <c r="O91" s="690">
        <f t="shared" si="82"/>
        <v>420.58566719561708</v>
      </c>
      <c r="P91" s="846">
        <f t="shared" si="82"/>
        <v>420.58566719561708</v>
      </c>
    </row>
    <row r="92" spans="1:34" ht="20" customHeight="1">
      <c r="A92" s="867" t="s">
        <v>215</v>
      </c>
      <c r="B92" s="28" t="s">
        <v>25</v>
      </c>
      <c r="C92" s="38" t="s">
        <v>112</v>
      </c>
      <c r="D92" s="1198">
        <v>0</v>
      </c>
      <c r="E92" s="1198">
        <v>0</v>
      </c>
      <c r="F92" s="1198">
        <v>0</v>
      </c>
      <c r="G92" s="1013">
        <v>0</v>
      </c>
      <c r="H92" s="1132">
        <v>0</v>
      </c>
      <c r="I92" s="1246">
        <v>0</v>
      </c>
      <c r="J92" s="1297">
        <v>0</v>
      </c>
      <c r="K92" s="690"/>
      <c r="L92" s="690"/>
      <c r="M92" s="690"/>
      <c r="N92" s="690"/>
      <c r="O92" s="690"/>
      <c r="P92" s="846"/>
    </row>
    <row r="93" spans="1:34" ht="20" customHeight="1">
      <c r="A93" s="867" t="s">
        <v>215</v>
      </c>
      <c r="B93" s="28" t="s">
        <v>25</v>
      </c>
      <c r="C93" s="28" t="s">
        <v>113</v>
      </c>
      <c r="D93" s="1198">
        <v>0</v>
      </c>
      <c r="E93" s="1198">
        <v>0</v>
      </c>
      <c r="F93" s="1198">
        <v>0</v>
      </c>
      <c r="G93" s="1013">
        <v>0</v>
      </c>
      <c r="H93" s="1132">
        <v>0</v>
      </c>
      <c r="I93" s="1246">
        <v>0</v>
      </c>
      <c r="J93" s="1297">
        <v>0</v>
      </c>
      <c r="K93" s="690">
        <f t="shared" ref="K93:P93" si="83">K$18-350/K$19</f>
        <v>412.83899386645709</v>
      </c>
      <c r="L93" s="690">
        <f t="shared" si="83"/>
        <v>416.3720163754021</v>
      </c>
      <c r="M93" s="690">
        <f t="shared" si="83"/>
        <v>419.81201396858944</v>
      </c>
      <c r="N93" s="690">
        <f t="shared" si="83"/>
        <v>423.03823501733939</v>
      </c>
      <c r="O93" s="690">
        <f t="shared" si="83"/>
        <v>426.66956088757991</v>
      </c>
      <c r="P93" s="846">
        <f t="shared" si="83"/>
        <v>426.66956088757991</v>
      </c>
    </row>
    <row r="94" spans="1:34" ht="20" customHeight="1">
      <c r="A94" s="867" t="s">
        <v>215</v>
      </c>
      <c r="B94" s="28" t="s">
        <v>25</v>
      </c>
      <c r="C94" s="28" t="s">
        <v>114</v>
      </c>
      <c r="D94" s="1198">
        <v>0</v>
      </c>
      <c r="E94" s="1198">
        <v>0</v>
      </c>
      <c r="F94" s="1198">
        <v>0</v>
      </c>
      <c r="G94" s="1013">
        <v>0</v>
      </c>
      <c r="H94" s="1132">
        <v>0</v>
      </c>
      <c r="I94" s="1246">
        <v>0</v>
      </c>
      <c r="J94" s="1297">
        <v>0</v>
      </c>
      <c r="K94" s="690">
        <f t="shared" ref="K94:P94" si="84">K$18-500/K$19</f>
        <v>408.10047183043417</v>
      </c>
      <c r="L94" s="690">
        <f t="shared" si="84"/>
        <v>411.64462904480013</v>
      </c>
      <c r="M94" s="690">
        <f t="shared" si="84"/>
        <v>415.04556973598693</v>
      </c>
      <c r="N94" s="690">
        <f t="shared" si="84"/>
        <v>418.23516105000033</v>
      </c>
      <c r="O94" s="690">
        <f t="shared" si="84"/>
        <v>421.86648692024085</v>
      </c>
      <c r="P94" s="846">
        <f t="shared" si="84"/>
        <v>421.86648692024085</v>
      </c>
    </row>
    <row r="95" spans="1:34" ht="20" customHeight="1">
      <c r="A95" s="867" t="s">
        <v>215</v>
      </c>
      <c r="B95" s="28"/>
      <c r="C95" s="34" t="s">
        <v>37</v>
      </c>
      <c r="D95" s="1201">
        <f>('Revenue (Baht)'!D95-'Revenue (Baht)'!D70)/((Delivery!D95-Delivery!D70)*D19)</f>
        <v>455.245118526076</v>
      </c>
      <c r="E95" s="1201">
        <f>('Revenue (Baht)'!E95-'Revenue (Baht)'!E70)/((Delivery!E95-Delivery!E70)*E19)</f>
        <v>459.45936955996279</v>
      </c>
      <c r="F95" s="1201">
        <f>('Revenue (Baht)'!F95-'Revenue (Baht)'!F70)/((Delivery!F95-Delivery!F70)*F19)</f>
        <v>459.77629187030374</v>
      </c>
      <c r="G95" s="1201">
        <f>('Revenue (Baht)'!G95-'Revenue (Baht)'!G70)/((Delivery!G95-Delivery!G70)*G19)</f>
        <v>454.95780688484501</v>
      </c>
      <c r="H95" s="1202">
        <f>('Revenue (Baht)'!H95-'Revenue (Baht)'!H70)/((Delivery!H95-Delivery!H70)*H19)</f>
        <v>442.47837407906258</v>
      </c>
      <c r="I95" s="1208">
        <f>('Revenue (Baht)'!I95-'Revenue (Baht)'!I70)/((Delivery!I95-Delivery!I70)*I19)</f>
        <v>440.71164807778246</v>
      </c>
      <c r="J95" s="1208">
        <f>('Revenue (Baht)'!J95-'Revenue (Baht)'!J70)/((Delivery!J95-Delivery!J70)*J19)</f>
        <v>440.28394872879903</v>
      </c>
      <c r="K95" s="1201">
        <f>('Revenue (Baht)'!K95-'Revenue (Baht)'!K70)/((Delivery!K95-Delivery!K70)*K19)</f>
        <v>383.76164746012694</v>
      </c>
      <c r="L95" s="1201">
        <f>('Revenue (Baht)'!L95-'Revenue (Baht)'!L70)/((Delivery!L95-Delivery!L70)*L19)</f>
        <v>385.84467887548249</v>
      </c>
      <c r="M95" s="1201">
        <f>('Revenue (Baht)'!M95-'Revenue (Baht)'!M70)/((Delivery!M95-Delivery!M70)*M19)</f>
        <v>392.23790052932009</v>
      </c>
      <c r="N95" s="1201">
        <f>('Revenue (Baht)'!N95-'Revenue (Baht)'!N70)/((Delivery!N95-Delivery!N70)*N19)</f>
        <v>398.29533595955655</v>
      </c>
      <c r="O95" s="1201">
        <f>('Revenue (Baht)'!O95-'Revenue (Baht)'!O70)/((Delivery!O95-Delivery!O70)*O19)</f>
        <v>401.78228858348729</v>
      </c>
      <c r="P95" s="1201">
        <f>('Revenue (Baht)'!P95-'Revenue (Baht)'!P70)/((Delivery!P95-Delivery!P70)*P19)</f>
        <v>401.79398753009963</v>
      </c>
    </row>
    <row r="96" spans="1:34" ht="20" customHeight="1">
      <c r="A96" s="866" t="s">
        <v>592</v>
      </c>
      <c r="B96" s="225" t="s">
        <v>131</v>
      </c>
      <c r="C96" s="28" t="s">
        <v>115</v>
      </c>
      <c r="D96" s="1198">
        <v>480.97951595092269</v>
      </c>
      <c r="E96" s="1198">
        <v>482.43178847542322</v>
      </c>
      <c r="F96" s="1198">
        <v>482.82279805944609</v>
      </c>
      <c r="G96" s="1013">
        <v>470.24389612252719</v>
      </c>
      <c r="H96" s="1132">
        <v>461.9985319212135</v>
      </c>
      <c r="I96" s="1246">
        <v>462.55064598815363</v>
      </c>
      <c r="J96" s="1297">
        <v>460.47014656817254</v>
      </c>
      <c r="K96" s="690">
        <f t="shared" ref="K96:P96" si="85">K$7+K$17+100/K$19</f>
        <v>663.78303091032694</v>
      </c>
      <c r="L96" s="690">
        <f t="shared" si="85"/>
        <v>662.07903866190031</v>
      </c>
      <c r="M96" s="690">
        <f t="shared" si="85"/>
        <v>655.00679204082769</v>
      </c>
      <c r="N96" s="690">
        <f t="shared" si="85"/>
        <v>633.33464275250617</v>
      </c>
      <c r="O96" s="690">
        <f t="shared" si="85"/>
        <v>644.13807364102695</v>
      </c>
      <c r="P96" s="846">
        <f t="shared" si="85"/>
        <v>660.343219973808</v>
      </c>
    </row>
    <row r="97" spans="1:16" ht="20" customHeight="1">
      <c r="A97" s="866" t="s">
        <v>592</v>
      </c>
      <c r="B97" s="28" t="s">
        <v>134</v>
      </c>
      <c r="C97" s="28" t="s">
        <v>116</v>
      </c>
      <c r="D97" s="1198">
        <v>0</v>
      </c>
      <c r="E97" s="1198">
        <v>0</v>
      </c>
      <c r="F97" s="1198">
        <v>0</v>
      </c>
      <c r="G97" s="1013">
        <v>0</v>
      </c>
      <c r="H97" s="1132">
        <v>0</v>
      </c>
      <c r="I97" s="1246">
        <v>0</v>
      </c>
      <c r="J97" s="1297">
        <v>0</v>
      </c>
      <c r="K97" s="690">
        <f t="shared" ref="K97:P97" si="86">K$7+K$17-583/K$19</f>
        <v>642.20696057296936</v>
      </c>
      <c r="L97" s="690">
        <f t="shared" si="86"/>
        <v>640.55366834989275</v>
      </c>
      <c r="M97" s="690">
        <f t="shared" si="86"/>
        <v>633.30358263504445</v>
      </c>
      <c r="N97" s="690">
        <f t="shared" si="86"/>
        <v>611.46464595455541</v>
      </c>
      <c r="O97" s="690">
        <f t="shared" si="86"/>
        <v>622.26807684307619</v>
      </c>
      <c r="P97" s="846">
        <f t="shared" si="86"/>
        <v>638.47322317585724</v>
      </c>
    </row>
    <row r="98" spans="1:16" ht="20" customHeight="1">
      <c r="A98" s="866" t="s">
        <v>592</v>
      </c>
      <c r="B98" s="28" t="s">
        <v>132</v>
      </c>
      <c r="C98" s="28" t="s">
        <v>643</v>
      </c>
      <c r="D98" s="1203"/>
      <c r="E98" s="1204"/>
      <c r="F98" s="1198">
        <v>461.14283427168658</v>
      </c>
      <c r="G98" s="1013">
        <v>0</v>
      </c>
      <c r="H98" s="1132">
        <v>0</v>
      </c>
      <c r="I98" s="1246">
        <v>0</v>
      </c>
      <c r="J98" s="1297">
        <v>0</v>
      </c>
      <c r="K98" s="690"/>
      <c r="L98" s="690"/>
      <c r="M98" s="690"/>
      <c r="N98" s="690"/>
      <c r="O98" s="690"/>
      <c r="P98" s="846"/>
    </row>
    <row r="99" spans="1:16" ht="20" customHeight="1">
      <c r="A99" s="866" t="s">
        <v>592</v>
      </c>
      <c r="B99" s="28" t="s">
        <v>134</v>
      </c>
      <c r="C99" s="224" t="s">
        <v>94</v>
      </c>
      <c r="D99" s="1198">
        <v>453.47673057793645</v>
      </c>
      <c r="E99" s="1198">
        <v>455.77036516151827</v>
      </c>
      <c r="F99" s="1198">
        <v>456.13976572297679</v>
      </c>
      <c r="G99" s="1013">
        <v>0</v>
      </c>
      <c r="H99" s="1132">
        <v>436.46634538665313</v>
      </c>
      <c r="I99" s="1246">
        <v>0</v>
      </c>
      <c r="J99" s="1297">
        <v>0</v>
      </c>
      <c r="K99" s="690">
        <f t="shared" ref="K99:P99" si="87">K$7+K$17-583/K$19</f>
        <v>642.20696057296936</v>
      </c>
      <c r="L99" s="690">
        <f t="shared" si="87"/>
        <v>640.55366834989275</v>
      </c>
      <c r="M99" s="690">
        <f t="shared" si="87"/>
        <v>633.30358263504445</v>
      </c>
      <c r="N99" s="690">
        <f t="shared" si="87"/>
        <v>611.46464595455541</v>
      </c>
      <c r="O99" s="690">
        <f t="shared" si="87"/>
        <v>622.26807684307619</v>
      </c>
      <c r="P99" s="846">
        <f t="shared" si="87"/>
        <v>638.47322317585724</v>
      </c>
    </row>
    <row r="100" spans="1:16" ht="20" customHeight="1">
      <c r="A100" s="866" t="s">
        <v>592</v>
      </c>
      <c r="B100" s="28" t="s">
        <v>132</v>
      </c>
      <c r="C100" s="225" t="s">
        <v>117</v>
      </c>
      <c r="D100" s="1198">
        <v>449.61239993770977</v>
      </c>
      <c r="E100" s="1198">
        <v>449.43744960543103</v>
      </c>
      <c r="F100" s="1198">
        <v>448.90624652258776</v>
      </c>
      <c r="G100" s="1013">
        <v>439.38330799516632</v>
      </c>
      <c r="H100" s="1132">
        <v>431.67906041553641</v>
      </c>
      <c r="I100" s="1246">
        <v>428.99604821386396</v>
      </c>
      <c r="J100" s="1297">
        <v>430.2509780278761</v>
      </c>
      <c r="K100" s="690">
        <f t="shared" ref="K100:P100" si="88">K18-583/K$19</f>
        <v>405.4784896371682</v>
      </c>
      <c r="L100" s="690">
        <f t="shared" si="88"/>
        <v>409.02880805520039</v>
      </c>
      <c r="M100" s="690">
        <f t="shared" si="88"/>
        <v>412.40813726061356</v>
      </c>
      <c r="N100" s="690">
        <f t="shared" si="88"/>
        <v>415.57746012140598</v>
      </c>
      <c r="O100" s="690">
        <f t="shared" si="88"/>
        <v>419.20878599164649</v>
      </c>
      <c r="P100" s="846">
        <f t="shared" si="88"/>
        <v>419.20878599164649</v>
      </c>
    </row>
    <row r="101" spans="1:16" ht="20" customHeight="1">
      <c r="A101" s="866" t="s">
        <v>592</v>
      </c>
      <c r="B101" s="28" t="s">
        <v>134</v>
      </c>
      <c r="C101" s="225" t="s">
        <v>118</v>
      </c>
      <c r="D101" s="1198">
        <v>0</v>
      </c>
      <c r="E101" s="1198">
        <v>0</v>
      </c>
      <c r="F101" s="1198">
        <v>0</v>
      </c>
      <c r="G101" s="1013">
        <v>0</v>
      </c>
      <c r="H101" s="1132">
        <v>0</v>
      </c>
      <c r="I101" s="1246">
        <v>0</v>
      </c>
      <c r="J101" s="1297">
        <v>0</v>
      </c>
      <c r="K101" s="690"/>
      <c r="L101" s="690"/>
      <c r="M101" s="690"/>
      <c r="N101" s="690"/>
      <c r="O101" s="690"/>
      <c r="P101" s="846"/>
    </row>
    <row r="102" spans="1:16" ht="15.5">
      <c r="A102" s="866" t="s">
        <v>592</v>
      </c>
      <c r="B102" s="28" t="s">
        <v>133</v>
      </c>
      <c r="C102" s="225" t="s">
        <v>119</v>
      </c>
      <c r="D102" s="1198">
        <v>453.47673071995712</v>
      </c>
      <c r="E102" s="1198">
        <v>0</v>
      </c>
      <c r="F102" s="1198">
        <v>0</v>
      </c>
      <c r="G102" s="1013">
        <v>0</v>
      </c>
      <c r="H102" s="1132">
        <v>0</v>
      </c>
      <c r="I102" s="1246">
        <v>0</v>
      </c>
      <c r="J102" s="1297">
        <v>0</v>
      </c>
      <c r="K102" s="690">
        <f t="shared" ref="K102:P102" si="89">K$7+K$17-(583+150)/K$19</f>
        <v>637.46843853694656</v>
      </c>
      <c r="L102" s="690">
        <f t="shared" si="89"/>
        <v>635.82628101929083</v>
      </c>
      <c r="M102" s="690">
        <f t="shared" si="89"/>
        <v>628.537138402442</v>
      </c>
      <c r="N102" s="690">
        <f t="shared" si="89"/>
        <v>606.66157198721635</v>
      </c>
      <c r="O102" s="690">
        <f t="shared" si="89"/>
        <v>617.46500287573713</v>
      </c>
      <c r="P102" s="846">
        <f t="shared" si="89"/>
        <v>633.67014920851818</v>
      </c>
    </row>
    <row r="103" spans="1:16" ht="15.5">
      <c r="A103" s="866" t="s">
        <v>592</v>
      </c>
      <c r="B103" s="225" t="s">
        <v>134</v>
      </c>
      <c r="C103" s="28" t="s">
        <v>97</v>
      </c>
      <c r="D103" s="1198">
        <v>0</v>
      </c>
      <c r="E103" s="1198">
        <v>0</v>
      </c>
      <c r="F103" s="1198">
        <v>0</v>
      </c>
      <c r="G103" s="1013">
        <v>0</v>
      </c>
      <c r="H103" s="1132">
        <v>0</v>
      </c>
      <c r="I103" s="1246">
        <v>0</v>
      </c>
      <c r="J103" s="1297">
        <v>0</v>
      </c>
      <c r="K103" s="690"/>
      <c r="L103" s="690"/>
      <c r="M103" s="690"/>
      <c r="N103" s="690"/>
      <c r="O103" s="690"/>
      <c r="P103" s="846"/>
    </row>
    <row r="104" spans="1:16" ht="18" customHeight="1">
      <c r="A104" s="866" t="s">
        <v>592</v>
      </c>
      <c r="B104" s="225" t="s">
        <v>134</v>
      </c>
      <c r="C104" s="28" t="s">
        <v>100</v>
      </c>
      <c r="D104" s="1198">
        <v>0</v>
      </c>
      <c r="E104" s="1198">
        <v>0</v>
      </c>
      <c r="F104" s="1198">
        <v>0</v>
      </c>
      <c r="G104" s="1013">
        <v>0</v>
      </c>
      <c r="H104" s="1132">
        <v>0</v>
      </c>
      <c r="I104" s="1246">
        <v>0</v>
      </c>
      <c r="J104" s="1297">
        <v>0</v>
      </c>
      <c r="K104" s="690">
        <f t="shared" ref="K104:P104" si="90">K$7+K$17-550/K$19</f>
        <v>643.24943542089443</v>
      </c>
      <c r="L104" s="690">
        <f t="shared" si="90"/>
        <v>641.59369356262516</v>
      </c>
      <c r="M104" s="690">
        <f t="shared" si="90"/>
        <v>634.35220036621695</v>
      </c>
      <c r="N104" s="690">
        <f t="shared" si="90"/>
        <v>612.52132222736998</v>
      </c>
      <c r="O104" s="690">
        <f t="shared" si="90"/>
        <v>623.32475311589076</v>
      </c>
      <c r="P104" s="846">
        <f t="shared" si="90"/>
        <v>639.52989944867181</v>
      </c>
    </row>
    <row r="105" spans="1:16" ht="18" customHeight="1">
      <c r="A105" s="866" t="s">
        <v>592</v>
      </c>
      <c r="B105" s="225" t="s">
        <v>134</v>
      </c>
      <c r="C105" s="28" t="s">
        <v>101</v>
      </c>
      <c r="D105" s="1198">
        <v>454.40027934207512</v>
      </c>
      <c r="E105" s="1198">
        <v>459.07297853267579</v>
      </c>
      <c r="F105" s="1198">
        <v>459.02820729774407</v>
      </c>
      <c r="G105" s="1013">
        <v>0</v>
      </c>
      <c r="H105" s="1132">
        <v>0</v>
      </c>
      <c r="I105" s="1246">
        <v>0</v>
      </c>
      <c r="J105" s="1297">
        <v>0</v>
      </c>
      <c r="K105" s="690">
        <f t="shared" ref="K105:P105" si="91">K$7+K$17-583/K$19</f>
        <v>642.20696057296936</v>
      </c>
      <c r="L105" s="690">
        <f t="shared" si="91"/>
        <v>640.55366834989275</v>
      </c>
      <c r="M105" s="690">
        <f t="shared" si="91"/>
        <v>633.30358263504445</v>
      </c>
      <c r="N105" s="690">
        <f t="shared" si="91"/>
        <v>611.46464595455541</v>
      </c>
      <c r="O105" s="690">
        <f t="shared" si="91"/>
        <v>622.26807684307619</v>
      </c>
      <c r="P105" s="846">
        <f t="shared" si="91"/>
        <v>638.47322317585724</v>
      </c>
    </row>
    <row r="106" spans="1:16" ht="18" customHeight="1">
      <c r="A106" s="866" t="s">
        <v>592</v>
      </c>
      <c r="B106" s="225" t="s">
        <v>132</v>
      </c>
      <c r="C106" s="28" t="s">
        <v>120</v>
      </c>
      <c r="D106" s="1198">
        <v>454.4002791936519</v>
      </c>
      <c r="E106" s="1198">
        <v>459.07297852965416</v>
      </c>
      <c r="F106" s="1198">
        <v>459.02820724486514</v>
      </c>
      <c r="G106" s="1013">
        <v>446.86211605998085</v>
      </c>
      <c r="H106" s="1132">
        <v>439.48253304018436</v>
      </c>
      <c r="I106" s="1246">
        <v>439.78873628285032</v>
      </c>
      <c r="J106" s="1297">
        <v>437.52782946023598</v>
      </c>
      <c r="K106" s="690">
        <f t="shared" ref="K106:P106" si="92">K$7+K$17-700/K$19</f>
        <v>638.51091338487163</v>
      </c>
      <c r="L106" s="690">
        <f t="shared" si="92"/>
        <v>636.86630623202325</v>
      </c>
      <c r="M106" s="690">
        <f t="shared" si="92"/>
        <v>629.5857561336145</v>
      </c>
      <c r="N106" s="690">
        <f t="shared" si="92"/>
        <v>607.71824826003092</v>
      </c>
      <c r="O106" s="690">
        <f t="shared" si="92"/>
        <v>618.5216791485517</v>
      </c>
      <c r="P106" s="846">
        <f t="shared" si="92"/>
        <v>634.72682548133275</v>
      </c>
    </row>
    <row r="107" spans="1:16" ht="18" customHeight="1">
      <c r="A107" s="866" t="s">
        <v>592</v>
      </c>
      <c r="B107" s="225" t="s">
        <v>133</v>
      </c>
      <c r="C107" s="28" t="s">
        <v>121</v>
      </c>
      <c r="D107" s="1198">
        <v>454.40027924767975</v>
      </c>
      <c r="E107" s="1198">
        <v>0</v>
      </c>
      <c r="F107" s="1198">
        <v>459.02820725393491</v>
      </c>
      <c r="G107" s="1013">
        <v>446.86211593438333</v>
      </c>
      <c r="H107" s="1132">
        <v>439.48253309169968</v>
      </c>
      <c r="I107" s="1246">
        <v>439.78873641610517</v>
      </c>
      <c r="J107" s="1297">
        <v>0</v>
      </c>
      <c r="K107" s="690">
        <f t="shared" ref="K107:P107" si="93">K106</f>
        <v>638.51091338487163</v>
      </c>
      <c r="L107" s="690">
        <f t="shared" si="93"/>
        <v>636.86630623202325</v>
      </c>
      <c r="M107" s="690">
        <f t="shared" si="93"/>
        <v>629.5857561336145</v>
      </c>
      <c r="N107" s="690">
        <f t="shared" si="93"/>
        <v>607.71824826003092</v>
      </c>
      <c r="O107" s="690">
        <f t="shared" si="93"/>
        <v>618.5216791485517</v>
      </c>
      <c r="P107" s="846">
        <f t="shared" si="93"/>
        <v>634.72682548133275</v>
      </c>
    </row>
    <row r="108" spans="1:16" ht="18" customHeight="1">
      <c r="A108" s="866" t="s">
        <v>592</v>
      </c>
      <c r="B108" s="28" t="s">
        <v>134</v>
      </c>
      <c r="C108" s="28" t="s">
        <v>122</v>
      </c>
      <c r="D108" s="1198">
        <v>0</v>
      </c>
      <c r="E108" s="1198">
        <v>0</v>
      </c>
      <c r="F108" s="1198">
        <v>0</v>
      </c>
      <c r="G108" s="1013">
        <v>0</v>
      </c>
      <c r="H108" s="1132">
        <v>0</v>
      </c>
      <c r="I108" s="1246">
        <v>0</v>
      </c>
      <c r="J108" s="1297">
        <v>0</v>
      </c>
      <c r="K108" s="690"/>
      <c r="L108" s="690"/>
      <c r="M108" s="690"/>
      <c r="N108" s="690"/>
      <c r="O108" s="690"/>
      <c r="P108" s="846"/>
    </row>
    <row r="109" spans="1:16" ht="18" customHeight="1">
      <c r="A109" s="866" t="s">
        <v>592</v>
      </c>
      <c r="B109" s="28" t="s">
        <v>134</v>
      </c>
      <c r="C109" s="28" t="s">
        <v>123</v>
      </c>
      <c r="D109" s="1198">
        <v>461.04364294851564</v>
      </c>
      <c r="E109" s="1198">
        <v>465.7683988815532</v>
      </c>
      <c r="F109" s="1198">
        <v>466.14590282039649</v>
      </c>
      <c r="G109" s="1013">
        <v>0</v>
      </c>
      <c r="H109" s="1132">
        <v>0</v>
      </c>
      <c r="I109" s="1246">
        <v>0</v>
      </c>
      <c r="J109" s="1297">
        <v>0</v>
      </c>
      <c r="K109" s="690">
        <f t="shared" ref="K109:P113" si="94">K$7+K$17-500/K$19</f>
        <v>644.8289427662354</v>
      </c>
      <c r="L109" s="690">
        <f t="shared" si="94"/>
        <v>643.16948933949243</v>
      </c>
      <c r="M109" s="690">
        <f t="shared" si="94"/>
        <v>635.94101511041777</v>
      </c>
      <c r="N109" s="690">
        <f t="shared" si="94"/>
        <v>614.1223468831497</v>
      </c>
      <c r="O109" s="690">
        <f t="shared" si="94"/>
        <v>624.92577777167048</v>
      </c>
      <c r="P109" s="846">
        <f t="shared" si="94"/>
        <v>641.13092410445154</v>
      </c>
    </row>
    <row r="110" spans="1:16" ht="18" customHeight="1">
      <c r="A110" s="866" t="s">
        <v>592</v>
      </c>
      <c r="B110" s="28" t="s">
        <v>134</v>
      </c>
      <c r="C110" s="40" t="s">
        <v>124</v>
      </c>
      <c r="D110" s="1198">
        <v>0</v>
      </c>
      <c r="E110" s="1198">
        <v>0</v>
      </c>
      <c r="F110" s="1198">
        <v>0</v>
      </c>
      <c r="G110" s="1013">
        <v>0</v>
      </c>
      <c r="H110" s="1132">
        <v>0</v>
      </c>
      <c r="I110" s="1246">
        <v>0</v>
      </c>
      <c r="J110" s="1297">
        <v>0</v>
      </c>
      <c r="K110" s="690">
        <f t="shared" si="94"/>
        <v>644.8289427662354</v>
      </c>
      <c r="L110" s="690">
        <f t="shared" si="94"/>
        <v>643.16948933949243</v>
      </c>
      <c r="M110" s="690">
        <f t="shared" si="94"/>
        <v>635.94101511041777</v>
      </c>
      <c r="N110" s="690">
        <f t="shared" si="94"/>
        <v>614.1223468831497</v>
      </c>
      <c r="O110" s="690">
        <f t="shared" si="94"/>
        <v>624.92577777167048</v>
      </c>
      <c r="P110" s="846">
        <f t="shared" si="94"/>
        <v>641.13092410445154</v>
      </c>
    </row>
    <row r="111" spans="1:16" ht="18" customHeight="1">
      <c r="A111" s="866" t="s">
        <v>592</v>
      </c>
      <c r="B111" s="28" t="s">
        <v>134</v>
      </c>
      <c r="C111" s="40" t="s">
        <v>125</v>
      </c>
      <c r="D111" s="1198">
        <v>0</v>
      </c>
      <c r="E111" s="1198">
        <v>0</v>
      </c>
      <c r="F111" s="1198">
        <v>0</v>
      </c>
      <c r="G111" s="1013">
        <v>0</v>
      </c>
      <c r="H111" s="1132">
        <v>0</v>
      </c>
      <c r="I111" s="1246">
        <v>0</v>
      </c>
      <c r="J111" s="1297">
        <v>0</v>
      </c>
      <c r="K111" s="690">
        <f t="shared" si="94"/>
        <v>644.8289427662354</v>
      </c>
      <c r="L111" s="690">
        <f t="shared" si="94"/>
        <v>643.16948933949243</v>
      </c>
      <c r="M111" s="690">
        <f t="shared" si="94"/>
        <v>635.94101511041777</v>
      </c>
      <c r="N111" s="690">
        <f t="shared" si="94"/>
        <v>614.1223468831497</v>
      </c>
      <c r="O111" s="690">
        <f t="shared" si="94"/>
        <v>624.92577777167048</v>
      </c>
      <c r="P111" s="846">
        <f t="shared" si="94"/>
        <v>641.13092410445154</v>
      </c>
    </row>
    <row r="112" spans="1:16" ht="18" customHeight="1">
      <c r="A112" s="866" t="s">
        <v>592</v>
      </c>
      <c r="B112" s="28" t="s">
        <v>134</v>
      </c>
      <c r="C112" s="40" t="s">
        <v>126</v>
      </c>
      <c r="D112" s="1198">
        <v>0</v>
      </c>
      <c r="E112" s="1198">
        <v>0</v>
      </c>
      <c r="F112" s="1198">
        <v>0</v>
      </c>
      <c r="G112" s="1013">
        <v>0</v>
      </c>
      <c r="H112" s="1132">
        <v>0</v>
      </c>
      <c r="I112" s="1246">
        <v>0</v>
      </c>
      <c r="J112" s="1297">
        <v>0</v>
      </c>
      <c r="K112" s="690">
        <f t="shared" si="94"/>
        <v>644.8289427662354</v>
      </c>
      <c r="L112" s="690">
        <f t="shared" si="94"/>
        <v>643.16948933949243</v>
      </c>
      <c r="M112" s="690">
        <f t="shared" si="94"/>
        <v>635.94101511041777</v>
      </c>
      <c r="N112" s="690">
        <f t="shared" si="94"/>
        <v>614.1223468831497</v>
      </c>
      <c r="O112" s="690">
        <f t="shared" si="94"/>
        <v>624.92577777167048</v>
      </c>
      <c r="P112" s="846">
        <f t="shared" si="94"/>
        <v>641.13092410445154</v>
      </c>
    </row>
    <row r="113" spans="1:16" ht="18" customHeight="1">
      <c r="A113" s="866" t="s">
        <v>592</v>
      </c>
      <c r="B113" s="28" t="s">
        <v>134</v>
      </c>
      <c r="C113" s="40" t="s">
        <v>127</v>
      </c>
      <c r="D113" s="1198">
        <v>0</v>
      </c>
      <c r="E113" s="1198">
        <v>0</v>
      </c>
      <c r="F113" s="1198">
        <v>0</v>
      </c>
      <c r="G113" s="1013">
        <v>0</v>
      </c>
      <c r="H113" s="1132">
        <v>0</v>
      </c>
      <c r="I113" s="1246">
        <v>0</v>
      </c>
      <c r="J113" s="1297">
        <v>0</v>
      </c>
      <c r="K113" s="690">
        <f t="shared" si="94"/>
        <v>644.8289427662354</v>
      </c>
      <c r="L113" s="690">
        <f t="shared" si="94"/>
        <v>643.16948933949243</v>
      </c>
      <c r="M113" s="690">
        <f t="shared" si="94"/>
        <v>635.94101511041777</v>
      </c>
      <c r="N113" s="690">
        <f t="shared" si="94"/>
        <v>614.1223468831497</v>
      </c>
      <c r="O113" s="690">
        <f t="shared" si="94"/>
        <v>624.92577777167048</v>
      </c>
      <c r="P113" s="846">
        <f t="shared" si="94"/>
        <v>641.13092410445154</v>
      </c>
    </row>
    <row r="114" spans="1:16" ht="18" customHeight="1">
      <c r="A114" s="866" t="s">
        <v>592</v>
      </c>
      <c r="B114" s="28" t="s">
        <v>134</v>
      </c>
      <c r="C114" s="28" t="s">
        <v>128</v>
      </c>
      <c r="D114" s="1198">
        <v>0</v>
      </c>
      <c r="E114" s="1198">
        <v>0</v>
      </c>
      <c r="F114" s="1198">
        <v>0</v>
      </c>
      <c r="G114" s="1013">
        <v>0</v>
      </c>
      <c r="H114" s="1132">
        <v>0</v>
      </c>
      <c r="I114" s="1246">
        <v>0</v>
      </c>
      <c r="J114" s="1297">
        <v>0</v>
      </c>
      <c r="K114" s="690"/>
      <c r="L114" s="690"/>
      <c r="M114" s="690"/>
      <c r="N114" s="690"/>
      <c r="O114" s="690"/>
      <c r="P114" s="846"/>
    </row>
    <row r="115" spans="1:16" ht="18" customHeight="1">
      <c r="A115" s="866" t="s">
        <v>592</v>
      </c>
      <c r="B115" s="28" t="s">
        <v>134</v>
      </c>
      <c r="C115" s="28" t="s">
        <v>129</v>
      </c>
      <c r="D115" s="1198">
        <v>0</v>
      </c>
      <c r="E115" s="1198">
        <v>0</v>
      </c>
      <c r="F115" s="1198">
        <v>0</v>
      </c>
      <c r="G115" s="1013">
        <v>0</v>
      </c>
      <c r="H115" s="1132">
        <v>0</v>
      </c>
      <c r="I115" s="1246">
        <v>0</v>
      </c>
      <c r="J115" s="1297">
        <v>0</v>
      </c>
      <c r="K115" s="690">
        <f t="shared" ref="K115:P115" si="95">K$7+K$17-500/K$19</f>
        <v>644.8289427662354</v>
      </c>
      <c r="L115" s="690">
        <f t="shared" si="95"/>
        <v>643.16948933949243</v>
      </c>
      <c r="M115" s="690">
        <f t="shared" si="95"/>
        <v>635.94101511041777</v>
      </c>
      <c r="N115" s="690">
        <f t="shared" si="95"/>
        <v>614.1223468831497</v>
      </c>
      <c r="O115" s="690">
        <f t="shared" si="95"/>
        <v>624.92577777167048</v>
      </c>
      <c r="P115" s="846">
        <f t="shared" si="95"/>
        <v>641.13092410445154</v>
      </c>
    </row>
    <row r="116" spans="1:16" ht="18" customHeight="1">
      <c r="A116" s="866" t="s">
        <v>592</v>
      </c>
      <c r="B116" s="28" t="s">
        <v>132</v>
      </c>
      <c r="C116" s="28" t="s">
        <v>130</v>
      </c>
      <c r="D116" s="1198">
        <v>0</v>
      </c>
      <c r="E116" s="1198">
        <v>0</v>
      </c>
      <c r="F116" s="1198">
        <v>0</v>
      </c>
      <c r="G116" s="1013">
        <v>0</v>
      </c>
      <c r="H116" s="1205">
        <v>0</v>
      </c>
      <c r="I116" s="1247">
        <v>0</v>
      </c>
      <c r="J116" s="1298">
        <v>0</v>
      </c>
      <c r="K116" s="1206"/>
      <c r="L116" s="1206"/>
      <c r="M116" s="1206"/>
      <c r="N116" s="1206"/>
      <c r="O116" s="1206"/>
      <c r="P116" s="1207"/>
    </row>
    <row r="117" spans="1:16" ht="18" customHeight="1">
      <c r="A117" s="866" t="s">
        <v>592</v>
      </c>
      <c r="B117" s="28"/>
      <c r="C117" s="34" t="s">
        <v>37</v>
      </c>
      <c r="D117" s="1201">
        <f>'Revenue (Baht)'!D117/(Delivery!D117*D20)</f>
        <v>459.34772139264277</v>
      </c>
      <c r="E117" s="1201">
        <f>'Revenue (Baht)'!E117/(Delivery!E117*Fx!E26)</f>
        <v>380.37499573533989</v>
      </c>
      <c r="F117" s="1201">
        <f>'Revenue (Baht)'!F117/(Delivery!F117*Fx!F26)</f>
        <v>462.15937815615382</v>
      </c>
      <c r="G117" s="1201">
        <f>'Revenue (Baht)'!G117/(Delivery!G117*Fx!G26)</f>
        <v>455.71011973738916</v>
      </c>
      <c r="H117" s="1208">
        <f>'Revenue (Baht)'!H117/(Delivery!H117*Fx!H26)</f>
        <v>447.35956853148662</v>
      </c>
      <c r="I117" s="1208">
        <f>'Revenue (Baht)'!I117/(Delivery!I117*Fx!I26)</f>
        <v>449.20927399693608</v>
      </c>
      <c r="J117" s="1208">
        <f>'Revenue (Baht)'!J117/(Delivery!J117*Fx!J26)</f>
        <v>449.27706638850583</v>
      </c>
      <c r="K117" s="1201">
        <f>'Revenue (Baht)'!K117/(Delivery!K117*Fx!K26)</f>
        <v>415.58963433769071</v>
      </c>
      <c r="L117" s="1201">
        <f>'Revenue (Baht)'!L117/(Delivery!L117*Fx!L26)</f>
        <v>414.52216189371796</v>
      </c>
      <c r="M117" s="1201">
        <f>'Revenue (Baht)'!M117/(Delivery!M117*Fx!M26)</f>
        <v>410.04074434889577</v>
      </c>
      <c r="N117" s="1201">
        <f>'Revenue (Baht)'!N117/(Delivery!N117*Fx!N26)</f>
        <v>396.3575735744447</v>
      </c>
      <c r="O117" s="1201">
        <f>'Revenue (Baht)'!O117/(Delivery!O117*Fx!O26)</f>
        <v>403.16763148066639</v>
      </c>
      <c r="P117" s="1201">
        <f>'Revenue (Baht)'!P117/(Delivery!P117*Fx!P26)</f>
        <v>413.38271833999886</v>
      </c>
    </row>
    <row r="118" spans="1:16" ht="18" customHeight="1">
      <c r="A118" s="867" t="s">
        <v>593</v>
      </c>
      <c r="B118" s="832" t="s">
        <v>652</v>
      </c>
      <c r="C118" s="28" t="s">
        <v>68</v>
      </c>
      <c r="D118" s="1209">
        <v>458.4606988134455</v>
      </c>
      <c r="E118" s="1209">
        <v>460.76938202153571</v>
      </c>
      <c r="F118" s="1209">
        <v>461.14283427168658</v>
      </c>
      <c r="G118" s="1013">
        <v>449.12875687054145</v>
      </c>
      <c r="H118" s="1132">
        <v>441.25363035776974</v>
      </c>
      <c r="I118" s="1246">
        <v>441.78095323304234</v>
      </c>
      <c r="J118" s="1297">
        <v>439.79387346120808</v>
      </c>
      <c r="K118" s="690">
        <f t="shared" ref="K118:P118" si="96">K122</f>
        <v>642.20696057296936</v>
      </c>
      <c r="L118" s="690">
        <f t="shared" si="96"/>
        <v>640.55366834989275</v>
      </c>
      <c r="M118" s="690">
        <f t="shared" si="96"/>
        <v>633.30358263504445</v>
      </c>
      <c r="N118" s="690">
        <f t="shared" si="96"/>
        <v>611.46464595455541</v>
      </c>
      <c r="O118" s="690">
        <f t="shared" si="96"/>
        <v>622.26807684307619</v>
      </c>
      <c r="P118" s="846">
        <f t="shared" si="96"/>
        <v>638.47322317585724</v>
      </c>
    </row>
    <row r="119" spans="1:16" ht="18" customHeight="1">
      <c r="A119" s="867" t="s">
        <v>593</v>
      </c>
      <c r="B119" s="832" t="s">
        <v>34</v>
      </c>
      <c r="C119" s="28" t="s">
        <v>577</v>
      </c>
      <c r="D119" s="1209"/>
      <c r="E119" s="1209"/>
      <c r="F119" s="1209"/>
      <c r="G119" s="1013">
        <v>0</v>
      </c>
      <c r="H119" s="1132">
        <v>441.25363035776979</v>
      </c>
      <c r="I119" s="1246">
        <v>0</v>
      </c>
      <c r="J119" s="1297">
        <v>0</v>
      </c>
      <c r="K119" s="690"/>
      <c r="L119" s="690"/>
      <c r="M119" s="690"/>
      <c r="N119" s="690"/>
      <c r="O119" s="690"/>
      <c r="P119" s="846"/>
    </row>
    <row r="120" spans="1:16" ht="18" customHeight="1">
      <c r="A120" s="867" t="s">
        <v>593</v>
      </c>
      <c r="B120" s="832" t="s">
        <v>34</v>
      </c>
      <c r="C120" s="28" t="s">
        <v>226</v>
      </c>
      <c r="D120" s="1210"/>
      <c r="E120" s="1211"/>
      <c r="F120" s="1209"/>
      <c r="G120" s="1013">
        <v>0</v>
      </c>
      <c r="H120" s="1132">
        <v>0</v>
      </c>
      <c r="I120" s="1246">
        <v>443.05908817852986</v>
      </c>
      <c r="J120" s="1297">
        <v>441.06625950313315</v>
      </c>
      <c r="K120" s="690"/>
      <c r="L120" s="690"/>
      <c r="M120" s="690"/>
      <c r="N120" s="690"/>
      <c r="O120" s="690"/>
      <c r="P120" s="846"/>
    </row>
    <row r="121" spans="1:16" ht="18" customHeight="1">
      <c r="A121" s="867" t="s">
        <v>593</v>
      </c>
      <c r="B121" s="832" t="s">
        <v>34</v>
      </c>
      <c r="C121" s="28" t="s">
        <v>280</v>
      </c>
      <c r="D121" s="1210"/>
      <c r="E121" s="1211"/>
      <c r="F121" s="1209"/>
      <c r="G121" s="1013">
        <v>0</v>
      </c>
      <c r="H121" s="1132">
        <v>0</v>
      </c>
      <c r="I121" s="1246">
        <v>443.05908817852981</v>
      </c>
      <c r="J121" s="1297">
        <v>441.06625950313321</v>
      </c>
      <c r="K121" s="690"/>
      <c r="L121" s="690"/>
      <c r="M121" s="690"/>
      <c r="N121" s="690"/>
      <c r="O121" s="690"/>
      <c r="P121" s="846"/>
    </row>
    <row r="122" spans="1:16" ht="18" customHeight="1">
      <c r="A122" s="867" t="s">
        <v>593</v>
      </c>
      <c r="B122" s="833" t="s">
        <v>654</v>
      </c>
      <c r="C122" s="46" t="s">
        <v>68</v>
      </c>
      <c r="D122" s="1209">
        <v>537.84659427722113</v>
      </c>
      <c r="E122" s="1209">
        <v>640.545971472833</v>
      </c>
      <c r="F122" s="1209">
        <v>690.72364383488525</v>
      </c>
      <c r="G122" s="1013">
        <v>643.64466949909456</v>
      </c>
      <c r="H122" s="1132">
        <v>574.99441449861558</v>
      </c>
      <c r="I122" s="1246">
        <v>533.40293128009341</v>
      </c>
      <c r="J122" s="1297">
        <v>575.17496051251271</v>
      </c>
      <c r="K122" s="690">
        <f t="shared" ref="K122:P122" si="97">K7+K17-583/K19</f>
        <v>642.20696057296936</v>
      </c>
      <c r="L122" s="690">
        <f t="shared" si="97"/>
        <v>640.55366834989275</v>
      </c>
      <c r="M122" s="690">
        <f t="shared" si="97"/>
        <v>633.30358263504445</v>
      </c>
      <c r="N122" s="690">
        <f t="shared" si="97"/>
        <v>611.46464595455541</v>
      </c>
      <c r="O122" s="690">
        <f t="shared" si="97"/>
        <v>622.26807684307619</v>
      </c>
      <c r="P122" s="846">
        <f t="shared" si="97"/>
        <v>638.47322317585724</v>
      </c>
    </row>
    <row r="123" spans="1:16" ht="18" customHeight="1">
      <c r="A123" s="867" t="s">
        <v>593</v>
      </c>
      <c r="B123" s="833" t="s">
        <v>653</v>
      </c>
      <c r="C123" s="46" t="s">
        <v>70</v>
      </c>
      <c r="D123" s="1209">
        <v>427.4216928071869</v>
      </c>
      <c r="E123" s="1209">
        <v>428.40144438260478</v>
      </c>
      <c r="F123" s="1209">
        <v>428.65443805534062</v>
      </c>
      <c r="G123" s="1013">
        <v>417.66950259228946</v>
      </c>
      <c r="H123" s="1132">
        <v>410.29093607378803</v>
      </c>
      <c r="I123" s="1246">
        <v>410.94182249261871</v>
      </c>
      <c r="J123" s="1297">
        <v>408.86972569477581</v>
      </c>
      <c r="K123" s="690">
        <f t="shared" ref="K123:P123" si="98">K8</f>
        <v>620</v>
      </c>
      <c r="L123" s="690">
        <f t="shared" si="98"/>
        <v>612.5</v>
      </c>
      <c r="M123" s="690">
        <f t="shared" si="98"/>
        <v>602.5</v>
      </c>
      <c r="N123" s="690">
        <f t="shared" si="98"/>
        <v>575</v>
      </c>
      <c r="O123" s="690">
        <f t="shared" si="98"/>
        <v>580</v>
      </c>
      <c r="P123" s="846">
        <f t="shared" si="98"/>
        <v>587.5</v>
      </c>
    </row>
    <row r="124" spans="1:16" ht="15.5">
      <c r="A124" s="867" t="s">
        <v>593</v>
      </c>
      <c r="B124" s="28"/>
      <c r="C124" s="34" t="s">
        <v>37</v>
      </c>
      <c r="D124" s="1212">
        <f>'Revenue (Baht)'!D124/(Delivery!D124*D20)</f>
        <v>451.96163951669121</v>
      </c>
      <c r="E124" s="1212">
        <f>'Revenue (Baht)'!E124/(Delivery!E124*Fx!E26)</f>
        <v>455.70762785689845</v>
      </c>
      <c r="F124" s="1212">
        <f>'Revenue (Baht)'!F124/(Delivery!F124*Fx!F26)</f>
        <v>459.57089083020992</v>
      </c>
      <c r="G124" s="1212">
        <f>'Revenue (Baht)'!G124/(Delivery!G124*Fx!G26)</f>
        <v>448.23886656089081</v>
      </c>
      <c r="H124" s="1212">
        <f>'Revenue (Baht)'!H124/(Delivery!H124*Fx!H26)</f>
        <v>439.78375539395012</v>
      </c>
      <c r="I124" s="1212">
        <f>'Revenue (Baht)'!I124/(Delivery!I124*Fx!I26)</f>
        <v>443.10188128535225</v>
      </c>
      <c r="J124" s="1212">
        <f>'Revenue (Baht)'!J124/(Delivery!J124*Fx!J26)</f>
        <v>444.06798746208636</v>
      </c>
      <c r="K124" s="1212">
        <f>'Revenue (Baht)'!K124/(Delivery!K124*Fx!K26)</f>
        <v>639.15874499645042</v>
      </c>
      <c r="L124" s="1212">
        <f>'Revenue (Baht)'!L124/(Delivery!L124*Fx!L26)</f>
        <v>633.42781306435529</v>
      </c>
      <c r="M124" s="1212">
        <f>'Revenue (Baht)'!M124/(Delivery!M124*Fx!M26)</f>
        <v>628.89603012273858</v>
      </c>
      <c r="N124" s="1212">
        <f>'Revenue (Baht)'!N124/(Delivery!N124*Fx!N26)</f>
        <v>606.34344958591521</v>
      </c>
      <c r="O124" s="1212">
        <f>'Revenue (Baht)'!O124/(Delivery!O124*Fx!O26)</f>
        <v>608.22444285463234</v>
      </c>
      <c r="P124" s="1212">
        <f>'Revenue (Baht)'!P124/(Delivery!P124*Fx!P26)</f>
        <v>628.4248006863296</v>
      </c>
    </row>
    <row r="125" spans="1:16" ht="24.65" customHeight="1">
      <c r="A125" s="868" t="s">
        <v>187</v>
      </c>
      <c r="B125" s="130" t="s">
        <v>25</v>
      </c>
      <c r="C125" s="130" t="s">
        <v>72</v>
      </c>
      <c r="D125" s="1213"/>
      <c r="E125" s="1213"/>
      <c r="F125" s="1214"/>
      <c r="G125" s="1214"/>
      <c r="H125" s="1214"/>
      <c r="I125" s="1214"/>
      <c r="J125" s="1214"/>
      <c r="K125" s="1214"/>
      <c r="L125" s="1214"/>
      <c r="M125" s="1214"/>
      <c r="N125" s="1214"/>
      <c r="O125" s="1214"/>
      <c r="P125" s="1215"/>
    </row>
    <row r="126" spans="1:16" ht="21.65" customHeight="1">
      <c r="A126" s="868" t="s">
        <v>187</v>
      </c>
      <c r="B126" s="130" t="s">
        <v>25</v>
      </c>
      <c r="C126" s="130" t="s">
        <v>73</v>
      </c>
      <c r="D126" s="1213"/>
      <c r="E126" s="1213"/>
      <c r="F126" s="1214"/>
      <c r="G126" s="1214"/>
      <c r="H126" s="1214"/>
      <c r="I126" s="1214"/>
      <c r="J126" s="1214"/>
      <c r="K126" s="1214"/>
      <c r="L126" s="1214"/>
      <c r="M126" s="1214"/>
      <c r="N126" s="1214"/>
      <c r="O126" s="1214"/>
      <c r="P126" s="1215"/>
    </row>
    <row r="127" spans="1:16" ht="21.65" customHeight="1">
      <c r="A127" s="868" t="s">
        <v>187</v>
      </c>
      <c r="B127" s="130" t="s">
        <v>25</v>
      </c>
      <c r="C127" s="130" t="s">
        <v>74</v>
      </c>
      <c r="D127" s="1213"/>
      <c r="E127" s="1213"/>
      <c r="F127" s="1214"/>
      <c r="G127" s="1214"/>
      <c r="H127" s="1214"/>
      <c r="I127" s="1214"/>
      <c r="J127" s="1214"/>
      <c r="K127" s="1214"/>
      <c r="L127" s="1214"/>
      <c r="M127" s="1214"/>
      <c r="N127" s="1214"/>
      <c r="O127" s="1214"/>
      <c r="P127" s="1215"/>
    </row>
    <row r="128" spans="1:16" ht="15.5">
      <c r="A128" s="868" t="s">
        <v>187</v>
      </c>
      <c r="B128" s="130" t="s">
        <v>25</v>
      </c>
      <c r="C128" s="130" t="s">
        <v>77</v>
      </c>
      <c r="D128" s="1213"/>
      <c r="E128" s="1213"/>
      <c r="F128" s="1214"/>
      <c r="G128" s="1214"/>
      <c r="H128" s="1214"/>
      <c r="I128" s="1214"/>
      <c r="J128" s="1214"/>
      <c r="K128" s="1214"/>
      <c r="L128" s="1214"/>
      <c r="M128" s="1214"/>
      <c r="N128" s="1214"/>
      <c r="O128" s="1214"/>
      <c r="P128" s="1215"/>
    </row>
    <row r="129" spans="1:32" ht="26" customHeight="1">
      <c r="A129" s="868" t="s">
        <v>187</v>
      </c>
      <c r="B129" s="130" t="s">
        <v>25</v>
      </c>
      <c r="C129" s="130" t="s">
        <v>78</v>
      </c>
      <c r="D129" s="1213"/>
      <c r="E129" s="1213"/>
      <c r="F129" s="1214"/>
      <c r="G129" s="1214"/>
      <c r="H129" s="1214"/>
      <c r="I129" s="1214"/>
      <c r="J129" s="1214"/>
      <c r="K129" s="1214"/>
      <c r="L129" s="1214"/>
      <c r="M129" s="1214"/>
      <c r="N129" s="1214"/>
      <c r="O129" s="1214"/>
      <c r="P129" s="1215"/>
    </row>
    <row r="130" spans="1:32" ht="21.65" customHeight="1">
      <c r="A130" s="868" t="s">
        <v>187</v>
      </c>
      <c r="B130" s="130" t="s">
        <v>76</v>
      </c>
      <c r="C130" s="130" t="s">
        <v>75</v>
      </c>
      <c r="D130" s="1213"/>
      <c r="E130" s="1213"/>
      <c r="F130" s="1214"/>
      <c r="G130" s="1214"/>
      <c r="H130" s="1214"/>
      <c r="I130" s="1214"/>
      <c r="J130" s="1214"/>
      <c r="K130" s="1214"/>
      <c r="L130" s="1214"/>
      <c r="M130" s="1214"/>
      <c r="N130" s="1214"/>
      <c r="O130" s="1214"/>
      <c r="P130" s="1215"/>
    </row>
    <row r="131" spans="1:32" s="131" customFormat="1" ht="21.65" customHeight="1">
      <c r="A131" s="868" t="s">
        <v>187</v>
      </c>
      <c r="B131" s="130" t="s">
        <v>76</v>
      </c>
      <c r="C131" s="130" t="s">
        <v>531</v>
      </c>
      <c r="D131" s="1213"/>
      <c r="E131" s="1213"/>
      <c r="F131" s="1214"/>
      <c r="G131" s="1214"/>
      <c r="H131" s="1214"/>
      <c r="I131" s="1214"/>
      <c r="J131" s="1214"/>
      <c r="K131" s="1214"/>
      <c r="L131" s="1214"/>
      <c r="M131" s="1214"/>
      <c r="N131" s="1214"/>
      <c r="O131" s="1214"/>
      <c r="P131" s="1215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1:32" s="131" customFormat="1" ht="21.65" customHeight="1">
      <c r="A132" s="868" t="s">
        <v>187</v>
      </c>
      <c r="B132" s="130"/>
      <c r="C132" s="132" t="s">
        <v>35</v>
      </c>
      <c r="D132" s="1213"/>
      <c r="E132" s="1213">
        <f>'Revenue (Baht)'!E132/Delivery!E132</f>
        <v>0</v>
      </c>
      <c r="F132" s="1214">
        <f>'Revenue (Baht)'!F132/Delivery!F132</f>
        <v>0</v>
      </c>
      <c r="G132" s="1214">
        <f>'Revenue (Baht)'!G132/Delivery!G132</f>
        <v>0</v>
      </c>
      <c r="H132" s="1214">
        <f>'Revenue (Baht)'!H132/Delivery!H132</f>
        <v>0</v>
      </c>
      <c r="I132" s="1214">
        <f>'Revenue (Baht)'!I132/Delivery!I132</f>
        <v>0</v>
      </c>
      <c r="J132" s="1214">
        <f>'Revenue (Baht)'!J132/Delivery!J132</f>
        <v>0</v>
      </c>
      <c r="K132" s="1214" t="e">
        <f>'Revenue (Baht)'!K132/Delivery!K132</f>
        <v>#DIV/0!</v>
      </c>
      <c r="L132" s="1214" t="e">
        <f>'Revenue (Baht)'!L132/Delivery!L132</f>
        <v>#DIV/0!</v>
      </c>
      <c r="M132" s="1214" t="e">
        <f>'Revenue (Baht)'!M132/Delivery!M132</f>
        <v>#DIV/0!</v>
      </c>
      <c r="N132" s="1214" t="e">
        <f>'Revenue (Baht)'!N132/Delivery!N132</f>
        <v>#DIV/0!</v>
      </c>
      <c r="O132" s="1214" t="e">
        <f>'Revenue (Baht)'!O132/Delivery!O132</f>
        <v>#DIV/0!</v>
      </c>
      <c r="P132" s="1215" t="e">
        <f>'Revenue (Baht)'!P132/Delivery!P132</f>
        <v>#DIV/0!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32" s="131" customFormat="1" ht="21.65" customHeight="1">
      <c r="A133" s="868" t="s">
        <v>187</v>
      </c>
      <c r="B133" s="130"/>
      <c r="C133" s="132" t="s">
        <v>36</v>
      </c>
      <c r="D133" s="1213"/>
      <c r="E133" s="1213">
        <f>'Revenue (Baht)'!E133/Delivery!E133</f>
        <v>0</v>
      </c>
      <c r="F133" s="1214">
        <f>'Revenue (Baht)'!F133/Delivery!F133</f>
        <v>0</v>
      </c>
      <c r="G133" s="1214">
        <f>'Revenue (Baht)'!G133/Delivery!G133</f>
        <v>0</v>
      </c>
      <c r="H133" s="1214">
        <f>'Revenue (Baht)'!H133/Delivery!H133</f>
        <v>0</v>
      </c>
      <c r="I133" s="1214">
        <f>'Revenue (Baht)'!I133/Delivery!I133</f>
        <v>0</v>
      </c>
      <c r="J133" s="1214">
        <f>'Revenue (Baht)'!J133/Delivery!J133</f>
        <v>0</v>
      </c>
      <c r="K133" s="1214" t="e">
        <f>'Revenue (Baht)'!K133/Delivery!K133</f>
        <v>#DIV/0!</v>
      </c>
      <c r="L133" s="1214" t="e">
        <f>'Revenue (Baht)'!L133/Delivery!L133</f>
        <v>#DIV/0!</v>
      </c>
      <c r="M133" s="1214" t="e">
        <f>'Revenue (Baht)'!M133/Delivery!M133</f>
        <v>#DIV/0!</v>
      </c>
      <c r="N133" s="1214" t="e">
        <f>'Revenue (Baht)'!N133/Delivery!N133</f>
        <v>#DIV/0!</v>
      </c>
      <c r="O133" s="1214" t="e">
        <f>'Revenue (Baht)'!O133/Delivery!O133</f>
        <v>#DIV/0!</v>
      </c>
      <c r="P133" s="1215" t="e">
        <f>'Revenue (Baht)'!P133/Delivery!P133</f>
        <v>#DIV/0!</v>
      </c>
    </row>
    <row r="134" spans="1:32" s="131" customFormat="1" ht="21.65" customHeight="1" thickBot="1">
      <c r="A134" s="868" t="s">
        <v>187</v>
      </c>
      <c r="B134" s="130"/>
      <c r="C134" s="1271" t="s">
        <v>37</v>
      </c>
      <c r="D134" s="1213"/>
      <c r="E134" s="1213">
        <f>'Revenue (Baht)'!E134/Delivery!E134</f>
        <v>0</v>
      </c>
      <c r="F134" s="1214">
        <f>'Revenue (Baht)'!F134/Delivery!F134</f>
        <v>0</v>
      </c>
      <c r="G134" s="1214">
        <f>'Revenue (Baht)'!G134/Delivery!G134</f>
        <v>0</v>
      </c>
      <c r="H134" s="1214">
        <f>'Revenue (Baht)'!H134/Delivery!H134</f>
        <v>0</v>
      </c>
      <c r="I134" s="1214">
        <f>'Revenue (Baht)'!I134/Delivery!I134</f>
        <v>0</v>
      </c>
      <c r="J134" s="1214">
        <f>'Revenue (Baht)'!J134/Delivery!J134</f>
        <v>0</v>
      </c>
      <c r="K134" s="1214" t="e">
        <f>'Revenue (Baht)'!K134/Delivery!K134</f>
        <v>#DIV/0!</v>
      </c>
      <c r="L134" s="1214" t="e">
        <f>'Revenue (Baht)'!L134/Delivery!L134</f>
        <v>#DIV/0!</v>
      </c>
      <c r="M134" s="1214" t="e">
        <f>'Revenue (Baht)'!M134/Delivery!M134</f>
        <v>#DIV/0!</v>
      </c>
      <c r="N134" s="1214" t="e">
        <f>'Revenue (Baht)'!N134/Delivery!N134</f>
        <v>#DIV/0!</v>
      </c>
      <c r="O134" s="1214" t="e">
        <f>'Revenue (Baht)'!O134/Delivery!O134</f>
        <v>#DIV/0!</v>
      </c>
      <c r="P134" s="1215" t="e">
        <f>'Revenue (Baht)'!P134/Delivery!P134</f>
        <v>#DIV/0!</v>
      </c>
    </row>
    <row r="135" spans="1:32" s="131" customFormat="1" ht="21.65" customHeight="1" thickBot="1">
      <c r="A135" s="867" t="s">
        <v>188</v>
      </c>
      <c r="B135" s="1249" t="s">
        <v>25</v>
      </c>
      <c r="C135" s="1269" t="s">
        <v>72</v>
      </c>
      <c r="D135" s="1270">
        <v>436.517</v>
      </c>
      <c r="E135" s="864">
        <v>500.78129999999999</v>
      </c>
      <c r="F135" s="864">
        <v>552.13160000000005</v>
      </c>
      <c r="G135" s="1003">
        <v>580.89670000000001</v>
      </c>
      <c r="H135" s="1132">
        <v>558.60709999999995</v>
      </c>
      <c r="I135" s="1232">
        <v>589.65129999999999</v>
      </c>
      <c r="J135" s="1287">
        <v>631.42049999999995</v>
      </c>
      <c r="K135" s="690">
        <f t="shared" ref="K135:P135" si="99">K4-12.5</f>
        <v>624.54999999999995</v>
      </c>
      <c r="L135" s="690">
        <f t="shared" si="99"/>
        <v>620.32000000000005</v>
      </c>
      <c r="M135" s="690">
        <f t="shared" si="99"/>
        <v>609.25</v>
      </c>
      <c r="N135" s="690">
        <f t="shared" si="99"/>
        <v>608.08000000000004</v>
      </c>
      <c r="O135" s="690">
        <f t="shared" si="99"/>
        <v>600.07000000000005</v>
      </c>
      <c r="P135" s="846">
        <f t="shared" si="99"/>
        <v>600.52</v>
      </c>
    </row>
    <row r="136" spans="1:32" s="131" customFormat="1" ht="21.65" customHeight="1" thickBot="1">
      <c r="A136" s="867" t="s">
        <v>188</v>
      </c>
      <c r="B136" s="1249" t="s">
        <v>25</v>
      </c>
      <c r="C136" s="1269" t="s">
        <v>73</v>
      </c>
      <c r="D136" s="1270">
        <v>437.017</v>
      </c>
      <c r="E136" s="864">
        <v>501.28129999999999</v>
      </c>
      <c r="F136" s="864">
        <v>0</v>
      </c>
      <c r="G136" s="1003">
        <v>0</v>
      </c>
      <c r="H136" s="1132">
        <v>0</v>
      </c>
      <c r="I136" s="1232">
        <v>0</v>
      </c>
      <c r="J136" s="1287">
        <v>0</v>
      </c>
      <c r="K136" s="690">
        <f t="shared" ref="K136:P136" si="100">K4-12</f>
        <v>625.04999999999995</v>
      </c>
      <c r="L136" s="690">
        <f t="shared" si="100"/>
        <v>620.82000000000005</v>
      </c>
      <c r="M136" s="690">
        <f t="shared" si="100"/>
        <v>609.75</v>
      </c>
      <c r="N136" s="690">
        <f t="shared" si="100"/>
        <v>608.58000000000004</v>
      </c>
      <c r="O136" s="690">
        <f t="shared" si="100"/>
        <v>600.57000000000005</v>
      </c>
      <c r="P136" s="846">
        <f t="shared" si="100"/>
        <v>601.02</v>
      </c>
    </row>
    <row r="137" spans="1:32" s="131" customFormat="1" ht="21.65" customHeight="1">
      <c r="A137" s="867" t="s">
        <v>188</v>
      </c>
      <c r="B137" s="28" t="s">
        <v>25</v>
      </c>
      <c r="C137" s="1268" t="s">
        <v>74</v>
      </c>
      <c r="D137" s="1198">
        <v>437.017</v>
      </c>
      <c r="E137" s="1198">
        <v>501.28129999999999</v>
      </c>
      <c r="F137" s="1198">
        <v>552.63160000000005</v>
      </c>
      <c r="G137" s="1003">
        <v>581.39670000000001</v>
      </c>
      <c r="H137" s="1132">
        <v>559.10709999999995</v>
      </c>
      <c r="I137" s="1232">
        <v>590.15129999999999</v>
      </c>
      <c r="J137" s="1287">
        <v>631.92049999999995</v>
      </c>
      <c r="K137" s="690">
        <f t="shared" ref="K137:P137" si="101">K136</f>
        <v>625.04999999999995</v>
      </c>
      <c r="L137" s="690">
        <f t="shared" si="101"/>
        <v>620.82000000000005</v>
      </c>
      <c r="M137" s="690">
        <f t="shared" si="101"/>
        <v>609.75</v>
      </c>
      <c r="N137" s="690">
        <f t="shared" si="101"/>
        <v>608.58000000000004</v>
      </c>
      <c r="O137" s="690">
        <f t="shared" si="101"/>
        <v>600.57000000000005</v>
      </c>
      <c r="P137" s="846">
        <f t="shared" si="101"/>
        <v>601.02</v>
      </c>
    </row>
    <row r="138" spans="1:32" s="131" customFormat="1" ht="15.5">
      <c r="A138" s="867" t="s">
        <v>188</v>
      </c>
      <c r="B138" s="28" t="s">
        <v>25</v>
      </c>
      <c r="C138" s="28" t="s">
        <v>77</v>
      </c>
      <c r="D138" s="1198">
        <v>410.90151039432698</v>
      </c>
      <c r="E138" s="1198">
        <v>0</v>
      </c>
      <c r="F138" s="1198">
        <v>482.94226335394552</v>
      </c>
      <c r="G138" s="1003">
        <v>0</v>
      </c>
      <c r="H138" s="1132">
        <v>0</v>
      </c>
      <c r="I138" s="1232">
        <v>0</v>
      </c>
      <c r="J138" s="1287">
        <v>0</v>
      </c>
      <c r="K138" s="690">
        <f t="shared" ref="K138:P138" si="102">K5+$C$159</f>
        <v>545.35950274915717</v>
      </c>
      <c r="L138" s="690">
        <f t="shared" si="102"/>
        <v>541.12950274915715</v>
      </c>
      <c r="M138" s="690">
        <f t="shared" si="102"/>
        <v>530.05950274915722</v>
      </c>
      <c r="N138" s="690">
        <f t="shared" si="102"/>
        <v>528.88950274915715</v>
      </c>
      <c r="O138" s="690">
        <f t="shared" si="102"/>
        <v>520.87950274915715</v>
      </c>
      <c r="P138" s="846">
        <f t="shared" si="102"/>
        <v>521.3295027491572</v>
      </c>
    </row>
    <row r="139" spans="1:32" ht="25.25" customHeight="1">
      <c r="A139" s="867" t="s">
        <v>188</v>
      </c>
      <c r="B139" s="28" t="s">
        <v>25</v>
      </c>
      <c r="C139" s="28" t="s">
        <v>78</v>
      </c>
      <c r="D139" s="1198">
        <v>0</v>
      </c>
      <c r="E139" s="1198">
        <v>0</v>
      </c>
      <c r="F139" s="1198">
        <v>0</v>
      </c>
      <c r="G139" s="1003">
        <v>0</v>
      </c>
      <c r="H139" s="1132">
        <v>0</v>
      </c>
      <c r="I139" s="1232">
        <v>0</v>
      </c>
      <c r="J139" s="1287">
        <v>0</v>
      </c>
      <c r="K139" s="690">
        <f t="shared" ref="K139:P139" si="103">K138</f>
        <v>545.35950274915717</v>
      </c>
      <c r="L139" s="690">
        <f t="shared" si="103"/>
        <v>541.12950274915715</v>
      </c>
      <c r="M139" s="690">
        <f t="shared" si="103"/>
        <v>530.05950274915722</v>
      </c>
      <c r="N139" s="690">
        <f t="shared" si="103"/>
        <v>528.88950274915715</v>
      </c>
      <c r="O139" s="690">
        <f t="shared" si="103"/>
        <v>520.87950274915715</v>
      </c>
      <c r="P139" s="846">
        <f t="shared" si="103"/>
        <v>521.3295027491572</v>
      </c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</row>
    <row r="140" spans="1:32" ht="20" customHeight="1">
      <c r="A140" s="867" t="s">
        <v>188</v>
      </c>
      <c r="B140" s="28" t="s">
        <v>76</v>
      </c>
      <c r="C140" s="28" t="s">
        <v>75</v>
      </c>
      <c r="D140" s="1198">
        <v>354.59785672318839</v>
      </c>
      <c r="E140" s="1198">
        <v>441.19776294560546</v>
      </c>
      <c r="F140" s="1198">
        <v>0</v>
      </c>
      <c r="G140" s="690">
        <f>G5+$C$163</f>
        <v>548.40835935819814</v>
      </c>
      <c r="H140" s="1132">
        <v>518.26206064607049</v>
      </c>
      <c r="I140" s="1232">
        <v>555.9023500513498</v>
      </c>
      <c r="J140" s="1287">
        <v>600.99251232728511</v>
      </c>
      <c r="K140" s="690">
        <f t="shared" ref="K140:P140" si="104">K5+$C$163</f>
        <v>545.35950274915717</v>
      </c>
      <c r="L140" s="690">
        <f t="shared" si="104"/>
        <v>541.12950274915715</v>
      </c>
      <c r="M140" s="690">
        <f t="shared" si="104"/>
        <v>530.05950274915722</v>
      </c>
      <c r="N140" s="690">
        <f t="shared" si="104"/>
        <v>528.88950274915715</v>
      </c>
      <c r="O140" s="690">
        <f t="shared" si="104"/>
        <v>520.87950274915715</v>
      </c>
      <c r="P140" s="846">
        <f t="shared" si="104"/>
        <v>521.3295027491572</v>
      </c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</row>
    <row r="141" spans="1:32" ht="20" customHeight="1">
      <c r="A141" s="867" t="s">
        <v>188</v>
      </c>
      <c r="B141" s="28" t="s">
        <v>76</v>
      </c>
      <c r="C141" s="28" t="s">
        <v>531</v>
      </c>
      <c r="D141" s="1198">
        <v>439.01699869352632</v>
      </c>
      <c r="E141" s="1198">
        <v>503.28118136766437</v>
      </c>
      <c r="F141" s="1198">
        <v>554.63160071510515</v>
      </c>
      <c r="G141" s="1003">
        <v>554.63160071510515</v>
      </c>
      <c r="H141" s="1132">
        <v>583.39670149040387</v>
      </c>
      <c r="I141" s="1232">
        <v>561.10710113937387</v>
      </c>
      <c r="J141" s="1287">
        <v>592.15129922417213</v>
      </c>
      <c r="K141" s="690">
        <f t="shared" ref="K141:P141" si="105">K4-10</f>
        <v>627.04999999999995</v>
      </c>
      <c r="L141" s="690">
        <f t="shared" si="105"/>
        <v>622.82000000000005</v>
      </c>
      <c r="M141" s="690">
        <f t="shared" si="105"/>
        <v>611.75</v>
      </c>
      <c r="N141" s="690">
        <f t="shared" si="105"/>
        <v>610.58000000000004</v>
      </c>
      <c r="O141" s="690">
        <f t="shared" si="105"/>
        <v>602.57000000000005</v>
      </c>
      <c r="P141" s="690">
        <f t="shared" si="105"/>
        <v>603.02</v>
      </c>
    </row>
    <row r="142" spans="1:32" ht="20" customHeight="1">
      <c r="A142" s="867" t="s">
        <v>188</v>
      </c>
      <c r="B142" s="34"/>
      <c r="C142" s="33" t="s">
        <v>35</v>
      </c>
      <c r="D142" s="1216">
        <f>Table2[[#This Row],[ธ.ค.-63]]/(Table4[[#This Row],[ธ.ค.-63]]*D$20)</f>
        <v>436.51589329911138</v>
      </c>
      <c r="E142" s="1216">
        <f>Table2[[#This Row],[ม.ค.-64]]/(Table4[[#This Row],[ม.ค.-64]]*Fx!E26)</f>
        <v>500.78159419338238</v>
      </c>
      <c r="F142" s="1216">
        <f>Table2[[#This Row],[ก.พ.-64]]/(Table4[[#This Row],[ก.พ.-64]]*Fx!F26)</f>
        <v>552.13186282531103</v>
      </c>
      <c r="G142" s="1216">
        <f>Table2[[#This Row],[มี.ค.-64]]/(Table4[[#This Row],[มี.ค.-64]]*Fx!G26)</f>
        <v>580.89692709228575</v>
      </c>
      <c r="H142" s="1216">
        <f>Table2[[#This Row],[เม.ย.-64]]/(Table4[[#This Row],[เม.ย.-64]]*Fx!H26)</f>
        <v>558.60588444250209</v>
      </c>
      <c r="I142" s="1216">
        <f>Table2[[#This Row],[พ.ค.-64]]/(Table4[[#This Row],[พ.ค.-64]]*Fx!I26)</f>
        <v>589.65166941746918</v>
      </c>
      <c r="J142" s="1289">
        <f>Table2[[#This Row],[มิ.ย.-64]]/(Table4[[#This Row],[มิ.ย.-64]]*Fx!J26)</f>
        <v>530.46517881758223</v>
      </c>
      <c r="K142" s="1217">
        <f>Table2[[#This Row],[ก.ค.-64]]/(Table4[[#This Row],[ก.ค.-64]]*Fx!K26)</f>
        <v>624.54999999999995</v>
      </c>
      <c r="L142" s="1217">
        <f>Table2[[#This Row],[ส.ค.-64]]/(Table4[[#This Row],[ส.ค.-64]]*Fx!L26)</f>
        <v>620.32000000000005</v>
      </c>
      <c r="M142" s="1217">
        <f>Table2[[#This Row],[ก.ย.-64]]/(Table4[[#This Row],[ก.ย.-64]]*Fx!M26)</f>
        <v>609.25</v>
      </c>
      <c r="N142" s="1217">
        <f>Table2[[#This Row],[ต.ค.-64]]/(Table4[[#This Row],[ต.ค.-64]]*Fx!N26)</f>
        <v>608.08000000000004</v>
      </c>
      <c r="O142" s="1217">
        <f>Table2[[#This Row],[พ.ย.-64]]/(Table4[[#This Row],[พ.ย.-64]]*Fx!O26)</f>
        <v>600.07000000000005</v>
      </c>
      <c r="P142" s="1217">
        <f>Table2[[#This Row],[ธ.ค.-64]]/(Table4[[#This Row],[ธ.ค.-64]]*Fx!P26)</f>
        <v>600.52</v>
      </c>
    </row>
    <row r="143" spans="1:32" ht="20" customHeight="1">
      <c r="A143" s="867" t="s">
        <v>188</v>
      </c>
      <c r="B143" s="34"/>
      <c r="C143" s="33" t="s">
        <v>36</v>
      </c>
      <c r="D143" s="1216">
        <f>Table2[[#This Row],[ธ.ค.-63]]/(Table4[[#This Row],[ธ.ค.-63]]*D$20)</f>
        <v>437.1202373336946</v>
      </c>
      <c r="E143" s="1216">
        <f>Table2[[#This Row],[ม.ค.-64]]/(Table4[[#This Row],[ม.ค.-64]]*Fx!E32)</f>
        <v>501.47867283892595</v>
      </c>
      <c r="F143" s="1216">
        <f>Table2[[#This Row],[ก.พ.-64]]/(Table4[[#This Row],[ก.พ.-64]]*Fx!F32)</f>
        <v>552.53797133551063</v>
      </c>
      <c r="G143" s="1216">
        <f>Table2[[#This Row],[มี.ค.-64]]/(Table4[[#This Row],[มี.ค.-64]]*Fx!G32)</f>
        <v>581.3937203721789</v>
      </c>
      <c r="H143" s="1216">
        <f>Table2[[#This Row],[เม.ย.-64]]/(Table4[[#This Row],[เม.ย.-64]]*Fx!H32)</f>
        <v>558.85527710020096</v>
      </c>
      <c r="I143" s="1216">
        <f>Table2[[#This Row],[พ.ค.-64]]/(Table4[[#This Row],[พ.ค.-64]]*Fx!I32)</f>
        <v>590.06590017581289</v>
      </c>
      <c r="J143" s="1289">
        <f>Table2[[#This Row],[มิ.ย.-64]]/(Table4[[#This Row],[มิ.ย.-64]]*Fx!J32)</f>
        <v>631.62970056632912</v>
      </c>
      <c r="K143" s="1217">
        <f>Table2[[#This Row],[ก.ค.-64]]/(Table4[[#This Row],[ก.ค.-64]]*Fx!K32)</f>
        <v>625.04999999999995</v>
      </c>
      <c r="L143" s="1217">
        <f>Table2[[#This Row],[ส.ค.-64]]/(Table4[[#This Row],[ส.ค.-64]]*Fx!L32)</f>
        <v>620.82000000000016</v>
      </c>
      <c r="M143" s="1217">
        <f>Table2[[#This Row],[ก.ย.-64]]/(Table4[[#This Row],[ก.ย.-64]]*Fx!M32)</f>
        <v>609.75</v>
      </c>
      <c r="N143" s="1217">
        <f>Table2[[#This Row],[ต.ค.-64]]/(Table4[[#This Row],[ต.ค.-64]]*Fx!N32)</f>
        <v>608.58000000000004</v>
      </c>
      <c r="O143" s="1217">
        <f>Table2[[#This Row],[พ.ย.-64]]/(Table4[[#This Row],[พ.ย.-64]]*Fx!O32)</f>
        <v>600.57000000000005</v>
      </c>
      <c r="P143" s="1217">
        <f>Table2[[#This Row],[ธ.ค.-64]]/(Table4[[#This Row],[ธ.ค.-64]]*Fx!P32)</f>
        <v>601.0200000000001</v>
      </c>
    </row>
    <row r="144" spans="1:32" ht="20" customHeight="1">
      <c r="A144" s="867" t="s">
        <v>188</v>
      </c>
      <c r="B144" s="34"/>
      <c r="C144" s="34" t="s">
        <v>37</v>
      </c>
      <c r="D144" s="1216">
        <f>Table2[[#This Row],[ธ.ค.-63]]/(Table4[[#This Row],[ธ.ค.-63]]*D$20)</f>
        <v>432.48062551344429</v>
      </c>
      <c r="E144" s="1216">
        <f>Table2[[#This Row],[ม.ค.-64]]/(Table4[[#This Row],[ม.ค.-64]]*Fx!E26)</f>
        <v>498.54906993638735</v>
      </c>
      <c r="F144" s="1216">
        <f>Table2[[#This Row],[ก.พ.-64]]/(Table4[[#This Row],[ก.พ.-64]]*Fx!F26)</f>
        <v>550.74076617443177</v>
      </c>
      <c r="G144" s="1216">
        <f>Table2[[#This Row],[มี.ค.-64]]/(Table4[[#This Row],[มี.ค.-64]]*Fx!G26)</f>
        <v>578.06406251941507</v>
      </c>
      <c r="H144" s="1216">
        <f>Table2[[#This Row],[เม.ย.-64]]/(Table4[[#This Row],[เม.ย.-64]]*Fx!H26)</f>
        <v>558.0893579802713</v>
      </c>
      <c r="I144" s="1216">
        <f>Table2[[#This Row],[พ.ค.-64]]/(Table4[[#This Row],[พ.ค.-64]]*Fx!I26)</f>
        <v>587.95363107809203</v>
      </c>
      <c r="J144" s="1289">
        <f>Table2[[#This Row],[มิ.ย.-64]]/(Table4[[#This Row],[มิ.ย.-64]]*Fx!J26)</f>
        <v>582.52418813677627</v>
      </c>
      <c r="K144" s="1217">
        <f>Table2[[#This Row],[ก.ค.-64]]/(Table4[[#This Row],[ก.ค.-64]]*Fx!K26)</f>
        <v>620.26162578243475</v>
      </c>
      <c r="L144" s="1217">
        <f>Table2[[#This Row],[ส.ค.-64]]/(Table4[[#This Row],[ส.ค.-64]]*Fx!L26)</f>
        <v>615.16186184077071</v>
      </c>
      <c r="M144" s="1217">
        <f>Table2[[#This Row],[ก.ย.-64]]/(Table4[[#This Row],[ก.ย.-64]]*Fx!M26)</f>
        <v>605.53615798423516</v>
      </c>
      <c r="N144" s="1217">
        <f>Table2[[#This Row],[ต.ค.-64]]/(Table4[[#This Row],[ต.ค.-64]]*Fx!N26)</f>
        <v>601.99492814363009</v>
      </c>
      <c r="O144" s="1217">
        <f>Table2[[#This Row],[พ.ย.-64]]/(Table4[[#This Row],[พ.ย.-64]]*Fx!O26)</f>
        <v>596.46685944171043</v>
      </c>
      <c r="P144" s="1217">
        <f>Table2[[#This Row],[ธ.ค.-64]]/(Table4[[#This Row],[ธ.ค.-64]]*Fx!P26)</f>
        <v>595.26447526987874</v>
      </c>
    </row>
    <row r="145" spans="1:32" ht="20" customHeight="1">
      <c r="A145" s="866" t="s">
        <v>79</v>
      </c>
      <c r="B145" s="28" t="s">
        <v>25</v>
      </c>
      <c r="C145" s="28" t="s">
        <v>80</v>
      </c>
      <c r="D145" s="1198"/>
      <c r="E145" s="1198"/>
      <c r="F145" s="1218"/>
      <c r="G145" s="36"/>
      <c r="H145" s="36"/>
      <c r="I145" s="36"/>
      <c r="J145" s="1288">
        <v>0</v>
      </c>
      <c r="K145" s="36"/>
      <c r="L145" s="36"/>
      <c r="M145" s="36"/>
      <c r="N145" s="36"/>
      <c r="O145" s="36"/>
      <c r="P145" s="1192"/>
    </row>
    <row r="146" spans="1:32" s="788" customFormat="1" ht="20" customHeight="1">
      <c r="A146" s="866" t="s">
        <v>79</v>
      </c>
      <c r="B146" s="28" t="s">
        <v>25</v>
      </c>
      <c r="C146" s="28" t="s">
        <v>81</v>
      </c>
      <c r="D146" s="1219">
        <v>349.017</v>
      </c>
      <c r="E146" s="1219">
        <v>413.28129999999999</v>
      </c>
      <c r="F146" s="1219">
        <v>464.63160000000005</v>
      </c>
      <c r="G146" s="1002">
        <v>493.39670000000001</v>
      </c>
      <c r="H146" s="1132">
        <v>471.10709999999995</v>
      </c>
      <c r="I146" s="1232">
        <v>502.15129999999999</v>
      </c>
      <c r="J146" s="1287">
        <v>543.92049999999995</v>
      </c>
      <c r="K146" s="690">
        <f t="shared" ref="K146:P146" si="106">K4-100</f>
        <v>537.04999999999995</v>
      </c>
      <c r="L146" s="690">
        <f t="shared" si="106"/>
        <v>532.82000000000005</v>
      </c>
      <c r="M146" s="690">
        <f t="shared" si="106"/>
        <v>521.75</v>
      </c>
      <c r="N146" s="690">
        <f t="shared" si="106"/>
        <v>520.58000000000004</v>
      </c>
      <c r="O146" s="690">
        <f t="shared" si="106"/>
        <v>512.57000000000005</v>
      </c>
      <c r="P146" s="846">
        <f t="shared" si="106"/>
        <v>513.02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1:32" s="788" customFormat="1" ht="20" customHeight="1">
      <c r="A147" s="866" t="s">
        <v>79</v>
      </c>
      <c r="B147" s="28" t="s">
        <v>25</v>
      </c>
      <c r="C147" s="28" t="s">
        <v>82</v>
      </c>
      <c r="D147" s="1219"/>
      <c r="E147" s="1219"/>
      <c r="F147" s="1220"/>
      <c r="G147" s="935"/>
      <c r="H147" s="935"/>
      <c r="I147" s="935"/>
      <c r="J147" s="1288">
        <v>0</v>
      </c>
      <c r="K147" s="935"/>
      <c r="L147" s="935"/>
      <c r="M147" s="935"/>
      <c r="N147" s="935"/>
      <c r="O147" s="935"/>
      <c r="P147" s="1221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1:32" ht="15.5">
      <c r="A148" s="866" t="s">
        <v>79</v>
      </c>
      <c r="B148" s="34"/>
      <c r="C148" s="34" t="s">
        <v>37</v>
      </c>
      <c r="D148" s="1195">
        <f>'Revenue (Baht)'!D148/(Delivery!D148*D$20)</f>
        <v>348.87777648563787</v>
      </c>
      <c r="E148" s="1222">
        <f>E146</f>
        <v>413.28129999999999</v>
      </c>
      <c r="F148" s="1222">
        <f>F146</f>
        <v>464.63160000000005</v>
      </c>
      <c r="G148" s="1222">
        <f>G146</f>
        <v>493.39670000000001</v>
      </c>
      <c r="H148" s="1222">
        <f t="shared" ref="H148:P148" si="107">H146</f>
        <v>471.10709999999995</v>
      </c>
      <c r="I148" s="1241">
        <f t="shared" si="107"/>
        <v>502.15129999999999</v>
      </c>
      <c r="J148" s="1222">
        <f t="shared" si="107"/>
        <v>543.92049999999995</v>
      </c>
      <c r="K148" s="1223">
        <f t="shared" si="107"/>
        <v>537.04999999999995</v>
      </c>
      <c r="L148" s="1223">
        <f t="shared" si="107"/>
        <v>532.82000000000005</v>
      </c>
      <c r="M148" s="1223">
        <f t="shared" si="107"/>
        <v>521.75</v>
      </c>
      <c r="N148" s="1223">
        <f t="shared" si="107"/>
        <v>520.58000000000004</v>
      </c>
      <c r="O148" s="1223">
        <f t="shared" si="107"/>
        <v>512.57000000000005</v>
      </c>
      <c r="P148" s="1223">
        <f t="shared" si="107"/>
        <v>513.02</v>
      </c>
      <c r="T148" s="788"/>
      <c r="U148" s="788"/>
      <c r="V148" s="788"/>
      <c r="W148" s="788"/>
      <c r="X148" s="788"/>
      <c r="Y148" s="788"/>
      <c r="Z148" s="788"/>
      <c r="AA148" s="788"/>
      <c r="AB148" s="788"/>
      <c r="AC148" s="788"/>
      <c r="AD148" s="788"/>
      <c r="AE148" s="788"/>
      <c r="AF148" s="788"/>
    </row>
    <row r="149" spans="1:32" ht="21" customHeight="1">
      <c r="A149" s="867" t="s">
        <v>83</v>
      </c>
      <c r="B149" s="28" t="s">
        <v>25</v>
      </c>
      <c r="C149" s="28" t="s">
        <v>84</v>
      </c>
      <c r="D149" s="1219">
        <v>583.21</v>
      </c>
      <c r="E149" s="1219">
        <v>590.91</v>
      </c>
      <c r="F149" s="1219">
        <v>590.91</v>
      </c>
      <c r="G149" s="1002">
        <v>590.91</v>
      </c>
      <c r="H149" s="1132">
        <v>590.91</v>
      </c>
      <c r="I149" s="1232">
        <v>590.91</v>
      </c>
      <c r="J149" s="1287">
        <v>590.91</v>
      </c>
      <c r="K149" s="690">
        <v>583.21</v>
      </c>
      <c r="L149" s="690">
        <v>583.21</v>
      </c>
      <c r="M149" s="690">
        <v>583.21</v>
      </c>
      <c r="N149" s="690">
        <v>583.21</v>
      </c>
      <c r="O149" s="690">
        <v>583.21</v>
      </c>
      <c r="P149" s="846">
        <v>583.21</v>
      </c>
      <c r="T149" s="788"/>
      <c r="U149" s="788"/>
      <c r="V149" s="788"/>
      <c r="W149" s="788"/>
      <c r="X149" s="788"/>
      <c r="Y149" s="788"/>
      <c r="Z149" s="788"/>
      <c r="AA149" s="788"/>
      <c r="AB149" s="788"/>
      <c r="AC149" s="788"/>
      <c r="AD149" s="788"/>
      <c r="AE149" s="788"/>
      <c r="AF149" s="788"/>
    </row>
    <row r="150" spans="1:32" ht="21" customHeight="1">
      <c r="A150" s="867" t="s">
        <v>83</v>
      </c>
      <c r="B150" s="28" t="s">
        <v>25</v>
      </c>
      <c r="C150" s="28" t="s">
        <v>85</v>
      </c>
      <c r="D150" s="1219">
        <v>583.21</v>
      </c>
      <c r="E150" s="1219">
        <v>590.91</v>
      </c>
      <c r="F150" s="1219">
        <v>590.91</v>
      </c>
      <c r="G150" s="1002">
        <v>590.91</v>
      </c>
      <c r="H150" s="1132">
        <v>590.91</v>
      </c>
      <c r="I150" s="1232">
        <v>590.91</v>
      </c>
      <c r="J150" s="1287">
        <v>590.91</v>
      </c>
      <c r="K150" s="690">
        <v>583.21</v>
      </c>
      <c r="L150" s="690">
        <v>583.21</v>
      </c>
      <c r="M150" s="690">
        <v>583.21</v>
      </c>
      <c r="N150" s="690">
        <v>583.21</v>
      </c>
      <c r="O150" s="690">
        <v>583.21</v>
      </c>
      <c r="P150" s="846">
        <v>583.21</v>
      </c>
    </row>
    <row r="151" spans="1:32" ht="21.65" customHeight="1">
      <c r="A151" s="870" t="s">
        <v>83</v>
      </c>
      <c r="B151" s="848"/>
      <c r="C151" s="28" t="s">
        <v>85</v>
      </c>
      <c r="D151" s="1224">
        <f>'Revenue (Baht)'!D151/Delivery!D151</f>
        <v>583.20999999999992</v>
      </c>
      <c r="E151" s="1224">
        <f>'Revenue (Baht)'!E151/Delivery!E151</f>
        <v>590.91000000000008</v>
      </c>
      <c r="F151" s="1224">
        <f>'Revenue (Baht)'!F151/Delivery!F151</f>
        <v>590.91000000000008</v>
      </c>
      <c r="G151" s="1225">
        <f>'Revenue (Baht)'!G151/Delivery!G151</f>
        <v>590.90999999999985</v>
      </c>
      <c r="H151" s="1224">
        <f>'Revenue (Baht)'!H151/Delivery!H151</f>
        <v>590.91</v>
      </c>
      <c r="I151" s="1224">
        <f>'Revenue (Baht)'!I151/Delivery!I151</f>
        <v>590.91</v>
      </c>
      <c r="J151" s="1224">
        <f>'Revenue (Baht)'!J151/Delivery!J151</f>
        <v>590.91</v>
      </c>
      <c r="K151" s="1225">
        <f>'Revenue (Baht)'!K151/Delivery!K151</f>
        <v>17496.3</v>
      </c>
      <c r="L151" s="1225">
        <f>'Revenue (Baht)'!L151/Delivery!L151</f>
        <v>17496.3</v>
      </c>
      <c r="M151" s="1225">
        <f>'Revenue (Baht)'!M151/Delivery!M151</f>
        <v>17496.3</v>
      </c>
      <c r="N151" s="1225">
        <f>'Revenue (Baht)'!N151/Delivery!N151</f>
        <v>17496.3</v>
      </c>
      <c r="O151" s="1225">
        <f>'Revenue (Baht)'!O151/Delivery!O151</f>
        <v>17496.3</v>
      </c>
      <c r="P151" s="1225">
        <f>'Revenue (Baht)'!P151/Delivery!P151</f>
        <v>17496.3</v>
      </c>
    </row>
    <row r="152" spans="1:32" ht="21.65" customHeight="1">
      <c r="A152" s="935" t="s">
        <v>629</v>
      </c>
      <c r="B152" s="935"/>
      <c r="C152" s="28" t="s">
        <v>526</v>
      </c>
      <c r="D152" s="1226">
        <f>'Revenue (Baht)'!D3/Table4[[#This Row],[ธ.ค.-63]]/Price!D20</f>
        <v>397.97892966455703</v>
      </c>
      <c r="E152" s="1226">
        <f>'Revenue (Baht)'!E3/Table4[[#This Row],[ม.ค.-64]]/Price!E20</f>
        <v>474.01524988806864</v>
      </c>
      <c r="F152" s="1226">
        <f>'Revenue (Baht)'!F3/Table4[[#This Row],[ก.พ.-64]]/Price!F20</f>
        <v>491.1711302949596</v>
      </c>
      <c r="G152" s="1226">
        <f>'Revenue (Baht)'!G3/Table4[[#This Row],[มี.ค.-64]]/Price!G20</f>
        <v>495.24545006861257</v>
      </c>
      <c r="H152" s="1226">
        <f>'Revenue (Baht)'!H3/Table4[[#This Row],[เม.ย.-64]]/Price!H20</f>
        <v>495.66955980123851</v>
      </c>
      <c r="I152" s="1226">
        <f>'Revenue (Baht)'!I3/Table4[[#This Row],[พ.ค.-64]]/Price!I20</f>
        <v>499.69099778127162</v>
      </c>
      <c r="J152" s="1226">
        <f>'Revenue (Baht)'!J3/Table4[[#This Row],[มิ.ย.-64]]/Price!J20</f>
        <v>496.22211725395681</v>
      </c>
      <c r="K152" s="1226">
        <f>'Revenue (Baht)'!K3/Table4[[#This Row],[ก.ค.-64]]/Price!K20</f>
        <v>516.99593674571906</v>
      </c>
      <c r="L152" s="1226">
        <f>'Revenue (Baht)'!L3/Table4[[#This Row],[ส.ค.-64]]/Price!L20</f>
        <v>494.03764697447656</v>
      </c>
      <c r="M152" s="1226">
        <f>'Revenue (Baht)'!M3/Table4[[#This Row],[ก.ย.-64]]/Price!M20</f>
        <v>496.06222264225306</v>
      </c>
      <c r="N152" s="1226">
        <f>'Revenue (Baht)'!N3/Table4[[#This Row],[ต.ค.-64]]/Price!N20</f>
        <v>486.6464233329329</v>
      </c>
      <c r="O152" s="1226">
        <f>'Revenue (Baht)'!O3/Table4[[#This Row],[พ.ย.-64]]/Price!O20</f>
        <v>484.37438656072271</v>
      </c>
      <c r="P152" s="1226">
        <f>'Revenue (Baht)'!P3/Table4[[#This Row],[ธ.ค.-64]]/Price!P20</f>
        <v>498.98118385626117</v>
      </c>
    </row>
    <row r="153" spans="1:32" ht="17.399999999999999" customHeight="1">
      <c r="A153" s="935"/>
      <c r="B153" s="935"/>
      <c r="C153" s="28" t="s">
        <v>140</v>
      </c>
      <c r="D153" s="935"/>
      <c r="E153" s="1227">
        <f>(E152-D152)/E152</f>
        <v>0.16040901688598924</v>
      </c>
      <c r="F153" s="1227">
        <f t="shared" ref="F153:P153" si="108">(F152-E152)/F152</f>
        <v>3.4928519509256288E-2</v>
      </c>
      <c r="G153" s="1227">
        <f t="shared" si="108"/>
        <v>8.2268696725805498E-3</v>
      </c>
      <c r="H153" s="1227">
        <f t="shared" si="108"/>
        <v>8.5562997412228165E-4</v>
      </c>
      <c r="I153" s="1227">
        <f t="shared" si="108"/>
        <v>8.0478495668104989E-3</v>
      </c>
      <c r="J153" s="1227">
        <f t="shared" si="108"/>
        <v>-6.9905802395734485E-3</v>
      </c>
      <c r="K153" s="1227">
        <f t="shared" si="108"/>
        <v>4.0181784836695371E-2</v>
      </c>
      <c r="L153" s="1227">
        <f t="shared" si="108"/>
        <v>-4.6470729329719677E-2</v>
      </c>
      <c r="M153" s="1227">
        <f t="shared" si="108"/>
        <v>4.0812937880911225E-3</v>
      </c>
      <c r="N153" s="1227">
        <f t="shared" si="108"/>
        <v>-1.9348337638718176E-2</v>
      </c>
      <c r="O153" s="1227">
        <f t="shared" si="108"/>
        <v>-4.6906625024966215E-3</v>
      </c>
      <c r="P153" s="1227">
        <f t="shared" si="108"/>
        <v>2.9273242695552541E-2</v>
      </c>
    </row>
    <row r="154" spans="1:32" s="788" customFormat="1" ht="17.399999999999999" customHeight="1">
      <c r="A154" s="935"/>
      <c r="B154" s="935"/>
      <c r="C154" s="28" t="s">
        <v>617</v>
      </c>
      <c r="D154" s="935"/>
      <c r="E154" s="1227">
        <f>(E152-'Bz Price '!E162)/Price!E152</f>
        <v>0.12317537289300132</v>
      </c>
      <c r="F154" s="1227">
        <f>(F152-'Bz Price '!F162)/Price!F152</f>
        <v>0.15843556912762499</v>
      </c>
      <c r="G154" s="1227">
        <f>(G152-'Bz Price '!G162)/Price!G152</f>
        <v>0.16423163639955407</v>
      </c>
      <c r="H154" s="1227">
        <f>(H152-'Bz Price '!H162)/Price!H152</f>
        <v>0.168374220181986</v>
      </c>
      <c r="I154" s="1227">
        <f>(I152-'Bz Price '!I162)/Price!I152</f>
        <v>0.17933612093711146</v>
      </c>
      <c r="J154" s="1227">
        <f>(J152-'Bz Price '!J162)/Price!J152</f>
        <v>0.1691992407177321</v>
      </c>
      <c r="K154" s="1227">
        <f>(K152-'Bz Price '!K162)/Price!K152</f>
        <v>0.18980396171602273</v>
      </c>
      <c r="L154" s="1227">
        <f>(L152-'Bz Price '!L162)/Price!L152</f>
        <v>0.15492130332026027</v>
      </c>
      <c r="M154" s="1227">
        <f>(M152-'Bz Price '!M162)/Price!M152</f>
        <v>0.15576845405042913</v>
      </c>
      <c r="N154" s="1227">
        <f>(N152-'Bz Price '!N162)/Price!N152</f>
        <v>0.12432672391009864</v>
      </c>
      <c r="O154" s="1227">
        <f>(O152-'Bz Price '!O162)/Price!O152</f>
        <v>0.13269483994170189</v>
      </c>
      <c r="P154" s="1227">
        <f>(P152-'Bz Price '!P162)/Price!P152</f>
        <v>0.15747868044092284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6" spans="1:32" ht="21.65" customHeight="1" thickBot="1">
      <c r="T156" s="788"/>
      <c r="U156" s="788"/>
      <c r="V156" s="788"/>
      <c r="W156" s="788"/>
      <c r="X156" s="788"/>
      <c r="Y156" s="788"/>
      <c r="Z156" s="788"/>
      <c r="AA156" s="788"/>
      <c r="AB156" s="788"/>
      <c r="AC156" s="788"/>
      <c r="AD156" s="788"/>
      <c r="AE156" s="788"/>
      <c r="AF156" s="788"/>
    </row>
    <row r="157" spans="1:32" ht="16.25" customHeight="1">
      <c r="B157" s="1327" t="s">
        <v>527</v>
      </c>
      <c r="C157" s="1328"/>
    </row>
    <row r="158" spans="1:32" ht="16.25" customHeight="1">
      <c r="B158" s="1061" t="s">
        <v>528</v>
      </c>
      <c r="C158" s="1062">
        <f>-0.2-8-0.01</f>
        <v>-8.2099999999999991</v>
      </c>
    </row>
    <row r="159" spans="1:32" ht="16.25" customHeight="1">
      <c r="B159" s="1061" t="s">
        <v>529</v>
      </c>
      <c r="C159" s="1062">
        <f>C158/158.987/0.648*1000</f>
        <v>-79.690497250842839</v>
      </c>
    </row>
    <row r="160" spans="1:32">
      <c r="B160" s="1061"/>
      <c r="C160" s="1063"/>
    </row>
    <row r="161" spans="1:16">
      <c r="B161" s="1329" t="s">
        <v>530</v>
      </c>
      <c r="C161" s="1330"/>
    </row>
    <row r="162" spans="1:16">
      <c r="B162" s="1061" t="s">
        <v>528</v>
      </c>
      <c r="C162" s="1062">
        <f>-0.2-8-0.01</f>
        <v>-8.2099999999999991</v>
      </c>
    </row>
    <row r="163" spans="1:16" ht="15" thickBot="1">
      <c r="B163" s="1064" t="s">
        <v>529</v>
      </c>
      <c r="C163" s="1065">
        <f>C162/158.987/0.648*1000</f>
        <v>-79.690497250842839</v>
      </c>
    </row>
    <row r="164" spans="1:16" ht="15" thickBot="1">
      <c r="B164" s="693"/>
      <c r="C164" s="694"/>
    </row>
    <row r="165" spans="1:16" ht="15" thickBot="1">
      <c r="B165" s="1092"/>
      <c r="C165" s="792"/>
      <c r="D165" s="1093"/>
      <c r="E165" s="792"/>
      <c r="F165" s="792"/>
      <c r="G165" s="792"/>
      <c r="H165" s="792"/>
      <c r="I165" s="792"/>
      <c r="J165" s="792"/>
      <c r="K165" s="792"/>
      <c r="L165" s="792"/>
      <c r="M165" s="792"/>
      <c r="N165" s="792"/>
      <c r="O165" s="792"/>
      <c r="P165" s="793"/>
    </row>
    <row r="166" spans="1:16" ht="15.5">
      <c r="B166" s="1066"/>
      <c r="C166" s="1067" t="s">
        <v>707</v>
      </c>
      <c r="D166" s="1068"/>
      <c r="E166" s="1069">
        <v>44197</v>
      </c>
      <c r="F166" s="1069">
        <v>44228</v>
      </c>
      <c r="G166" s="1069">
        <v>44256</v>
      </c>
      <c r="H166" s="1069">
        <v>44287</v>
      </c>
      <c r="I166" s="1069">
        <v>44317</v>
      </c>
      <c r="J166" s="1069">
        <v>44348</v>
      </c>
      <c r="K166" s="1069">
        <v>44378</v>
      </c>
      <c r="L166" s="1069">
        <v>44409</v>
      </c>
      <c r="M166" s="1069">
        <v>44440</v>
      </c>
      <c r="N166" s="1069">
        <v>44470</v>
      </c>
      <c r="O166" s="1069">
        <v>44501</v>
      </c>
      <c r="P166" s="1070">
        <v>44531</v>
      </c>
    </row>
    <row r="167" spans="1:16" ht="15.5">
      <c r="B167" s="1071" t="s">
        <v>709</v>
      </c>
      <c r="C167" s="1072" t="s">
        <v>705</v>
      </c>
      <c r="D167" s="1073"/>
      <c r="E167" s="1074">
        <f>E35</f>
        <v>423.0602561447181</v>
      </c>
      <c r="F167" s="1074">
        <f t="shared" ref="F167:P167" si="109">F35</f>
        <v>423.08108236599242</v>
      </c>
      <c r="G167" s="1074">
        <f t="shared" si="109"/>
        <v>433.47271036470164</v>
      </c>
      <c r="H167" s="1074">
        <f t="shared" si="109"/>
        <v>498.5860558738612</v>
      </c>
      <c r="I167" s="1074">
        <f t="shared" si="109"/>
        <v>497.18655986401052</v>
      </c>
      <c r="J167" s="1074">
        <f t="shared" si="109"/>
        <v>456.05543466875059</v>
      </c>
      <c r="K167" s="1074">
        <f t="shared" si="109"/>
        <v>438.42293230283587</v>
      </c>
      <c r="L167" s="1074">
        <f t="shared" si="109"/>
        <v>427.41363469974385</v>
      </c>
      <c r="M167" s="1074">
        <f t="shared" si="109"/>
        <v>423.06275269308674</v>
      </c>
      <c r="N167" s="1074">
        <f t="shared" si="109"/>
        <v>420.60692574444772</v>
      </c>
      <c r="O167" s="1074">
        <f t="shared" si="109"/>
        <v>423.46411727507774</v>
      </c>
      <c r="P167" s="1075">
        <f t="shared" si="109"/>
        <v>434.09017990275322</v>
      </c>
    </row>
    <row r="168" spans="1:16" ht="15.5">
      <c r="B168" s="1071" t="s">
        <v>708</v>
      </c>
      <c r="C168" s="1072" t="str">
        <f t="shared" ref="C168:C173" si="110">C26</f>
        <v>C2 - GC I1</v>
      </c>
      <c r="D168" s="1073"/>
      <c r="E168" s="1060">
        <f>IF(E3&lt;60,0.26*D11+165,0.207*D11+237)</f>
        <v>442.875</v>
      </c>
      <c r="F168" s="1060">
        <f t="shared" ref="F168:P168" si="111">IF(F3&lt;60,0.26*E11+165,0.207*E11+237)</f>
        <v>456.67874999999998</v>
      </c>
      <c r="G168" s="1060">
        <f t="shared" si="111"/>
        <v>462.37124999999997</v>
      </c>
      <c r="H168" s="1060">
        <f t="shared" si="111"/>
        <v>503.12437499999999</v>
      </c>
      <c r="I168" s="1060">
        <f t="shared" si="111"/>
        <v>502.58099999999996</v>
      </c>
      <c r="J168" s="1060">
        <f t="shared" si="111"/>
        <v>478.67250000000001</v>
      </c>
      <c r="K168" s="1060">
        <f t="shared" si="111"/>
        <v>469.09875</v>
      </c>
      <c r="L168" s="1060">
        <f t="shared" si="111"/>
        <v>462.21600000000001</v>
      </c>
      <c r="M168" s="1060">
        <f t="shared" si="111"/>
        <v>458.49</v>
      </c>
      <c r="N168" s="1060">
        <f t="shared" si="111"/>
        <v>454.971</v>
      </c>
      <c r="O168" s="1060">
        <f t="shared" si="111"/>
        <v>458.07600000000002</v>
      </c>
      <c r="P168" s="1076">
        <f t="shared" si="111"/>
        <v>464.07899999999995</v>
      </c>
    </row>
    <row r="169" spans="1:16" ht="15.5">
      <c r="B169" s="1071" t="s">
        <v>708</v>
      </c>
      <c r="C169" s="1072" t="str">
        <f t="shared" si="110"/>
        <v>C2 - GC I4</v>
      </c>
      <c r="D169" s="1073"/>
      <c r="E169" s="1060">
        <f>E168*1.0496</f>
        <v>464.84160000000003</v>
      </c>
      <c r="F169" s="1060">
        <f t="shared" ref="F169:P169" si="112">F168*1.0496</f>
        <v>479.330016</v>
      </c>
      <c r="G169" s="1060">
        <f t="shared" si="112"/>
        <v>485.30486400000001</v>
      </c>
      <c r="H169" s="1060">
        <f t="shared" si="112"/>
        <v>528.07934399999999</v>
      </c>
      <c r="I169" s="1060">
        <f t="shared" si="112"/>
        <v>527.50901759999999</v>
      </c>
      <c r="J169" s="1060">
        <f t="shared" si="112"/>
        <v>502.41465600000004</v>
      </c>
      <c r="K169" s="1060">
        <f t="shared" si="112"/>
        <v>492.36604800000003</v>
      </c>
      <c r="L169" s="1060">
        <f t="shared" si="112"/>
        <v>485.14191360000007</v>
      </c>
      <c r="M169" s="1060">
        <f t="shared" si="112"/>
        <v>481.23110400000007</v>
      </c>
      <c r="N169" s="1060">
        <f t="shared" si="112"/>
        <v>477.53756160000006</v>
      </c>
      <c r="O169" s="1060">
        <f t="shared" si="112"/>
        <v>480.79656960000005</v>
      </c>
      <c r="P169" s="1076">
        <f t="shared" si="112"/>
        <v>487.09731840000001</v>
      </c>
    </row>
    <row r="170" spans="1:16" ht="15.5">
      <c r="B170" s="1071" t="s">
        <v>708</v>
      </c>
      <c r="C170" s="1072" t="str">
        <f t="shared" si="110"/>
        <v>C2 - GC PE</v>
      </c>
      <c r="D170" s="1073"/>
      <c r="E170" s="1060">
        <f>(E168*1.014)+1.8</f>
        <v>450.87524999999999</v>
      </c>
      <c r="F170" s="1060">
        <f t="shared" ref="F170:P170" si="113">(F168*1.014)+1.8</f>
        <v>464.8722525</v>
      </c>
      <c r="G170" s="1060">
        <f t="shared" si="113"/>
        <v>470.64444750000001</v>
      </c>
      <c r="H170" s="1060">
        <f t="shared" si="113"/>
        <v>511.96811624999998</v>
      </c>
      <c r="I170" s="1060">
        <f t="shared" si="113"/>
        <v>511.41713399999998</v>
      </c>
      <c r="J170" s="1060">
        <f t="shared" si="113"/>
        <v>487.17391500000002</v>
      </c>
      <c r="K170" s="1060">
        <f t="shared" si="113"/>
        <v>477.46613250000001</v>
      </c>
      <c r="L170" s="1060">
        <f t="shared" si="113"/>
        <v>470.48702400000002</v>
      </c>
      <c r="M170" s="1060">
        <f t="shared" si="113"/>
        <v>466.70886000000002</v>
      </c>
      <c r="N170" s="1060">
        <f t="shared" si="113"/>
        <v>463.14059400000002</v>
      </c>
      <c r="O170" s="1060">
        <f t="shared" si="113"/>
        <v>466.28906400000005</v>
      </c>
      <c r="P170" s="1076">
        <f t="shared" si="113"/>
        <v>472.37610599999999</v>
      </c>
    </row>
    <row r="171" spans="1:16" ht="21">
      <c r="A171" s="1059"/>
      <c r="B171" s="1071" t="s">
        <v>708</v>
      </c>
      <c r="C171" s="1072" t="str">
        <f t="shared" si="110"/>
        <v>C2 (Additional Volume &gt;274 T/Hr) : 
Additional - GC PE</v>
      </c>
      <c r="D171" s="1073"/>
      <c r="E171" s="1060">
        <f>(E168*1.014)+28</f>
        <v>477.07524999999998</v>
      </c>
      <c r="F171" s="1060">
        <f t="shared" ref="F171:P171" si="114">(F168*1.014)+28</f>
        <v>491.07225249999999</v>
      </c>
      <c r="G171" s="1060">
        <f t="shared" si="114"/>
        <v>496.8444475</v>
      </c>
      <c r="H171" s="1060">
        <f t="shared" si="114"/>
        <v>538.16811624999991</v>
      </c>
      <c r="I171" s="1060">
        <f t="shared" si="114"/>
        <v>537.61713399999996</v>
      </c>
      <c r="J171" s="1060">
        <f t="shared" si="114"/>
        <v>513.37391500000001</v>
      </c>
      <c r="K171" s="1060">
        <f t="shared" si="114"/>
        <v>503.6661325</v>
      </c>
      <c r="L171" s="1060">
        <f t="shared" si="114"/>
        <v>496.68702400000001</v>
      </c>
      <c r="M171" s="1060">
        <f t="shared" si="114"/>
        <v>492.90886</v>
      </c>
      <c r="N171" s="1060">
        <f t="shared" si="114"/>
        <v>489.34059400000001</v>
      </c>
      <c r="O171" s="1060">
        <f t="shared" si="114"/>
        <v>492.48906400000004</v>
      </c>
      <c r="P171" s="1076">
        <f t="shared" si="114"/>
        <v>498.57610599999998</v>
      </c>
    </row>
    <row r="172" spans="1:16" ht="15.5">
      <c r="B172" s="1071" t="s">
        <v>708</v>
      </c>
      <c r="C172" s="1072" t="str">
        <f t="shared" si="110"/>
        <v>C2 SPOT : 
Treated by ETU - GC PE</v>
      </c>
      <c r="D172" s="1073"/>
      <c r="E172" s="1060">
        <f>E169</f>
        <v>464.84160000000003</v>
      </c>
      <c r="F172" s="1060">
        <f t="shared" ref="F172:P172" si="115">F169</f>
        <v>479.330016</v>
      </c>
      <c r="G172" s="1060">
        <f t="shared" si="115"/>
        <v>485.30486400000001</v>
      </c>
      <c r="H172" s="1060">
        <f t="shared" si="115"/>
        <v>528.07934399999999</v>
      </c>
      <c r="I172" s="1060">
        <f t="shared" si="115"/>
        <v>527.50901759999999</v>
      </c>
      <c r="J172" s="1060">
        <f t="shared" si="115"/>
        <v>502.41465600000004</v>
      </c>
      <c r="K172" s="1060">
        <f t="shared" si="115"/>
        <v>492.36604800000003</v>
      </c>
      <c r="L172" s="1060">
        <f t="shared" si="115"/>
        <v>485.14191360000007</v>
      </c>
      <c r="M172" s="1060">
        <f t="shared" si="115"/>
        <v>481.23110400000007</v>
      </c>
      <c r="N172" s="1060">
        <f t="shared" si="115"/>
        <v>477.53756160000006</v>
      </c>
      <c r="O172" s="1060">
        <f t="shared" si="115"/>
        <v>480.79656960000005</v>
      </c>
      <c r="P172" s="1076">
        <f t="shared" si="115"/>
        <v>487.09731840000001</v>
      </c>
    </row>
    <row r="173" spans="1:16" ht="15.5">
      <c r="B173" s="1071" t="s">
        <v>708</v>
      </c>
      <c r="C173" s="1072" t="str">
        <f t="shared" si="110"/>
        <v>C2 Hybrid : 
Supplement - GC PE</v>
      </c>
      <c r="D173" s="1073"/>
      <c r="E173" s="1060">
        <f t="shared" ref="E173:P173" si="116">(E168*1.014)+100</f>
        <v>549.07524999999998</v>
      </c>
      <c r="F173" s="1060">
        <f t="shared" si="116"/>
        <v>563.07225249999999</v>
      </c>
      <c r="G173" s="1060">
        <f t="shared" si="116"/>
        <v>568.8444475</v>
      </c>
      <c r="H173" s="1060">
        <f t="shared" si="116"/>
        <v>610.16811624999991</v>
      </c>
      <c r="I173" s="1060">
        <f t="shared" si="116"/>
        <v>609.61713399999996</v>
      </c>
      <c r="J173" s="1060">
        <f t="shared" si="116"/>
        <v>585.37391500000001</v>
      </c>
      <c r="K173" s="1060">
        <f t="shared" si="116"/>
        <v>575.6661325</v>
      </c>
      <c r="L173" s="1060">
        <f t="shared" si="116"/>
        <v>568.68702400000006</v>
      </c>
      <c r="M173" s="1060">
        <f t="shared" si="116"/>
        <v>564.90886</v>
      </c>
      <c r="N173" s="1060">
        <f t="shared" si="116"/>
        <v>561.34059400000001</v>
      </c>
      <c r="O173" s="1060">
        <f t="shared" si="116"/>
        <v>564.4890640000001</v>
      </c>
      <c r="P173" s="1076">
        <f t="shared" si="116"/>
        <v>570.57610599999998</v>
      </c>
    </row>
    <row r="174" spans="1:16" ht="15.5">
      <c r="B174" s="1071" t="s">
        <v>708</v>
      </c>
      <c r="C174" s="1072" t="s">
        <v>712</v>
      </c>
      <c r="D174" s="1073"/>
      <c r="E174" s="1074">
        <f>SUMPRODUCT(E168:E173,Delivery!E26:E31)/SUM(Delivery!E26:E31)</f>
        <v>453.73174571865377</v>
      </c>
      <c r="F174" s="1074">
        <f>SUMPRODUCT(F168:F173,Delivery!F26:F31)/SUM(Delivery!F26:F31)</f>
        <v>468.01026929193426</v>
      </c>
      <c r="G174" s="1074">
        <f>SUMPRODUCT(G168:G173,Delivery!G26:G31)/SUM(Delivery!G26:G31)</f>
        <v>473.59341158099141</v>
      </c>
      <c r="H174" s="1074">
        <f>SUMPRODUCT(H168:H173,Delivery!H26:H31)/SUM(Delivery!H26:H31)</f>
        <v>515.58677045255945</v>
      </c>
      <c r="I174" s="1074">
        <f>SUMPRODUCT(I168:I173,Delivery!I26:I31)/SUM(Delivery!I26:I31)</f>
        <v>514.3967124041003</v>
      </c>
      <c r="J174" s="1074">
        <f>SUMPRODUCT(J168:J173,Delivery!J26:J31)/SUM(Delivery!J26:J31)</f>
        <v>490.31131590218678</v>
      </c>
      <c r="K174" s="1074">
        <f>SUMPRODUCT(K168:K173,Delivery!K26:K31)/SUM(Delivery!K26:K31)</f>
        <v>481.45164171615426</v>
      </c>
      <c r="L174" s="1074">
        <f>SUMPRODUCT(L168:L173,Delivery!L26:L31)/SUM(Delivery!L26:L31)</f>
        <v>473.46203525254867</v>
      </c>
      <c r="M174" s="1074">
        <f>SUMPRODUCT(M168:M173,Delivery!M26:M31)/SUM(Delivery!M26:M31)</f>
        <v>470.0669450363676</v>
      </c>
      <c r="N174" s="1074">
        <f>SUMPRODUCT(N168:N173,Delivery!N26:N31)/SUM(Delivery!N26:N31)</f>
        <v>467.30115488282155</v>
      </c>
      <c r="O174" s="1074">
        <f>SUMPRODUCT(O168:O173,Delivery!O26:O31)/SUM(Delivery!O26:O31)</f>
        <v>469.40734129626912</v>
      </c>
      <c r="P174" s="1075">
        <f>SUMPRODUCT(P168:P173,Delivery!P26:P31)/SUM(Delivery!P26:P31)</f>
        <v>475.46257713887883</v>
      </c>
    </row>
    <row r="175" spans="1:16" ht="15.5">
      <c r="B175" s="1071" t="s">
        <v>711</v>
      </c>
      <c r="C175" s="1072" t="s">
        <v>705</v>
      </c>
      <c r="D175" s="1073"/>
      <c r="E175" s="1077">
        <f t="shared" ref="E175:P175" si="117">E38</f>
        <v>644.84770000000003</v>
      </c>
      <c r="F175" s="1077">
        <f t="shared" si="117"/>
        <v>690.85709999999995</v>
      </c>
      <c r="G175" s="1077">
        <f t="shared" si="117"/>
        <v>667.42579999999998</v>
      </c>
      <c r="H175" s="1077">
        <f t="shared" si="117"/>
        <v>600.21860000000004</v>
      </c>
      <c r="I175" s="1077">
        <f t="shared" si="117"/>
        <v>548.09709999999995</v>
      </c>
      <c r="J175" s="1077">
        <f t="shared" si="117"/>
        <v>590.12829999999997</v>
      </c>
      <c r="K175" s="1077">
        <f t="shared" si="117"/>
        <v>665.17139999999995</v>
      </c>
      <c r="L175" s="1077">
        <f t="shared" si="117"/>
        <v>657.62400000000002</v>
      </c>
      <c r="M175" s="1077">
        <f t="shared" si="117"/>
        <v>653.42740000000003</v>
      </c>
      <c r="N175" s="1077">
        <f t="shared" si="117"/>
        <v>631.32920000000001</v>
      </c>
      <c r="O175" s="1077">
        <f t="shared" si="117"/>
        <v>642.13260000000002</v>
      </c>
      <c r="P175" s="1078">
        <f t="shared" si="117"/>
        <v>655.43600000000004</v>
      </c>
    </row>
    <row r="176" spans="1:16" ht="15.5">
      <c r="B176" s="1071" t="s">
        <v>710</v>
      </c>
      <c r="C176" s="1072" t="s">
        <v>704</v>
      </c>
      <c r="D176" s="1073"/>
      <c r="E176" s="1077">
        <f t="shared" ref="E176:P176" si="118">0.207*D14+237</f>
        <v>499.24312499999996</v>
      </c>
      <c r="F176" s="1077">
        <f t="shared" si="118"/>
        <v>492.64499999999998</v>
      </c>
      <c r="G176" s="1077">
        <f t="shared" si="118"/>
        <v>514.3153125</v>
      </c>
      <c r="H176" s="1077">
        <f t="shared" si="118"/>
        <v>551.64</v>
      </c>
      <c r="I176" s="1077">
        <f t="shared" si="118"/>
        <v>532.49250000000006</v>
      </c>
      <c r="J176" s="1077">
        <f t="shared" si="118"/>
        <v>509.46375</v>
      </c>
      <c r="K176" s="1077">
        <f t="shared" si="118"/>
        <v>498.85499999999996</v>
      </c>
      <c r="L176" s="1077">
        <f t="shared" si="118"/>
        <v>487.05599999999998</v>
      </c>
      <c r="M176" s="1077">
        <f t="shared" si="118"/>
        <v>478.15499999999997</v>
      </c>
      <c r="N176" s="1077">
        <f t="shared" si="118"/>
        <v>471.53099999999995</v>
      </c>
      <c r="O176" s="1077">
        <f t="shared" si="118"/>
        <v>472.98</v>
      </c>
      <c r="P176" s="1078">
        <f t="shared" si="118"/>
        <v>479.81099999999998</v>
      </c>
    </row>
    <row r="177" spans="2:16" ht="15.5">
      <c r="B177" s="1071"/>
      <c r="C177" s="1072"/>
      <c r="D177" s="1073"/>
      <c r="E177" s="1072"/>
      <c r="F177" s="1072"/>
      <c r="G177" s="1072"/>
      <c r="H177" s="1072"/>
      <c r="I177" s="1072"/>
      <c r="J177" s="1072"/>
      <c r="K177" s="1072"/>
      <c r="L177" s="1072"/>
      <c r="M177" s="1072"/>
      <c r="N177" s="1072"/>
      <c r="O177" s="1072"/>
      <c r="P177" s="1079"/>
    </row>
    <row r="178" spans="2:16" ht="15.5">
      <c r="B178" s="1071"/>
      <c r="C178" s="1080" t="s">
        <v>706</v>
      </c>
      <c r="D178" s="1073"/>
      <c r="E178" s="1081">
        <v>44197</v>
      </c>
      <c r="F178" s="1081">
        <v>44228</v>
      </c>
      <c r="G178" s="1081">
        <v>44256</v>
      </c>
      <c r="H178" s="1081">
        <v>44287</v>
      </c>
      <c r="I178" s="1081">
        <v>44317</v>
      </c>
      <c r="J178" s="1081">
        <v>44348</v>
      </c>
      <c r="K178" s="1081">
        <v>44378</v>
      </c>
      <c r="L178" s="1081">
        <v>44409</v>
      </c>
      <c r="M178" s="1081">
        <v>44440</v>
      </c>
      <c r="N178" s="1081">
        <v>44470</v>
      </c>
      <c r="O178" s="1081">
        <v>44501</v>
      </c>
      <c r="P178" s="1082">
        <v>44531</v>
      </c>
    </row>
    <row r="179" spans="2:16" ht="15.5">
      <c r="B179" s="1071" t="s">
        <v>709</v>
      </c>
      <c r="C179" s="1072" t="s">
        <v>705</v>
      </c>
      <c r="D179" s="1073"/>
      <c r="E179" s="1083">
        <f>'Revenue (Baht)'!E35/10^6</f>
        <v>2534.5555129400996</v>
      </c>
      <c r="F179" s="1083">
        <f>'Revenue (Baht)'!F35/10^6</f>
        <v>2314.4397555729997</v>
      </c>
      <c r="G179" s="1083">
        <f>'Revenue (Baht)'!G35/10^6</f>
        <v>2592.4884225897003</v>
      </c>
      <c r="H179" s="1083">
        <f>'Revenue (Baht)'!H35/10^6</f>
        <v>2559.1064255481997</v>
      </c>
      <c r="I179" s="1083">
        <f>'Revenue (Baht)'!I35/10^6</f>
        <v>2937.6197382833002</v>
      </c>
      <c r="J179" s="1083">
        <f>'Revenue (Baht)'!J35/10^6</f>
        <v>2649.4105382506004</v>
      </c>
      <c r="K179" s="1083">
        <f>'Revenue (Baht)'!K35/10^6</f>
        <v>1890.2411820146556</v>
      </c>
      <c r="L179" s="1083">
        <f>'Revenue (Baht)'!L35/10^6</f>
        <v>2462.4154322321642</v>
      </c>
      <c r="M179" s="1083">
        <f>'Revenue (Baht)'!M35/10^6</f>
        <v>2203.6144981615289</v>
      </c>
      <c r="N179" s="1083">
        <f>'Revenue (Baht)'!N35/10^6</f>
        <v>1902.8136272046802</v>
      </c>
      <c r="O179" s="1083">
        <f>'Revenue (Baht)'!O35/10^6</f>
        <v>2377.0202934293347</v>
      </c>
      <c r="P179" s="1084">
        <f>'Revenue (Baht)'!P35/10^6</f>
        <v>2480.979441956571</v>
      </c>
    </row>
    <row r="180" spans="2:16" ht="15.5">
      <c r="B180" s="1071" t="s">
        <v>708</v>
      </c>
      <c r="C180" s="1072" t="str">
        <f>C168</f>
        <v>C2 - GC I1</v>
      </c>
      <c r="D180" s="1073"/>
      <c r="E180" s="1085">
        <f>(E168*Delivery!E26*Price!E$20)/10^6</f>
        <v>610.68810277813213</v>
      </c>
      <c r="F180" s="1085">
        <f>(F168*Delivery!F26*Price!F$20)/10^6</f>
        <v>522.03391915090072</v>
      </c>
      <c r="G180" s="1085">
        <f>(G168*Delivery!G26*Price!G$20)/10^6</f>
        <v>551.85263922501406</v>
      </c>
      <c r="H180" s="1085">
        <f>(H168*Delivery!H26*Price!H$20)/10^6</f>
        <v>513.29251857849999</v>
      </c>
      <c r="I180" s="1085">
        <f>(I168*Delivery!I26*Price!I$20)/10^6</f>
        <v>581.66138143732087</v>
      </c>
      <c r="J180" s="1085">
        <f>(J168*Delivery!J26*Price!J$20)/10^6</f>
        <v>551.81525717972306</v>
      </c>
      <c r="K180" s="1085">
        <f>(K168*Delivery!K26*Price!K$20)/10^6</f>
        <v>616.39575750000017</v>
      </c>
      <c r="L180" s="1085">
        <f>(L168*Delivery!L26*Price!L$20)/10^6</f>
        <v>599.03193599999997</v>
      </c>
      <c r="M180" s="1085">
        <f>(M168*Delivery!M26*Price!M$20)/10^6</f>
        <v>552.93894</v>
      </c>
      <c r="N180" s="1085">
        <f>(N168*Delivery!N26*Price!N$20)/10^6</f>
        <v>484.54411499999986</v>
      </c>
      <c r="O180" s="1085">
        <f>(O168*Delivery!O26*Price!O$20)/10^6</f>
        <v>551.065428</v>
      </c>
      <c r="P180" s="1086">
        <f>(P168*Delivery!P26*Price!P$20)/10^6</f>
        <v>576.3861179999999</v>
      </c>
    </row>
    <row r="181" spans="2:16" ht="15.5">
      <c r="B181" s="1071" t="s">
        <v>708</v>
      </c>
      <c r="C181" s="1072" t="str">
        <f t="shared" ref="C181:C185" si="119">C169</f>
        <v>C2 - GC I4</v>
      </c>
      <c r="D181" s="1073"/>
      <c r="E181" s="1085">
        <f>(E169*Delivery!E27*Price!E$20)/10^6</f>
        <v>450.59573521654841</v>
      </c>
      <c r="F181" s="1085">
        <f>(F169*Delivery!F27*Price!F$20)/10^6</f>
        <v>432.81194370300295</v>
      </c>
      <c r="G181" s="1085">
        <f>(G169*Delivery!G27*Price!G$20)/10^6</f>
        <v>477.88730835332609</v>
      </c>
      <c r="H181" s="1085">
        <f>(H169*Delivery!H27*Price!H$20)/10^6</f>
        <v>529.61310188402217</v>
      </c>
      <c r="I181" s="1085">
        <f>(I169*Delivery!I27*Price!I$20)/10^6</f>
        <v>456.88624281203283</v>
      </c>
      <c r="J181" s="1085">
        <f>(J169*Delivery!J27*Price!J$20)/10^6</f>
        <v>497.19307082892914</v>
      </c>
      <c r="K181" s="1085">
        <f>(K169*Delivery!K27*Price!K$20)/10^6</f>
        <v>641.42746701288252</v>
      </c>
      <c r="L181" s="1085">
        <f>(L169*Delivery!L27*Price!L$20)/10^6</f>
        <v>632.01626116638886</v>
      </c>
      <c r="M181" s="1085">
        <f>(M169*Delivery!M27*Price!M$20)/10^6</f>
        <v>626.92147303896365</v>
      </c>
      <c r="N181" s="1085">
        <f>(N169*Delivery!N27*Price!N$20)/10^6</f>
        <v>622.10972869639545</v>
      </c>
      <c r="O181" s="1085">
        <f>(O169*Delivery!O27*Price!O$20)/10^6</f>
        <v>626.35538546924977</v>
      </c>
      <c r="P181" s="1086">
        <f>(P169*Delivery!P27*Price!P$20)/10^6</f>
        <v>634.56365523010152</v>
      </c>
    </row>
    <row r="182" spans="2:16" ht="15.5">
      <c r="B182" s="1071" t="s">
        <v>708</v>
      </c>
      <c r="C182" s="1072" t="str">
        <f t="shared" si="119"/>
        <v>C2 - GC PE</v>
      </c>
      <c r="D182" s="1073"/>
      <c r="E182" s="1085">
        <f>(E170*Delivery!E28*Price!E$20)/10^6</f>
        <v>1418.076445734205</v>
      </c>
      <c r="F182" s="1085">
        <f>(F170*Delivery!F28*Price!F$20)/10^6</f>
        <v>1381.6090754727982</v>
      </c>
      <c r="G182" s="1085">
        <f>(G170*Delivery!G28*Price!G$20)/10^6</f>
        <v>1616.2109140602884</v>
      </c>
      <c r="H182" s="1085">
        <f>(H170*Delivery!H28*Price!H$20)/10^6</f>
        <v>1451.9297039735131</v>
      </c>
      <c r="I182" s="1085">
        <f>(I170*Delivery!I28*Price!I$20)/10^6</f>
        <v>1788.3413449328759</v>
      </c>
      <c r="J182" s="1085">
        <f>(J170*Delivery!J28*Price!J$20)/10^6</f>
        <v>1612.779707326366</v>
      </c>
      <c r="K182" s="1085">
        <f>(K170*Delivery!K28*Price!K$20)/10^6</f>
        <v>766.53887256448115</v>
      </c>
      <c r="L182" s="1085">
        <f>(L170*Delivery!L28*Price!L$20)/10^6</f>
        <v>1445.8889028278745</v>
      </c>
      <c r="M182" s="1085">
        <f>(M170*Delivery!M28*Price!M$20)/10^6</f>
        <v>1219.7775338062577</v>
      </c>
      <c r="N182" s="1085">
        <f>(N170*Delivery!N28*Price!N$20)/10^6</f>
        <v>957.28664406071425</v>
      </c>
      <c r="O182" s="1085">
        <f>(O170*Delivery!O28*Price!O$20)/10^6</f>
        <v>1408.7195485823188</v>
      </c>
      <c r="P182" s="1086">
        <f>(P170*Delivery!P28*Price!P$20)/10^6</f>
        <v>1455.5465677473435</v>
      </c>
    </row>
    <row r="183" spans="2:16" ht="15.5">
      <c r="B183" s="1071" t="s">
        <v>708</v>
      </c>
      <c r="C183" s="1072" t="str">
        <f t="shared" si="119"/>
        <v>C2 (Additional Volume &gt;274 T/Hr) : 
Additional - GC PE</v>
      </c>
      <c r="D183" s="1073"/>
      <c r="E183" s="1085">
        <f>(E171*Delivery!E29*Price!E$20)/10^6</f>
        <v>5.2860408370991845</v>
      </c>
      <c r="F183" s="1085">
        <f>(F171*Delivery!F29*Price!F$20)/10^6</f>
        <v>7.8957211461336998</v>
      </c>
      <c r="G183" s="1085">
        <f>(G171*Delivery!G29*Price!G$20)/10^6</f>
        <v>0.85747985939439586</v>
      </c>
      <c r="H183" s="1085">
        <f>(H171*Delivery!H29*Price!H$20)/10^6</f>
        <v>6.16800401758214</v>
      </c>
      <c r="I183" s="1085">
        <f>(I171*Delivery!I29*Price!I$20)/10^6</f>
        <v>0</v>
      </c>
      <c r="J183" s="1085">
        <f>(J171*Delivery!J29*Price!J$20)/10^6</f>
        <v>0</v>
      </c>
      <c r="K183" s="1085">
        <f>(K171*Delivery!K29*Price!K$20)/10^6</f>
        <v>0</v>
      </c>
      <c r="L183" s="1085">
        <f>(L171*Delivery!L29*Price!L$20)/10^6</f>
        <v>0</v>
      </c>
      <c r="M183" s="1085">
        <f>(M171*Delivery!M29*Price!M$20)/10^6</f>
        <v>0</v>
      </c>
      <c r="N183" s="1085">
        <f>(N171*Delivery!N29*Price!N$20)/10^6</f>
        <v>0</v>
      </c>
      <c r="O183" s="1085">
        <f>(O171*Delivery!O29*Price!O$20)/10^6</f>
        <v>0</v>
      </c>
      <c r="P183" s="1086">
        <f>(P171*Delivery!P29*Price!P$20)/10^6</f>
        <v>0</v>
      </c>
    </row>
    <row r="184" spans="2:16" ht="15.5">
      <c r="B184" s="1071" t="s">
        <v>708</v>
      </c>
      <c r="C184" s="1072" t="str">
        <f t="shared" si="119"/>
        <v>C2 SPOT : 
Treated by ETU - GC PE</v>
      </c>
      <c r="D184" s="1073"/>
      <c r="E184" s="1085">
        <f>(E172*Delivery!E30*Price!E$20)/10^6</f>
        <v>184.63111328967261</v>
      </c>
      <c r="F184" s="1085">
        <f>(F172*Delivery!F30*Price!F$20)/10^6</f>
        <v>170.49322851596281</v>
      </c>
      <c r="G184" s="1085">
        <f>(G172*Delivery!G30*Price!G$20)/10^6</f>
        <v>133.51866799221369</v>
      </c>
      <c r="H184" s="1085">
        <f>(H172*Delivery!H30*Price!H$20)/10^6</f>
        <v>93.972881851542837</v>
      </c>
      <c r="I184" s="1085">
        <f>(I172*Delivery!I30*Price!I$20)/10^6</f>
        <v>155.63958940363466</v>
      </c>
      <c r="J184" s="1085">
        <f>(J172*Delivery!J30*Price!J$20)/10^6</f>
        <v>133.62986547161873</v>
      </c>
      <c r="K184" s="1085">
        <f>(K172*Delivery!K30*Price!K$20)/10^6</f>
        <v>0</v>
      </c>
      <c r="L184" s="1085">
        <f>(L172*Delivery!L30*Price!L$20)/10^6</f>
        <v>0</v>
      </c>
      <c r="M184" s="1085">
        <f>(M172*Delivery!M30*Price!M$20)/10^6</f>
        <v>0</v>
      </c>
      <c r="N184" s="1085">
        <f>(N172*Delivery!N30*Price!N$20)/10^6</f>
        <v>0</v>
      </c>
      <c r="O184" s="1085">
        <f>(O172*Delivery!O30*Price!O$20)/10^6</f>
        <v>0</v>
      </c>
      <c r="P184" s="1086">
        <f>(P172*Delivery!P30*Price!P$20)/10^6</f>
        <v>0</v>
      </c>
    </row>
    <row r="185" spans="2:16" ht="15.5">
      <c r="B185" s="1071" t="s">
        <v>708</v>
      </c>
      <c r="C185" s="1072" t="str">
        <f t="shared" si="119"/>
        <v>C2 Hybrid : 
Supplement - GC PE</v>
      </c>
      <c r="D185" s="1073"/>
      <c r="E185" s="1085">
        <f>(E173*Delivery!E31*Price!E$20)/10^6</f>
        <v>49.031079202869591</v>
      </c>
      <c r="F185" s="1085">
        <f>(F173*Delivery!F31*Price!F$20)/10^6</f>
        <v>45.378297338449151</v>
      </c>
      <c r="G185" s="1085">
        <f>(G173*Delivery!G31*Price!G$20)/10^6</f>
        <v>52.112973883765534</v>
      </c>
      <c r="H185" s="1085">
        <f>(H173*Delivery!H31*Price!H$20)/10^6</f>
        <v>51.390252712407829</v>
      </c>
      <c r="I185" s="1085">
        <f>(I173*Delivery!I31*Price!I$20)/10^6</f>
        <v>56.777121920939749</v>
      </c>
      <c r="J185" s="1085">
        <f>(J173*Delivery!J31*Price!J$20)/10^6</f>
        <v>52.998911325662405</v>
      </c>
      <c r="K185" s="1085">
        <f>(K173*Delivery!K31*Price!K$20)/10^6</f>
        <v>51.395472309600002</v>
      </c>
      <c r="L185" s="1085">
        <f>(L173*Delivery!L31*Price!L$20)/10^6</f>
        <v>50.772377502720005</v>
      </c>
      <c r="M185" s="1085">
        <f>(M173*Delivery!M31*Price!M$20)/10^6</f>
        <v>48.808125504000003</v>
      </c>
      <c r="N185" s="1085">
        <f>(N173*Delivery!N31*Price!N$20)/10^6</f>
        <v>50.116488232319995</v>
      </c>
      <c r="O185" s="1085">
        <f>(O173*Delivery!O31*Price!O$20)/10^6</f>
        <v>48.771855129600013</v>
      </c>
      <c r="P185" s="1086">
        <f>(P173*Delivery!P31*Price!P$20)/10^6</f>
        <v>50.94103474368</v>
      </c>
    </row>
    <row r="186" spans="2:16" ht="15.5">
      <c r="B186" s="1071" t="s">
        <v>708</v>
      </c>
      <c r="C186" s="1072" t="s">
        <v>177</v>
      </c>
      <c r="D186" s="1073"/>
      <c r="E186" s="1083">
        <f>SUM(E180:E185)</f>
        <v>2718.3085170585268</v>
      </c>
      <c r="F186" s="1083">
        <f t="shared" ref="F186:P186" si="120">SUM(F180:F185)</f>
        <v>2560.2221853272476</v>
      </c>
      <c r="G186" s="1083">
        <f t="shared" si="120"/>
        <v>2832.4399833740017</v>
      </c>
      <c r="H186" s="1083">
        <f t="shared" si="120"/>
        <v>2646.3664630175676</v>
      </c>
      <c r="I186" s="1083">
        <f t="shared" si="120"/>
        <v>3039.305680506804</v>
      </c>
      <c r="J186" s="1083">
        <f t="shared" si="120"/>
        <v>2848.4168121322996</v>
      </c>
      <c r="K186" s="1083">
        <f t="shared" si="120"/>
        <v>2075.757569386964</v>
      </c>
      <c r="L186" s="1083">
        <f t="shared" si="120"/>
        <v>2727.7094774969833</v>
      </c>
      <c r="M186" s="1083">
        <f t="shared" si="120"/>
        <v>2448.4460723492216</v>
      </c>
      <c r="N186" s="1083">
        <f t="shared" si="120"/>
        <v>2114.0569759894297</v>
      </c>
      <c r="O186" s="1083">
        <f t="shared" si="120"/>
        <v>2634.9122171811687</v>
      </c>
      <c r="P186" s="1084">
        <f t="shared" si="120"/>
        <v>2717.4373757211251</v>
      </c>
    </row>
    <row r="187" spans="2:16" ht="15.5">
      <c r="B187" s="1071" t="s">
        <v>703</v>
      </c>
      <c r="C187" s="1072" t="s">
        <v>705</v>
      </c>
      <c r="D187" s="1073"/>
      <c r="E187" s="1087">
        <f>('Revenue (Baht)'!E50+'Revenue (Baht)'!E67)/10^6</f>
        <v>1042.6503240761001</v>
      </c>
      <c r="F187" s="1087">
        <f>('Revenue (Baht)'!F50+'Revenue (Baht)'!F67)/10^6</f>
        <v>812.86166853120005</v>
      </c>
      <c r="G187" s="1087">
        <f>('Revenue (Baht)'!G50+'Revenue (Baht)'!G67)/10^6</f>
        <v>1015.954953658</v>
      </c>
      <c r="H187" s="1087">
        <f>('Revenue (Baht)'!H50+'Revenue (Baht)'!H67)/10^6</f>
        <v>610.18322005900006</v>
      </c>
      <c r="I187" s="1087">
        <f>('Revenue (Baht)'!I50+'Revenue (Baht)'!I67)/10^6</f>
        <v>1070.8775485254</v>
      </c>
      <c r="J187" s="1087">
        <f>('Revenue (Baht)'!J50+'Revenue (Baht)'!J67)/10^6</f>
        <v>1120.8764256387999</v>
      </c>
      <c r="K187" s="1087">
        <f>('Revenue (Baht)'!K50+'Revenue (Baht)'!K67)/10^6</f>
        <v>1764.7529739752727</v>
      </c>
      <c r="L187" s="1087">
        <f>('Revenue (Baht)'!L50+'Revenue (Baht)'!L67)/10^6</f>
        <v>1110.1068572564516</v>
      </c>
      <c r="M187" s="1087">
        <f>('Revenue (Baht)'!M50+'Revenue (Baht)'!M67)/10^6</f>
        <v>1063.310184702704</v>
      </c>
      <c r="N187" s="1087">
        <f>('Revenue (Baht)'!N50+'Revenue (Baht)'!N67)/10^6</f>
        <v>1062.4512461511222</v>
      </c>
      <c r="O187" s="1087">
        <f>('Revenue (Baht)'!O50+'Revenue (Baht)'!O67)/10^6</f>
        <v>1051.8131923065373</v>
      </c>
      <c r="P187" s="1088">
        <f>('Revenue (Baht)'!P50+'Revenue (Baht)'!P67)/10^6</f>
        <v>1109.3909984890452</v>
      </c>
    </row>
    <row r="188" spans="2:16" ht="16" thickBot="1">
      <c r="B188" s="1089" t="s">
        <v>703</v>
      </c>
      <c r="C188" s="1090" t="s">
        <v>704</v>
      </c>
      <c r="D188" s="1091"/>
      <c r="E188" s="1094">
        <f>(E176*(Delivery!E50+Delivery!E67)*Price!E20)/10^6</f>
        <v>818.59528055976205</v>
      </c>
      <c r="F188" s="1094">
        <f>(F176*(Delivery!F50+Delivery!F67)*Price!F20)/10^6</f>
        <v>586.22305368218485</v>
      </c>
      <c r="G188" s="1094">
        <f>(G176*(Delivery!G50+Delivery!G67)*Price!G20)/10^6</f>
        <v>797.9147348793457</v>
      </c>
      <c r="H188" s="1094">
        <f>(H176*(Delivery!H50+Delivery!H67)*Price!H20)/10^6</f>
        <v>573.02427009355472</v>
      </c>
      <c r="I188" s="1094">
        <f>(I176*(Delivery!I50+Delivery!I67)*Price!I20)/10^6</f>
        <v>1058.2165054624747</v>
      </c>
      <c r="J188" s="1094">
        <f>(J176*(Delivery!J50+Delivery!J67)*Price!J20)/10^6</f>
        <v>976.2273372365396</v>
      </c>
      <c r="K188" s="1094">
        <f>(K176*(Delivery!K50+Delivery!K67)*Price!K20)/10^6</f>
        <v>1323.5022233999998</v>
      </c>
      <c r="L188" s="1094">
        <f>(L176*(Delivery!L50+Delivery!L67)*Price!L20)/10^6</f>
        <v>820.29971520000004</v>
      </c>
      <c r="M188" s="1094">
        <f>(M176*(Delivery!M50+Delivery!M67)*Price!M20)/10^6</f>
        <v>776.26073474999998</v>
      </c>
      <c r="N188" s="1094">
        <f>(N176*(Delivery!N50+Delivery!N67)*Price!N20)/10^6</f>
        <v>793.53008927999986</v>
      </c>
      <c r="O188" s="1094">
        <f>(O176*(Delivery!O50+Delivery!O67)*Price!O20)/10^6</f>
        <v>774.74123999999995</v>
      </c>
      <c r="P188" s="1095">
        <f>(P176*(Delivery!P50+Delivery!P67)*Price!P20)/10^6</f>
        <v>812.12809859999993</v>
      </c>
    </row>
    <row r="190" spans="2:16" ht="15" thickBot="1"/>
    <row r="191" spans="2:16" ht="26">
      <c r="B191" s="1121" t="s">
        <v>134</v>
      </c>
      <c r="C191" s="1110" t="s">
        <v>707</v>
      </c>
      <c r="D191" s="1101"/>
      <c r="E191" s="1126">
        <f>E166</f>
        <v>44197</v>
      </c>
      <c r="F191" s="1126">
        <f t="shared" ref="F191:P191" si="121">F166</f>
        <v>44228</v>
      </c>
      <c r="G191" s="1126">
        <f t="shared" si="121"/>
        <v>44256</v>
      </c>
      <c r="H191" s="1126">
        <f t="shared" si="121"/>
        <v>44287</v>
      </c>
      <c r="I191" s="1126">
        <f t="shared" si="121"/>
        <v>44317</v>
      </c>
      <c r="J191" s="1126">
        <f t="shared" si="121"/>
        <v>44348</v>
      </c>
      <c r="K191" s="1126">
        <f t="shared" si="121"/>
        <v>44378</v>
      </c>
      <c r="L191" s="1126">
        <f t="shared" si="121"/>
        <v>44409</v>
      </c>
      <c r="M191" s="1126">
        <f t="shared" si="121"/>
        <v>44440</v>
      </c>
      <c r="N191" s="1126">
        <f t="shared" si="121"/>
        <v>44470</v>
      </c>
      <c r="O191" s="1126">
        <f t="shared" si="121"/>
        <v>44501</v>
      </c>
      <c r="P191" s="1127">
        <f t="shared" si="121"/>
        <v>44531</v>
      </c>
    </row>
    <row r="192" spans="2:16" ht="18.5">
      <c r="B192" s="1111" t="s">
        <v>208</v>
      </c>
      <c r="C192" s="1112" t="s">
        <v>705</v>
      </c>
      <c r="D192" s="1113"/>
      <c r="E192" s="1114">
        <f>E167</f>
        <v>423.0602561447181</v>
      </c>
      <c r="F192" s="1114">
        <f t="shared" ref="F192:P192" si="122">F167</f>
        <v>423.08108236599242</v>
      </c>
      <c r="G192" s="1114">
        <f t="shared" si="122"/>
        <v>433.47271036470164</v>
      </c>
      <c r="H192" s="1114">
        <f t="shared" si="122"/>
        <v>498.5860558738612</v>
      </c>
      <c r="I192" s="1114">
        <f t="shared" si="122"/>
        <v>497.18655986401052</v>
      </c>
      <c r="J192" s="1114">
        <f t="shared" si="122"/>
        <v>456.05543466875059</v>
      </c>
      <c r="K192" s="1114">
        <f t="shared" si="122"/>
        <v>438.42293230283587</v>
      </c>
      <c r="L192" s="1114">
        <f t="shared" si="122"/>
        <v>427.41363469974385</v>
      </c>
      <c r="M192" s="1114">
        <f t="shared" si="122"/>
        <v>423.06275269308674</v>
      </c>
      <c r="N192" s="1114">
        <f t="shared" si="122"/>
        <v>420.60692574444772</v>
      </c>
      <c r="O192" s="1114">
        <f t="shared" si="122"/>
        <v>423.46411727507774</v>
      </c>
      <c r="P192" s="1115">
        <f t="shared" si="122"/>
        <v>434.09017990275322</v>
      </c>
    </row>
    <row r="193" spans="2:16" ht="18.5">
      <c r="B193" s="1111" t="s">
        <v>208</v>
      </c>
      <c r="C193" s="1112" t="s">
        <v>704</v>
      </c>
      <c r="D193" s="1113"/>
      <c r="E193" s="1114">
        <f>E174</f>
        <v>453.73174571865377</v>
      </c>
      <c r="F193" s="1114">
        <f t="shared" ref="F193:P193" si="123">F174</f>
        <v>468.01026929193426</v>
      </c>
      <c r="G193" s="1114">
        <f t="shared" si="123"/>
        <v>473.59341158099141</v>
      </c>
      <c r="H193" s="1114">
        <f t="shared" si="123"/>
        <v>515.58677045255945</v>
      </c>
      <c r="I193" s="1114">
        <f t="shared" si="123"/>
        <v>514.3967124041003</v>
      </c>
      <c r="J193" s="1114">
        <f t="shared" si="123"/>
        <v>490.31131590218678</v>
      </c>
      <c r="K193" s="1114">
        <f t="shared" si="123"/>
        <v>481.45164171615426</v>
      </c>
      <c r="L193" s="1114">
        <f t="shared" si="123"/>
        <v>473.46203525254867</v>
      </c>
      <c r="M193" s="1114">
        <f t="shared" si="123"/>
        <v>470.0669450363676</v>
      </c>
      <c r="N193" s="1114">
        <f t="shared" si="123"/>
        <v>467.30115488282155</v>
      </c>
      <c r="O193" s="1114">
        <f t="shared" si="123"/>
        <v>469.40734129626912</v>
      </c>
      <c r="P193" s="1115">
        <f t="shared" si="123"/>
        <v>475.46257713887883</v>
      </c>
    </row>
    <row r="194" spans="2:16" ht="18.5">
      <c r="B194" s="1116" t="s">
        <v>152</v>
      </c>
      <c r="C194" s="1117" t="s">
        <v>705</v>
      </c>
      <c r="D194" s="1118"/>
      <c r="E194" s="1119">
        <f>E175</f>
        <v>644.84770000000003</v>
      </c>
      <c r="F194" s="1119">
        <f t="shared" ref="F194:P194" si="124">F175</f>
        <v>690.85709999999995</v>
      </c>
      <c r="G194" s="1119">
        <f t="shared" si="124"/>
        <v>667.42579999999998</v>
      </c>
      <c r="H194" s="1119">
        <f t="shared" si="124"/>
        <v>600.21860000000004</v>
      </c>
      <c r="I194" s="1119">
        <f t="shared" si="124"/>
        <v>548.09709999999995</v>
      </c>
      <c r="J194" s="1119">
        <f t="shared" si="124"/>
        <v>590.12829999999997</v>
      </c>
      <c r="K194" s="1119">
        <f t="shared" si="124"/>
        <v>665.17139999999995</v>
      </c>
      <c r="L194" s="1119">
        <f t="shared" si="124"/>
        <v>657.62400000000002</v>
      </c>
      <c r="M194" s="1119">
        <f t="shared" si="124"/>
        <v>653.42740000000003</v>
      </c>
      <c r="N194" s="1119">
        <f t="shared" si="124"/>
        <v>631.32920000000001</v>
      </c>
      <c r="O194" s="1119">
        <f t="shared" si="124"/>
        <v>642.13260000000002</v>
      </c>
      <c r="P194" s="1120">
        <f t="shared" si="124"/>
        <v>655.43600000000004</v>
      </c>
    </row>
    <row r="195" spans="2:16" ht="18.5">
      <c r="B195" s="1116" t="s">
        <v>703</v>
      </c>
      <c r="C195" s="1117" t="s">
        <v>704</v>
      </c>
      <c r="D195" s="1118"/>
      <c r="E195" s="1119">
        <f>E176</f>
        <v>499.24312499999996</v>
      </c>
      <c r="F195" s="1119">
        <f t="shared" ref="F195:P195" si="125">F176</f>
        <v>492.64499999999998</v>
      </c>
      <c r="G195" s="1119">
        <f t="shared" si="125"/>
        <v>514.3153125</v>
      </c>
      <c r="H195" s="1119">
        <f t="shared" si="125"/>
        <v>551.64</v>
      </c>
      <c r="I195" s="1119">
        <f t="shared" si="125"/>
        <v>532.49250000000006</v>
      </c>
      <c r="J195" s="1119">
        <f t="shared" si="125"/>
        <v>509.46375</v>
      </c>
      <c r="K195" s="1119">
        <f t="shared" si="125"/>
        <v>498.85499999999996</v>
      </c>
      <c r="L195" s="1119">
        <f t="shared" si="125"/>
        <v>487.05599999999998</v>
      </c>
      <c r="M195" s="1119">
        <f t="shared" si="125"/>
        <v>478.15499999999997</v>
      </c>
      <c r="N195" s="1119">
        <f t="shared" si="125"/>
        <v>471.53099999999995</v>
      </c>
      <c r="O195" s="1119">
        <f t="shared" si="125"/>
        <v>472.98</v>
      </c>
      <c r="P195" s="1120">
        <f t="shared" si="125"/>
        <v>479.81099999999998</v>
      </c>
    </row>
    <row r="196" spans="2:16" ht="18.5">
      <c r="B196" s="1102"/>
      <c r="C196" s="1098"/>
      <c r="D196" s="1097"/>
      <c r="E196" s="1099"/>
      <c r="F196" s="1099"/>
      <c r="G196" s="1099"/>
      <c r="H196" s="1099"/>
      <c r="I196" s="1099"/>
      <c r="J196" s="1099"/>
      <c r="K196" s="1099"/>
      <c r="L196" s="1099"/>
      <c r="M196" s="1099"/>
      <c r="N196" s="1099"/>
      <c r="O196" s="1099"/>
      <c r="P196" s="1103"/>
    </row>
    <row r="197" spans="2:16" ht="21">
      <c r="B197" s="1102"/>
      <c r="C197" s="1096" t="s">
        <v>706</v>
      </c>
      <c r="D197" s="1097"/>
      <c r="E197" s="1128">
        <f>E178</f>
        <v>44197</v>
      </c>
      <c r="F197" s="1128">
        <f t="shared" ref="F197:P197" si="126">F178</f>
        <v>44228</v>
      </c>
      <c r="G197" s="1128">
        <f t="shared" si="126"/>
        <v>44256</v>
      </c>
      <c r="H197" s="1128">
        <f t="shared" si="126"/>
        <v>44287</v>
      </c>
      <c r="I197" s="1128">
        <f t="shared" si="126"/>
        <v>44317</v>
      </c>
      <c r="J197" s="1128">
        <f t="shared" si="126"/>
        <v>44348</v>
      </c>
      <c r="K197" s="1128">
        <f t="shared" si="126"/>
        <v>44378</v>
      </c>
      <c r="L197" s="1128">
        <f t="shared" si="126"/>
        <v>44409</v>
      </c>
      <c r="M197" s="1128">
        <f t="shared" si="126"/>
        <v>44440</v>
      </c>
      <c r="N197" s="1128">
        <f t="shared" si="126"/>
        <v>44470</v>
      </c>
      <c r="O197" s="1128">
        <f t="shared" si="126"/>
        <v>44501</v>
      </c>
      <c r="P197" s="1129">
        <f t="shared" si="126"/>
        <v>44531</v>
      </c>
    </row>
    <row r="198" spans="2:16" ht="18.5">
      <c r="B198" s="1111" t="s">
        <v>208</v>
      </c>
      <c r="C198" s="1112" t="s">
        <v>705</v>
      </c>
      <c r="D198" s="1113"/>
      <c r="E198" s="1122">
        <f>E179</f>
        <v>2534.5555129400996</v>
      </c>
      <c r="F198" s="1122">
        <f t="shared" ref="F198:P198" si="127">F179</f>
        <v>2314.4397555729997</v>
      </c>
      <c r="G198" s="1122">
        <f t="shared" si="127"/>
        <v>2592.4884225897003</v>
      </c>
      <c r="H198" s="1122">
        <f t="shared" si="127"/>
        <v>2559.1064255481997</v>
      </c>
      <c r="I198" s="1122">
        <f t="shared" si="127"/>
        <v>2937.6197382833002</v>
      </c>
      <c r="J198" s="1122">
        <f t="shared" si="127"/>
        <v>2649.4105382506004</v>
      </c>
      <c r="K198" s="1122">
        <f t="shared" si="127"/>
        <v>1890.2411820146556</v>
      </c>
      <c r="L198" s="1122">
        <f t="shared" si="127"/>
        <v>2462.4154322321642</v>
      </c>
      <c r="M198" s="1122">
        <f t="shared" si="127"/>
        <v>2203.6144981615289</v>
      </c>
      <c r="N198" s="1122">
        <f t="shared" si="127"/>
        <v>1902.8136272046802</v>
      </c>
      <c r="O198" s="1122">
        <f t="shared" si="127"/>
        <v>2377.0202934293347</v>
      </c>
      <c r="P198" s="1123">
        <f t="shared" si="127"/>
        <v>2480.979441956571</v>
      </c>
    </row>
    <row r="199" spans="2:16" ht="18.5">
      <c r="B199" s="1111" t="s">
        <v>208</v>
      </c>
      <c r="C199" s="1112" t="s">
        <v>704</v>
      </c>
      <c r="D199" s="1113"/>
      <c r="E199" s="1122">
        <f>E186</f>
        <v>2718.3085170585268</v>
      </c>
      <c r="F199" s="1122">
        <f t="shared" ref="F199:P199" si="128">F186</f>
        <v>2560.2221853272476</v>
      </c>
      <c r="G199" s="1122">
        <f t="shared" si="128"/>
        <v>2832.4399833740017</v>
      </c>
      <c r="H199" s="1122">
        <f t="shared" si="128"/>
        <v>2646.3664630175676</v>
      </c>
      <c r="I199" s="1122">
        <f t="shared" si="128"/>
        <v>3039.305680506804</v>
      </c>
      <c r="J199" s="1122">
        <f t="shared" si="128"/>
        <v>2848.4168121322996</v>
      </c>
      <c r="K199" s="1122">
        <f t="shared" si="128"/>
        <v>2075.757569386964</v>
      </c>
      <c r="L199" s="1122">
        <f t="shared" si="128"/>
        <v>2727.7094774969833</v>
      </c>
      <c r="M199" s="1122">
        <f t="shared" si="128"/>
        <v>2448.4460723492216</v>
      </c>
      <c r="N199" s="1122">
        <f t="shared" si="128"/>
        <v>2114.0569759894297</v>
      </c>
      <c r="O199" s="1122">
        <f t="shared" si="128"/>
        <v>2634.9122171811687</v>
      </c>
      <c r="P199" s="1123">
        <f t="shared" si="128"/>
        <v>2717.4373757211251</v>
      </c>
    </row>
    <row r="200" spans="2:16" ht="18.5">
      <c r="B200" s="1116" t="s">
        <v>703</v>
      </c>
      <c r="C200" s="1117" t="s">
        <v>705</v>
      </c>
      <c r="D200" s="1118"/>
      <c r="E200" s="1124">
        <f>E187</f>
        <v>1042.6503240761001</v>
      </c>
      <c r="F200" s="1124">
        <f t="shared" ref="F200:P200" si="129">F187</f>
        <v>812.86166853120005</v>
      </c>
      <c r="G200" s="1124">
        <f t="shared" si="129"/>
        <v>1015.954953658</v>
      </c>
      <c r="H200" s="1124">
        <f t="shared" si="129"/>
        <v>610.18322005900006</v>
      </c>
      <c r="I200" s="1124">
        <f t="shared" si="129"/>
        <v>1070.8775485254</v>
      </c>
      <c r="J200" s="1124">
        <f t="shared" si="129"/>
        <v>1120.8764256387999</v>
      </c>
      <c r="K200" s="1124">
        <f t="shared" si="129"/>
        <v>1764.7529739752727</v>
      </c>
      <c r="L200" s="1124">
        <f t="shared" si="129"/>
        <v>1110.1068572564516</v>
      </c>
      <c r="M200" s="1124">
        <f t="shared" si="129"/>
        <v>1063.310184702704</v>
      </c>
      <c r="N200" s="1124">
        <f t="shared" si="129"/>
        <v>1062.4512461511222</v>
      </c>
      <c r="O200" s="1124">
        <f t="shared" si="129"/>
        <v>1051.8131923065373</v>
      </c>
      <c r="P200" s="1125">
        <f t="shared" si="129"/>
        <v>1109.3909984890452</v>
      </c>
    </row>
    <row r="201" spans="2:16" ht="18.5">
      <c r="B201" s="1116" t="s">
        <v>703</v>
      </c>
      <c r="C201" s="1117" t="s">
        <v>704</v>
      </c>
      <c r="D201" s="1118"/>
      <c r="E201" s="1124">
        <f>E188</f>
        <v>818.59528055976205</v>
      </c>
      <c r="F201" s="1124">
        <f t="shared" ref="F201:P201" si="130">F188</f>
        <v>586.22305368218485</v>
      </c>
      <c r="G201" s="1124">
        <f t="shared" si="130"/>
        <v>797.9147348793457</v>
      </c>
      <c r="H201" s="1124">
        <f t="shared" si="130"/>
        <v>573.02427009355472</v>
      </c>
      <c r="I201" s="1124">
        <f t="shared" si="130"/>
        <v>1058.2165054624747</v>
      </c>
      <c r="J201" s="1124">
        <f t="shared" si="130"/>
        <v>976.2273372365396</v>
      </c>
      <c r="K201" s="1124">
        <f t="shared" si="130"/>
        <v>1323.5022233999998</v>
      </c>
      <c r="L201" s="1124">
        <f t="shared" si="130"/>
        <v>820.29971520000004</v>
      </c>
      <c r="M201" s="1124">
        <f t="shared" si="130"/>
        <v>776.26073474999998</v>
      </c>
      <c r="N201" s="1124">
        <f t="shared" si="130"/>
        <v>793.53008927999986</v>
      </c>
      <c r="O201" s="1124">
        <f t="shared" si="130"/>
        <v>774.74123999999995</v>
      </c>
      <c r="P201" s="1125">
        <f t="shared" si="130"/>
        <v>812.12809859999993</v>
      </c>
    </row>
    <row r="202" spans="2:16" ht="18.5">
      <c r="B202" s="1102" t="s">
        <v>177</v>
      </c>
      <c r="C202" s="1098" t="s">
        <v>705</v>
      </c>
      <c r="D202" s="1097"/>
      <c r="E202" s="1100">
        <f>E198+E200</f>
        <v>3577.2058370161994</v>
      </c>
      <c r="F202" s="1100">
        <f t="shared" ref="F202:P202" si="131">F198+F200</f>
        <v>3127.3014241041997</v>
      </c>
      <c r="G202" s="1100">
        <f t="shared" si="131"/>
        <v>3608.4433762477001</v>
      </c>
      <c r="H202" s="1100">
        <f t="shared" si="131"/>
        <v>3169.2896456071999</v>
      </c>
      <c r="I202" s="1100">
        <f t="shared" si="131"/>
        <v>4008.4972868087002</v>
      </c>
      <c r="J202" s="1100">
        <f t="shared" si="131"/>
        <v>3770.2869638894003</v>
      </c>
      <c r="K202" s="1100">
        <f t="shared" si="131"/>
        <v>3654.994155989928</v>
      </c>
      <c r="L202" s="1100">
        <f t="shared" si="131"/>
        <v>3572.5222894886156</v>
      </c>
      <c r="M202" s="1100">
        <f t="shared" si="131"/>
        <v>3266.9246828642326</v>
      </c>
      <c r="N202" s="1100">
        <f t="shared" si="131"/>
        <v>2965.2648733558026</v>
      </c>
      <c r="O202" s="1100">
        <f t="shared" si="131"/>
        <v>3428.8334857358723</v>
      </c>
      <c r="P202" s="1104">
        <f t="shared" si="131"/>
        <v>3590.3704404456162</v>
      </c>
    </row>
    <row r="203" spans="2:16" ht="18.5">
      <c r="B203" s="1102" t="s">
        <v>177</v>
      </c>
      <c r="C203" s="1098" t="s">
        <v>704</v>
      </c>
      <c r="D203" s="1097"/>
      <c r="E203" s="1100">
        <f>E199+E201</f>
        <v>3536.903797618289</v>
      </c>
      <c r="F203" s="1100">
        <f t="shared" ref="F203:P203" si="132">F199+F201</f>
        <v>3146.4452390094325</v>
      </c>
      <c r="G203" s="1100">
        <f t="shared" si="132"/>
        <v>3630.3547182533475</v>
      </c>
      <c r="H203" s="1100">
        <f t="shared" si="132"/>
        <v>3219.3907331111222</v>
      </c>
      <c r="I203" s="1100">
        <f t="shared" si="132"/>
        <v>4097.5221859692792</v>
      </c>
      <c r="J203" s="1100">
        <f t="shared" si="132"/>
        <v>3824.644149368839</v>
      </c>
      <c r="K203" s="1100">
        <f t="shared" si="132"/>
        <v>3399.2597927869638</v>
      </c>
      <c r="L203" s="1100">
        <f t="shared" si="132"/>
        <v>3548.0091926969835</v>
      </c>
      <c r="M203" s="1100">
        <f t="shared" si="132"/>
        <v>3224.7068070992218</v>
      </c>
      <c r="N203" s="1100">
        <f t="shared" si="132"/>
        <v>2907.5870652694293</v>
      </c>
      <c r="O203" s="1100">
        <f t="shared" si="132"/>
        <v>3409.6534571811685</v>
      </c>
      <c r="P203" s="1104">
        <f t="shared" si="132"/>
        <v>3529.5654743211253</v>
      </c>
    </row>
    <row r="204" spans="2:16" ht="19" thickBot="1">
      <c r="B204" s="1105" t="s">
        <v>495</v>
      </c>
      <c r="C204" s="1106" t="s">
        <v>713</v>
      </c>
      <c r="D204" s="1107"/>
      <c r="E204" s="1108">
        <f>E202-E203</f>
        <v>40.302039397910448</v>
      </c>
      <c r="F204" s="1108">
        <f t="shared" ref="F204:P204" si="133">F202-F203</f>
        <v>-19.14381490523283</v>
      </c>
      <c r="G204" s="1108">
        <f t="shared" si="133"/>
        <v>-21.911342005647384</v>
      </c>
      <c r="H204" s="1108">
        <f t="shared" si="133"/>
        <v>-50.101087503922372</v>
      </c>
      <c r="I204" s="1108">
        <f t="shared" si="133"/>
        <v>-89.024899160579025</v>
      </c>
      <c r="J204" s="1108">
        <f t="shared" si="133"/>
        <v>-54.357185479438613</v>
      </c>
      <c r="K204" s="1108">
        <f t="shared" si="133"/>
        <v>255.73436320296423</v>
      </c>
      <c r="L204" s="1108">
        <f t="shared" si="133"/>
        <v>24.513096791632051</v>
      </c>
      <c r="M204" s="1108">
        <f t="shared" si="133"/>
        <v>42.217875765010831</v>
      </c>
      <c r="N204" s="1108">
        <f t="shared" si="133"/>
        <v>57.677808086373261</v>
      </c>
      <c r="O204" s="1108">
        <f t="shared" si="133"/>
        <v>19.180028554703767</v>
      </c>
      <c r="P204" s="1109">
        <f t="shared" si="133"/>
        <v>60.804966124490875</v>
      </c>
    </row>
  </sheetData>
  <mergeCells count="7">
    <mergeCell ref="B157:C157"/>
    <mergeCell ref="B161:C161"/>
    <mergeCell ref="T40:U40"/>
    <mergeCell ref="T68:U68"/>
    <mergeCell ref="B1:B2"/>
    <mergeCell ref="C1:C2"/>
    <mergeCell ref="D1:P1"/>
  </mergeCells>
  <phoneticPr fontId="162" type="noConversion"/>
  <conditionalFormatting sqref="E153:P154">
    <cfRule type="cellIs" dxfId="185" priority="2" operator="lessThan">
      <formula>0</formula>
    </cfRule>
  </conditionalFormatting>
  <conditionalFormatting sqref="E204:P204">
    <cfRule type="cellIs" dxfId="184" priority="1" operator="greaterThan">
      <formula>0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O20"/>
  <sheetViews>
    <sheetView topLeftCell="B1" zoomScaleNormal="100" workbookViewId="0">
      <selection activeCell="H3" sqref="H3"/>
    </sheetView>
  </sheetViews>
  <sheetFormatPr defaultRowHeight="14.5"/>
  <cols>
    <col min="1" max="1" width="17" customWidth="1"/>
    <col min="2" max="2" width="17.90625" customWidth="1"/>
    <col min="3" max="14" width="17.08984375" customWidth="1"/>
  </cols>
  <sheetData>
    <row r="1" spans="1:15">
      <c r="C1" s="43" t="s">
        <v>579</v>
      </c>
      <c r="D1" s="43" t="s">
        <v>580</v>
      </c>
      <c r="E1" s="43" t="s">
        <v>581</v>
      </c>
      <c r="F1" s="43" t="s">
        <v>582</v>
      </c>
      <c r="G1" s="43" t="s">
        <v>583</v>
      </c>
      <c r="H1" s="43" t="s">
        <v>584</v>
      </c>
      <c r="I1" s="43" t="s">
        <v>585</v>
      </c>
      <c r="J1" s="43" t="s">
        <v>586</v>
      </c>
      <c r="K1" s="43" t="s">
        <v>587</v>
      </c>
      <c r="L1" s="43" t="s">
        <v>588</v>
      </c>
      <c r="M1" s="43" t="s">
        <v>589</v>
      </c>
      <c r="N1" s="43" t="s">
        <v>590</v>
      </c>
    </row>
    <row r="2" spans="1:15" s="153" customFormat="1">
      <c r="A2" s="1337" t="s">
        <v>671</v>
      </c>
      <c r="B2" s="153" t="s">
        <v>675</v>
      </c>
      <c r="C2" s="1035">
        <f>SUM(C3:C4)</f>
        <v>199386.96599999999</v>
      </c>
      <c r="D2" s="1035">
        <f t="shared" ref="D2:N2" si="0">SUM(D3:D4)</f>
        <v>176164.29800000001</v>
      </c>
      <c r="E2" s="1035">
        <f t="shared" si="0"/>
        <v>207920.81900000002</v>
      </c>
      <c r="F2" s="1035">
        <f t="shared" si="0"/>
        <v>198154.08799999999</v>
      </c>
      <c r="G2" s="1035">
        <f t="shared" si="0"/>
        <v>221963.45</v>
      </c>
      <c r="H2" s="1035">
        <f t="shared" si="0"/>
        <v>219703.75300000003</v>
      </c>
      <c r="I2" s="1035">
        <f t="shared" si="0"/>
        <v>268475.78031</v>
      </c>
      <c r="J2" s="1035">
        <f t="shared" si="0"/>
        <v>202182.64504999999</v>
      </c>
      <c r="K2" s="1035">
        <f t="shared" si="0"/>
        <v>200156.45454000001</v>
      </c>
      <c r="L2" s="1035">
        <f t="shared" si="0"/>
        <v>201563.17173</v>
      </c>
      <c r="M2" s="1035">
        <f t="shared" si="0"/>
        <v>200543.78417</v>
      </c>
      <c r="N2" s="1035">
        <f t="shared" si="0"/>
        <v>203772.7873</v>
      </c>
    </row>
    <row r="3" spans="1:15" s="153" customFormat="1">
      <c r="A3" s="1337"/>
      <c r="B3" s="153" t="s">
        <v>670</v>
      </c>
      <c r="C3" s="1040">
        <f>Delivery!E69</f>
        <v>32630.183000000001</v>
      </c>
      <c r="D3" s="1040">
        <f>Delivery!F69</f>
        <v>38408.505000000005</v>
      </c>
      <c r="E3" s="1040">
        <f>Delivery!G69</f>
        <v>36128.063999999998</v>
      </c>
      <c r="F3" s="1040">
        <f>Delivery!H69</f>
        <v>50510.569000000003</v>
      </c>
      <c r="G3" s="1040">
        <f>Delivery!I69</f>
        <v>69287.684999999998</v>
      </c>
      <c r="H3" s="1040">
        <f>Delivery!J69</f>
        <v>61316.648999999998</v>
      </c>
      <c r="I3" s="1040">
        <f>Delivery!K69</f>
        <v>69116</v>
      </c>
      <c r="J3" s="1040">
        <f>Delivery!L69</f>
        <v>36820</v>
      </c>
      <c r="K3" s="1040">
        <f>Delivery!M69</f>
        <v>36379</v>
      </c>
      <c r="L3" s="1040">
        <f>Delivery!N69</f>
        <v>36776</v>
      </c>
      <c r="M3" s="1040">
        <f>Delivery!O69</f>
        <v>36000</v>
      </c>
      <c r="N3" s="1040">
        <f>Delivery!P69</f>
        <v>37100</v>
      </c>
    </row>
    <row r="4" spans="1:15" s="153" customFormat="1">
      <c r="A4" s="1337"/>
      <c r="B4" s="153" t="s">
        <v>237</v>
      </c>
      <c r="C4" s="1040">
        <f>Delivery!E95-Delivery!E70</f>
        <v>166756.783</v>
      </c>
      <c r="D4" s="1040">
        <f>Delivery!F95-Delivery!F70</f>
        <v>137755.79300000001</v>
      </c>
      <c r="E4" s="1040">
        <f>Delivery!G95-Delivery!G70</f>
        <v>171792.755</v>
      </c>
      <c r="F4" s="1040">
        <f>Delivery!H95-Delivery!H70</f>
        <v>147643.519</v>
      </c>
      <c r="G4" s="1040">
        <f>Delivery!I95-Delivery!I70</f>
        <v>152675.76500000001</v>
      </c>
      <c r="H4" s="1040">
        <f>Delivery!J95-Delivery!J70</f>
        <v>158387.10400000002</v>
      </c>
      <c r="I4" s="1040">
        <f>Delivery!K95-Delivery!K70</f>
        <v>199359.78031</v>
      </c>
      <c r="J4" s="1040">
        <f>Delivery!L95-Delivery!L70</f>
        <v>165362.64504999999</v>
      </c>
      <c r="K4" s="1040">
        <f>Delivery!M95-Delivery!M70</f>
        <v>163777.45454000001</v>
      </c>
      <c r="L4" s="1040">
        <f>Delivery!N95-Delivery!N70</f>
        <v>164787.17173</v>
      </c>
      <c r="M4" s="1040">
        <f>Delivery!O95-Delivery!O70</f>
        <v>164543.78417</v>
      </c>
      <c r="N4" s="1040">
        <f>Delivery!P95-Delivery!P70</f>
        <v>166672.7873</v>
      </c>
    </row>
    <row r="5" spans="1:15">
      <c r="A5" s="1336" t="s">
        <v>576</v>
      </c>
      <c r="B5" t="s">
        <v>669</v>
      </c>
      <c r="C5" s="1039">
        <f>SUMPRODUCT(C3:C4,C6:C7)/C2</f>
        <v>487.34359536464075</v>
      </c>
      <c r="D5" s="1039">
        <f t="shared" ref="D5:N5" si="1">SUMPRODUCT(D3:D4,D6:D7)/D2</f>
        <v>488.47675474780544</v>
      </c>
      <c r="E5" s="1039">
        <f t="shared" si="1"/>
        <v>485.52365128084682</v>
      </c>
      <c r="F5" s="1039">
        <f t="shared" si="1"/>
        <v>463.66698519417127</v>
      </c>
      <c r="G5" s="1039">
        <f t="shared" si="1"/>
        <v>467.95314896586547</v>
      </c>
      <c r="H5" s="1039">
        <f t="shared" si="1"/>
        <v>478.37789708704435</v>
      </c>
      <c r="I5" s="1039">
        <f t="shared" si="1"/>
        <v>454.80866494762762</v>
      </c>
      <c r="J5" s="1039">
        <f t="shared" si="1"/>
        <v>433.90069847078615</v>
      </c>
      <c r="K5" s="1039">
        <f t="shared" si="1"/>
        <v>438.16437187291729</v>
      </c>
      <c r="L5" s="1039">
        <f t="shared" si="1"/>
        <v>438.78420329120416</v>
      </c>
      <c r="M5" s="1039">
        <f t="shared" si="1"/>
        <v>442.8018256815426</v>
      </c>
      <c r="N5" s="1039">
        <f t="shared" si="1"/>
        <v>445.79550319405183</v>
      </c>
    </row>
    <row r="6" spans="1:15">
      <c r="A6" s="1336"/>
      <c r="B6" t="s">
        <v>670</v>
      </c>
      <c r="C6" s="1039">
        <f>Price!E69</f>
        <v>629.84613026104864</v>
      </c>
      <c r="D6" s="1039">
        <f>Price!F69</f>
        <v>591.41372204599395</v>
      </c>
      <c r="E6" s="1039">
        <f>Price!G69</f>
        <v>630.86746537756903</v>
      </c>
      <c r="F6" s="1039">
        <f>Price!H69</f>
        <v>525.60176774942533</v>
      </c>
      <c r="G6" s="1039">
        <f>Price!I69</f>
        <v>527.97993421401225</v>
      </c>
      <c r="H6" s="1039">
        <f>Price!J69</f>
        <v>576.77841731749652</v>
      </c>
      <c r="I6" s="1039">
        <f>Price!K69</f>
        <v>659.73831651873797</v>
      </c>
      <c r="J6" s="1039">
        <f>Price!L69</f>
        <v>649.72553581065699</v>
      </c>
      <c r="K6" s="1039">
        <f>Price!M69</f>
        <v>644.92433153807031</v>
      </c>
      <c r="L6" s="1039">
        <f>Price!N69</f>
        <v>620.20811927264356</v>
      </c>
      <c r="M6" s="1039">
        <f>Price!O69</f>
        <v>630.28821065420118</v>
      </c>
      <c r="N6" s="1039">
        <f>Price!P69</f>
        <v>643.47354257775851</v>
      </c>
    </row>
    <row r="7" spans="1:15">
      <c r="A7" s="1336"/>
      <c r="B7" t="s">
        <v>237</v>
      </c>
      <c r="C7" s="1039">
        <f>Price!E95</f>
        <v>459.45936955996279</v>
      </c>
      <c r="D7" s="1039">
        <f>Price!F95</f>
        <v>459.77629187030374</v>
      </c>
      <c r="E7" s="1039">
        <f>Price!G95</f>
        <v>454.95780688484501</v>
      </c>
      <c r="F7" s="1039">
        <f>Price!H95</f>
        <v>442.47837407906258</v>
      </c>
      <c r="G7" s="1039">
        <f>Price!I95</f>
        <v>440.71164807778246</v>
      </c>
      <c r="H7" s="1039">
        <f>Price!J95</f>
        <v>440.28394872879903</v>
      </c>
      <c r="I7" s="1039">
        <f>Price!K95</f>
        <v>383.76164746012694</v>
      </c>
      <c r="J7" s="1039">
        <f>Price!L95</f>
        <v>385.84467887548249</v>
      </c>
      <c r="K7" s="1039">
        <f>Price!M95</f>
        <v>392.23790052932009</v>
      </c>
      <c r="L7" s="1039">
        <f>Price!N95</f>
        <v>398.29533595955655</v>
      </c>
      <c r="M7" s="1039">
        <f>Price!O95</f>
        <v>401.78228858348729</v>
      </c>
      <c r="N7" s="1039">
        <f>Price!P95</f>
        <v>401.79398753009963</v>
      </c>
    </row>
    <row r="8" spans="1:15">
      <c r="A8" s="1337" t="s">
        <v>671</v>
      </c>
      <c r="B8" s="153" t="s">
        <v>676</v>
      </c>
      <c r="C8" s="969">
        <f>SUM(C9:C10)</f>
        <v>81204.012999999992</v>
      </c>
      <c r="D8" s="969">
        <f t="shared" ref="D8:N8" si="2">SUM(D9:D10)</f>
        <v>83571.866999999998</v>
      </c>
      <c r="E8" s="969">
        <f t="shared" si="2"/>
        <v>105717.125</v>
      </c>
      <c r="F8" s="969">
        <f t="shared" si="2"/>
        <v>67361.736000000004</v>
      </c>
      <c r="G8" s="969">
        <f t="shared" si="2"/>
        <v>101903.201</v>
      </c>
      <c r="H8" s="969">
        <f t="shared" si="2"/>
        <v>106643.09599999999</v>
      </c>
      <c r="I8" s="969">
        <f t="shared" si="2"/>
        <v>72035</v>
      </c>
      <c r="J8" s="969">
        <f t="shared" si="2"/>
        <v>81436</v>
      </c>
      <c r="K8" s="969">
        <f t="shared" si="2"/>
        <v>75789</v>
      </c>
      <c r="L8" s="969">
        <f t="shared" si="2"/>
        <v>57247</v>
      </c>
      <c r="M8" s="969">
        <f t="shared" si="2"/>
        <v>85128</v>
      </c>
      <c r="N8" s="969">
        <f t="shared" si="2"/>
        <v>95556</v>
      </c>
    </row>
    <row r="9" spans="1:15">
      <c r="A9" s="1337"/>
      <c r="B9" s="153" t="s">
        <v>673</v>
      </c>
      <c r="C9" s="969">
        <f>SUM(Delivery!E38:E48)</f>
        <v>80656.752999999997</v>
      </c>
      <c r="D9" s="969">
        <f>SUM(Delivery!F38:F48)</f>
        <v>82979.146999999997</v>
      </c>
      <c r="E9" s="969">
        <f>SUM(Delivery!G38:G48)</f>
        <v>105035.095</v>
      </c>
      <c r="F9" s="969">
        <f>SUM(Delivery!H38:H48)</f>
        <v>66858.156000000003</v>
      </c>
      <c r="G9" s="969">
        <f>SUM(Delivery!I38:I48)</f>
        <v>101257.391</v>
      </c>
      <c r="H9" s="969">
        <f>SUM(Delivery!J38:J48)</f>
        <v>106067.59599999999</v>
      </c>
      <c r="I9" s="969">
        <f>SUM(Delivery!K38:K48)</f>
        <v>71435</v>
      </c>
      <c r="J9" s="969">
        <f>SUM(Delivery!L38:L48)</f>
        <v>80836</v>
      </c>
      <c r="K9" s="969">
        <f>SUM(Delivery!M38:M48)</f>
        <v>75189</v>
      </c>
      <c r="L9" s="969">
        <f>SUM(Delivery!N38:N48)</f>
        <v>56647</v>
      </c>
      <c r="M9" s="969">
        <f>SUM(Delivery!O38:O48)</f>
        <v>84528</v>
      </c>
      <c r="N9" s="969">
        <f>SUM(Delivery!P38:P48)</f>
        <v>94956</v>
      </c>
    </row>
    <row r="10" spans="1:15">
      <c r="A10" s="1337"/>
      <c r="B10" s="153" t="s">
        <v>674</v>
      </c>
      <c r="C10" s="969">
        <f>Delivery!E49</f>
        <v>547.26</v>
      </c>
      <c r="D10" s="969">
        <f>Delivery!F49</f>
        <v>592.72</v>
      </c>
      <c r="E10" s="969">
        <f>Delivery!G49</f>
        <v>682.03</v>
      </c>
      <c r="F10" s="969">
        <f>Delivery!H49</f>
        <v>503.58</v>
      </c>
      <c r="G10" s="969">
        <f>Delivery!I49</f>
        <v>645.80999999999995</v>
      </c>
      <c r="H10" s="969">
        <f>Delivery!J49</f>
        <v>575.5</v>
      </c>
      <c r="I10" s="969">
        <f>Delivery!K49</f>
        <v>600</v>
      </c>
      <c r="J10" s="969">
        <f>Delivery!L49</f>
        <v>600</v>
      </c>
      <c r="K10" s="969">
        <f>Delivery!M49</f>
        <v>600</v>
      </c>
      <c r="L10" s="969">
        <f>Delivery!N49</f>
        <v>600</v>
      </c>
      <c r="M10" s="969">
        <f>Delivery!O49</f>
        <v>600</v>
      </c>
      <c r="N10" s="969">
        <f>Delivery!P49</f>
        <v>600</v>
      </c>
    </row>
    <row r="11" spans="1:15">
      <c r="A11" s="1336" t="s">
        <v>576</v>
      </c>
      <c r="B11" t="s">
        <v>672</v>
      </c>
      <c r="C11" s="1039">
        <f>Price!E52</f>
        <v>577.45529983971892</v>
      </c>
      <c r="D11" s="1039">
        <f>Price!F52</f>
        <v>620.16063588291456</v>
      </c>
      <c r="E11" s="1039">
        <f>Price!G52</f>
        <v>609.00122851419621</v>
      </c>
      <c r="F11" s="1039">
        <f>Price!H52</f>
        <v>579.30723329140585</v>
      </c>
      <c r="G11" s="1039">
        <f>Price!I52</f>
        <v>542.12053138621729</v>
      </c>
      <c r="H11" s="1039">
        <f>Price!J52</f>
        <v>576.67474001170683</v>
      </c>
      <c r="I11" s="1039">
        <f>Price!K52</f>
        <v>662.69044709671857</v>
      </c>
      <c r="J11" s="1039">
        <f>Price!L52</f>
        <v>602.62513626901648</v>
      </c>
      <c r="K11" s="1039">
        <f>Price!M52</f>
        <v>575.30457893970743</v>
      </c>
      <c r="L11" s="1039">
        <f>Price!N52</f>
        <v>533.08332746903807</v>
      </c>
      <c r="M11" s="1039">
        <f>Price!O52</f>
        <v>573.46661688848121</v>
      </c>
      <c r="N11" s="1039">
        <f>Price!P52</f>
        <v>590.03729492804257</v>
      </c>
    </row>
    <row r="12" spans="1:15">
      <c r="A12" s="1336"/>
      <c r="B12" t="s">
        <v>673</v>
      </c>
      <c r="C12" s="1039">
        <f>SUMPRODUCT(Price!E38:E48,Delivery!E38:E48)/SUM(Delivery!E38:E48)</f>
        <v>585.10769416826258</v>
      </c>
      <c r="D12" s="1039">
        <f>SUMPRODUCT(Price!F38:F48,Delivery!F38:F48)/SUM(Delivery!F38:F48)</f>
        <v>628.94908452438324</v>
      </c>
      <c r="E12" s="1039">
        <f>SUMPRODUCT(Price!G38:G48,Delivery!G38:G48)/SUM(Delivery!G38:G48)</f>
        <v>616.9436751330328</v>
      </c>
      <c r="F12" s="1039">
        <f>SUMPRODUCT(Price!H38:H48,Delivery!H38:H48)/SUM(Delivery!H38:H48)</f>
        <v>486.47091126901563</v>
      </c>
      <c r="G12" s="1039">
        <f>SUMPRODUCT(Price!I38:I48,Delivery!I38:I48)/SUM(Delivery!I38:I48)</f>
        <v>542.63673856348873</v>
      </c>
      <c r="H12" s="1039">
        <f>SUMPRODUCT(Price!J38:J48,Delivery!J38:J48)/SUM(Delivery!J38:J48)</f>
        <v>577.44610625499661</v>
      </c>
      <c r="I12" s="1039">
        <f>SUMPRODUCT(Price!K38:K48,Delivery!K38:K48)/SUM(Delivery!K38:K48)</f>
        <v>664.55551708161897</v>
      </c>
      <c r="J12" s="1039">
        <f>SUMPRODUCT(Price!L38:L48,Delivery!L38:L48)/SUM(Delivery!L38:L48)</f>
        <v>603.80173417752826</v>
      </c>
      <c r="K12" s="1039">
        <f>SUMPRODUCT(Price!M38:M48,Delivery!M38:M48)/SUM(Delivery!M38:M48)</f>
        <v>576.32224981289244</v>
      </c>
      <c r="L12" s="1039">
        <f>SUMPRODUCT(Price!N38:N48,Delivery!N38:N48)/SUM(Delivery!N38:N48)</f>
        <v>533.95045609201873</v>
      </c>
      <c r="M12" s="1039">
        <f>SUMPRODUCT(Price!O38:O48,Delivery!O38:O48)/SUM(Delivery!O38:O48)</f>
        <v>574.30860313251287</v>
      </c>
      <c r="N12" s="1039">
        <f>SUMPRODUCT(Price!P38:P48,Delivery!P38:P48)/SUM(Delivery!P38:P48)</f>
        <v>590.89152025408032</v>
      </c>
      <c r="O12" s="910"/>
    </row>
    <row r="13" spans="1:15">
      <c r="A13" s="1336"/>
      <c r="B13" t="s">
        <v>674</v>
      </c>
      <c r="C13" s="1039">
        <f>Price!E49</f>
        <v>496.76230292648177</v>
      </c>
      <c r="D13" s="1039">
        <f>Price!F49</f>
        <v>497.16492861021158</v>
      </c>
      <c r="E13" s="1039">
        <f>Price!G49</f>
        <v>484.21237406026233</v>
      </c>
      <c r="F13" s="1039">
        <f>Price!H49</f>
        <v>475.72208062876956</v>
      </c>
      <c r="G13" s="1039">
        <f>Price!I49</f>
        <v>476.290596860162</v>
      </c>
      <c r="H13" s="1039">
        <f>Price!J49</f>
        <v>474.14829769864781</v>
      </c>
      <c r="I13" s="1039">
        <f>Price!K49</f>
        <v>440.63832314445796</v>
      </c>
      <c r="J13" s="1039">
        <f>Price!L49</f>
        <v>444.10602204826688</v>
      </c>
      <c r="K13" s="1039">
        <f>Price!M49</f>
        <v>447.77515346652399</v>
      </c>
      <c r="L13" s="1039">
        <f>Price!N49</f>
        <v>451.21626895906212</v>
      </c>
      <c r="M13" s="1039">
        <f>Price!O49</f>
        <v>454.84759482930264</v>
      </c>
      <c r="N13" s="1039">
        <f>Price!P49</f>
        <v>454.84759482930264</v>
      </c>
    </row>
    <row r="14" spans="1:15">
      <c r="A14" s="1337" t="s">
        <v>671</v>
      </c>
      <c r="B14" s="153" t="s">
        <v>677</v>
      </c>
      <c r="C14" s="910">
        <f>Delivery!E144</f>
        <v>56867.225999999995</v>
      </c>
      <c r="D14" s="910">
        <f>SUM(D15:D16)</f>
        <v>53256.121000000006</v>
      </c>
      <c r="E14" s="910">
        <f>Delivery!G144</f>
        <v>58227.14499999999</v>
      </c>
      <c r="F14" s="910">
        <f>Delivery!H144</f>
        <v>50113.111999999994</v>
      </c>
      <c r="G14" s="910">
        <f>Delivery!I144</f>
        <v>58487.964</v>
      </c>
      <c r="H14" s="910">
        <f>Delivery!J144</f>
        <v>56235.891000000003</v>
      </c>
      <c r="I14" s="910">
        <f>Delivery!K144</f>
        <v>41781.599999999999</v>
      </c>
      <c r="J14" s="910">
        <f>Delivery!L144</f>
        <v>53965.599999999999</v>
      </c>
      <c r="K14" s="910">
        <f>Delivery!M144</f>
        <v>48822.400000000001</v>
      </c>
      <c r="L14" s="910">
        <f>Delivery!N144</f>
        <v>45989.599999999999</v>
      </c>
      <c r="M14" s="910">
        <f>Delivery!O144</f>
        <v>50322.400000000001</v>
      </c>
      <c r="N14" s="910">
        <f>Delivery!P144</f>
        <v>52965.599999999999</v>
      </c>
    </row>
    <row r="15" spans="1:15">
      <c r="A15" s="1337"/>
      <c r="B15" s="153" t="s">
        <v>678</v>
      </c>
      <c r="C15" s="910">
        <f>SUM(Delivery!E135:E137)+Delivery!E141</f>
        <v>55666.678999999996</v>
      </c>
      <c r="D15" s="910">
        <f>SUM(Delivery!F135:F137)+Delivery!F141</f>
        <v>52027.426000000007</v>
      </c>
      <c r="E15" s="910">
        <f>SUM(Delivery!G135:G137)+Delivery!G141</f>
        <v>57027.224999999991</v>
      </c>
      <c r="F15" s="910">
        <f>SUM(Delivery!H135:H137)+Delivery!H141</f>
        <v>48911.555999999997</v>
      </c>
      <c r="G15" s="910">
        <f>SUM(Delivery!I135:I137)+Delivery!I141</f>
        <v>57289.731999999996</v>
      </c>
      <c r="H15" s="910">
        <f>SUM(Delivery!J135:J137)+Delivery!J141</f>
        <v>55033.088000000003</v>
      </c>
      <c r="I15" s="910">
        <f>SUM(Delivery!K135:K137)+Delivery!K141</f>
        <v>39384</v>
      </c>
      <c r="J15" s="910">
        <f>SUM(Delivery!L135:L137)+Delivery!L141</f>
        <v>50272</v>
      </c>
      <c r="K15" s="910">
        <f>SUM(Delivery!M135:M137)+Delivery!M141</f>
        <v>46360</v>
      </c>
      <c r="L15" s="910">
        <f>SUM(Delivery!N135:N137)+Delivery!N141</f>
        <v>42296</v>
      </c>
      <c r="M15" s="910">
        <f>SUM(Delivery!O135:O137)+Delivery!O141</f>
        <v>47860</v>
      </c>
      <c r="N15" s="910">
        <f>SUM(Delivery!P135:P137)+Delivery!P141</f>
        <v>49272</v>
      </c>
    </row>
    <row r="16" spans="1:15">
      <c r="A16" s="1337"/>
      <c r="B16" s="153" t="s">
        <v>679</v>
      </c>
      <c r="C16" s="910">
        <f>SUM(Delivery!E138:E140)</f>
        <v>1200.547</v>
      </c>
      <c r="D16" s="910">
        <f>SUM(Delivery!F138:F140)</f>
        <v>1228.6950000000002</v>
      </c>
      <c r="E16" s="910">
        <f>SUM(Delivery!G138:G140)</f>
        <v>1199.92</v>
      </c>
      <c r="F16" s="910">
        <f>SUM(Delivery!H138:H140)</f>
        <v>1201.556</v>
      </c>
      <c r="G16" s="910">
        <f>SUM(Delivery!I138:I140)</f>
        <v>1198.232</v>
      </c>
      <c r="H16" s="910">
        <f>SUM(Delivery!J138:J140)</f>
        <v>1202.8030000000001</v>
      </c>
      <c r="I16" s="910">
        <f>SUM(Delivery!K138:K140)</f>
        <v>2397.6000000000004</v>
      </c>
      <c r="J16" s="910">
        <f>SUM(Delivery!L138:L140)</f>
        <v>3693.6</v>
      </c>
      <c r="K16" s="910">
        <f>SUM(Delivery!M138:M140)</f>
        <v>2462.4</v>
      </c>
      <c r="L16" s="910">
        <f>SUM(Delivery!N138:N140)</f>
        <v>3693.6</v>
      </c>
      <c r="M16" s="910">
        <f>SUM(Delivery!O138:O140)</f>
        <v>2462.4</v>
      </c>
      <c r="N16" s="910">
        <f>SUM(Delivery!P138:P140)</f>
        <v>3693.6</v>
      </c>
    </row>
    <row r="17" spans="1:14">
      <c r="A17" s="1336" t="s">
        <v>576</v>
      </c>
      <c r="B17" t="s">
        <v>680</v>
      </c>
      <c r="C17" s="1038">
        <f>Price!E144</f>
        <v>498.54906993638735</v>
      </c>
      <c r="D17" s="1038">
        <f>Price!F144</f>
        <v>550.74076617443177</v>
      </c>
      <c r="E17" s="1038">
        <f>Price!G144</f>
        <v>578.06406251941507</v>
      </c>
      <c r="F17" s="1038">
        <f>Price!H144</f>
        <v>558.0893579802713</v>
      </c>
      <c r="G17" s="1038">
        <f>Price!I144</f>
        <v>587.95363107809203</v>
      </c>
      <c r="H17" s="1038">
        <f>Price!J144</f>
        <v>582.52418813677627</v>
      </c>
      <c r="I17" s="1038">
        <f>Price!K144</f>
        <v>620.26162578243475</v>
      </c>
      <c r="J17" s="1038">
        <f>Price!L144</f>
        <v>615.16186184077071</v>
      </c>
      <c r="K17" s="1038">
        <f>Price!M144</f>
        <v>605.53615798423516</v>
      </c>
      <c r="L17" s="1038">
        <f>Price!N144</f>
        <v>601.99492814363009</v>
      </c>
      <c r="M17" s="1038">
        <f>Price!O144</f>
        <v>596.46685944171043</v>
      </c>
      <c r="N17" s="1038">
        <f>Price!P144</f>
        <v>595.26447526987874</v>
      </c>
    </row>
    <row r="18" spans="1:14">
      <c r="A18" s="1336"/>
      <c r="B18" t="s">
        <v>678</v>
      </c>
      <c r="C18" s="1039">
        <f>(SUMPRODUCT(Price!E135:E137,Delivery!E135:E137)+SUMPRODUCT(Price!E141,Delivery!E141))/(SUM(Delivery!E135:E137,Delivery!E141))</f>
        <v>501.10300217665252</v>
      </c>
      <c r="D18" s="1039">
        <f>(SUMPRODUCT(Price!F135:F137,Delivery!F135:F137)+SUMPRODUCT(Price!F141,Delivery!F141))/(SUM(Delivery!F135:F137,Delivery!F141))</f>
        <v>552.43976871201198</v>
      </c>
      <c r="E18" s="1039">
        <f>(SUMPRODUCT(Price!G135:G137,Delivery!G135:G137)+SUMPRODUCT(Price!G141,Delivery!G141))/(SUM(Delivery!G135:G137,Delivery!G141))</f>
        <v>580.0396931292438</v>
      </c>
      <c r="F18" s="1039">
        <f>(SUMPRODUCT(Price!H135:H137,Delivery!H135:H137)+(Price!H141*Delivery!H141))/(SUM(Delivery!H135:H137,Delivery!H141))</f>
        <v>559.5082513364149</v>
      </c>
      <c r="G18" s="1039">
        <f>(SUMPRODUCT(Price!I135:I137,Delivery!I135:I137)+(Price!I141*Delivery!I141))/(SUM(Delivery!I135:I137,Delivery!I141))</f>
        <v>588.7014582567748</v>
      </c>
      <c r="H18" s="1039">
        <f>(SUMPRODUCT(Price!J135:J137,Delivery!J135:J137)+(Price!J141*Delivery!J141))/(SUM(Delivery!J135:J137,Delivery!J141))</f>
        <v>630.81411910092822</v>
      </c>
      <c r="I18" s="1039">
        <f>(SUMPRODUCT(Price!K135:K137,Delivery!K135:K137)+(Price!K141*Delivery!K141))/(SUM(Delivery!K135:K137,Delivery!K141))</f>
        <v>624.82148080438753</v>
      </c>
      <c r="J18" s="1039">
        <f>(SUMPRODUCT(Price!L135:L137,Delivery!L135:L137)+(Price!L141*Delivery!L141))/(SUM(Delivery!L135:L137,Delivery!L141))</f>
        <v>620.6011903246341</v>
      </c>
      <c r="K18" s="1039">
        <f>(SUMPRODUCT(Price!M135:M137,Delivery!M135:M137)+(Price!M141*Delivery!M141))/(SUM(Delivery!M135:M137,Delivery!M141))</f>
        <v>609.54508196721315</v>
      </c>
      <c r="L18" s="1039">
        <f>(SUMPRODUCT(Price!N135:N137,Delivery!N135:N137)+(Price!N141*Delivery!N141))/(SUM(Delivery!N135:N137,Delivery!N141))</f>
        <v>608.37903536977501</v>
      </c>
      <c r="M18" s="1039">
        <f>(SUMPRODUCT(Price!O135:O137,Delivery!O135:O137)+(Price!O141*Delivery!O141))/(SUM(Delivery!O135:O137,Delivery!O141))</f>
        <v>600.35583368157131</v>
      </c>
      <c r="N18" s="1039">
        <f>(SUMPRODUCT(Price!P135:P137,Delivery!P135:P137)+(Price!P141*Delivery!P141))/(SUM(Delivery!P135:P137,Delivery!P141))</f>
        <v>600.80689722357533</v>
      </c>
    </row>
    <row r="19" spans="1:14">
      <c r="A19" s="1336"/>
      <c r="B19" t="s">
        <v>679</v>
      </c>
      <c r="C19" s="1039">
        <f>SUMPRODUCT(Price!E138:E140,Delivery!E138:E140)/SUM(Delivery!E138:E140)</f>
        <v>441.19776294560546</v>
      </c>
      <c r="D19" s="1039">
        <f>SUMPRODUCT(Price!F138:F140,Delivery!F138:F140)/SUM(Delivery!F138:F140)</f>
        <v>482.94226335394552</v>
      </c>
      <c r="E19" s="1039">
        <f>SUMPRODUCT(Price!G138:G140,Delivery!G138:G140)/SUM(Delivery!G138:G140)</f>
        <v>548.40835935819814</v>
      </c>
      <c r="F19" s="1039">
        <f>SUMPRODUCT(Price!H138:H140,Delivery!H138:H140)/SUM(Delivery!H138:H140)</f>
        <v>518.26206064607049</v>
      </c>
      <c r="G19" s="1039">
        <f>SUMPRODUCT(Price!I138:I140,Delivery!I138:I140)/SUM(Delivery!I138:I140)</f>
        <v>555.9023500513498</v>
      </c>
      <c r="H19" s="1039">
        <f>SUMPRODUCT(Price!J138:J140,Delivery!J138:J140)/SUM(Delivery!J138:J140)</f>
        <v>600.99251232728511</v>
      </c>
      <c r="I19" s="1039">
        <f>SUMPRODUCT(Price!K138:K140,Delivery!K138:K140)/SUM(Delivery!K138:K140)</f>
        <v>545.35950274915706</v>
      </c>
      <c r="J19" s="1039">
        <f>SUMPRODUCT(Price!L138:L140,Delivery!L138:L140)/SUM(Delivery!L138:L140)</f>
        <v>541.12950274915715</v>
      </c>
      <c r="K19" s="1039">
        <f>SUMPRODUCT(Price!M138:M140,Delivery!M138:M140)/SUM(Delivery!M138:M140)</f>
        <v>530.05950274915722</v>
      </c>
      <c r="L19" s="1039">
        <f>SUMPRODUCT(Price!N138:N140,Delivery!N138:N140)/SUM(Delivery!N138:N140)</f>
        <v>528.88950274915715</v>
      </c>
      <c r="M19" s="1039">
        <f>SUMPRODUCT(Price!O138:O140,Delivery!O138:O140)/SUM(Delivery!O138:O140)</f>
        <v>520.87950274915715</v>
      </c>
      <c r="N19" s="1039">
        <f>SUMPRODUCT(Price!P138:P140,Delivery!P138:P140)/SUM(Delivery!P138:P140)</f>
        <v>521.3295027491572</v>
      </c>
    </row>
    <row r="20" spans="1:14">
      <c r="C20" s="910"/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O37"/>
  <sheetViews>
    <sheetView workbookViewId="0">
      <selection activeCell="B65" sqref="B65"/>
    </sheetView>
  </sheetViews>
  <sheetFormatPr defaultColWidth="9.08984375" defaultRowHeight="11.5"/>
  <cols>
    <col min="1" max="1" width="25.6328125" style="1166" customWidth="1"/>
    <col min="2" max="2" width="9.08984375" style="1166"/>
    <col min="3" max="3" width="11.08984375" style="1166" bestFit="1" customWidth="1"/>
    <col min="4" max="4" width="11.1796875" style="1166" bestFit="1" customWidth="1"/>
    <col min="5" max="5" width="11.6328125" style="1166" bestFit="1" customWidth="1"/>
    <col min="6" max="6" width="11.1796875" style="1166" bestFit="1" customWidth="1"/>
    <col min="7" max="7" width="12.1796875" style="1166" bestFit="1" customWidth="1"/>
    <col min="8" max="8" width="11.6328125" style="1166" bestFit="1" customWidth="1"/>
    <col min="9" max="10" width="11.1796875" style="1166" bestFit="1" customWidth="1"/>
    <col min="11" max="11" width="11.08984375" style="1166" bestFit="1" customWidth="1"/>
    <col min="12" max="13" width="11.1796875" style="1166" bestFit="1" customWidth="1"/>
    <col min="14" max="14" width="11.6328125" style="1166" bestFit="1" customWidth="1"/>
    <col min="15" max="15" width="11" style="1166" bestFit="1" customWidth="1"/>
    <col min="16" max="16384" width="9.08984375" style="1166"/>
  </cols>
  <sheetData>
    <row r="1" spans="1:14">
      <c r="A1" s="1163" t="s">
        <v>723</v>
      </c>
      <c r="B1" s="1163" t="s">
        <v>1</v>
      </c>
      <c r="C1" s="1164">
        <v>23377</v>
      </c>
      <c r="D1" s="1164">
        <v>23408</v>
      </c>
      <c r="E1" s="1164">
        <v>23437</v>
      </c>
      <c r="F1" s="1164">
        <v>23468</v>
      </c>
      <c r="G1" s="1164">
        <v>23498</v>
      </c>
      <c r="H1" s="1164">
        <v>23529</v>
      </c>
      <c r="I1" s="1165">
        <v>23559</v>
      </c>
      <c r="J1" s="1165">
        <v>23590</v>
      </c>
      <c r="K1" s="1165">
        <v>23621</v>
      </c>
      <c r="L1" s="1165">
        <v>23651</v>
      </c>
      <c r="M1" s="1165">
        <v>23682</v>
      </c>
      <c r="N1" s="1165">
        <v>23712</v>
      </c>
    </row>
    <row r="2" spans="1:14">
      <c r="A2" s="1167" t="s">
        <v>724</v>
      </c>
      <c r="B2" s="1167" t="s">
        <v>529</v>
      </c>
      <c r="C2" s="1168">
        <v>423.0602561447181</v>
      </c>
      <c r="D2" s="1168">
        <v>423.08108236599242</v>
      </c>
      <c r="E2" s="1168">
        <v>420.83069384908117</v>
      </c>
      <c r="F2" s="1168">
        <f>Price!X3</f>
        <v>498.5860558738612</v>
      </c>
      <c r="G2" s="1168">
        <f>Price!Y3</f>
        <v>497.18655986401052</v>
      </c>
      <c r="H2" s="1168">
        <f>Price!Z3</f>
        <v>456.05543466875059</v>
      </c>
      <c r="I2" s="1180">
        <f>Price!AA3</f>
        <v>438.42293230283587</v>
      </c>
      <c r="J2" s="1180">
        <f>Price!AB3</f>
        <v>427.41363469974385</v>
      </c>
      <c r="K2" s="1180">
        <f>Price!AC3</f>
        <v>423.06275269308674</v>
      </c>
      <c r="L2" s="1180">
        <f>Price!AD3</f>
        <v>420.60692574444772</v>
      </c>
      <c r="M2" s="1180">
        <f>Price!AE3</f>
        <v>423.46411727507774</v>
      </c>
      <c r="N2" s="1180">
        <f>Price!AF3</f>
        <v>434.09017990275322</v>
      </c>
    </row>
    <row r="3" spans="1:14">
      <c r="A3" s="1167" t="s">
        <v>725</v>
      </c>
      <c r="B3" s="1167" t="s">
        <v>529</v>
      </c>
      <c r="C3" s="1168">
        <v>584.69479827792816</v>
      </c>
      <c r="D3" s="1168">
        <v>628.0850874042186</v>
      </c>
      <c r="E3" s="1168">
        <v>616.05405437721367</v>
      </c>
      <c r="F3" s="1168">
        <f>Price!X6</f>
        <v>579.30723329140585</v>
      </c>
      <c r="G3" s="1168">
        <f>Price!Y6</f>
        <v>542.12053138621729</v>
      </c>
      <c r="H3" s="1168">
        <f>Price!Z6</f>
        <v>576.67474001170683</v>
      </c>
      <c r="I3" s="1180">
        <f>Price!AA6</f>
        <v>662.69044709671857</v>
      </c>
      <c r="J3" s="1180">
        <f>Price!AB6</f>
        <v>602.62513626901648</v>
      </c>
      <c r="K3" s="1180">
        <f>Price!AC6</f>
        <v>575.30457893970743</v>
      </c>
      <c r="L3" s="1180">
        <f>Price!AD6</f>
        <v>533.08332746903807</v>
      </c>
      <c r="M3" s="1180">
        <f>Price!AE6</f>
        <v>573.46661688848121</v>
      </c>
      <c r="N3" s="1180">
        <f>Price!AF6</f>
        <v>590.03729492804257</v>
      </c>
    </row>
    <row r="4" spans="1:14">
      <c r="A4" s="1167" t="s">
        <v>726</v>
      </c>
      <c r="B4" s="1167" t="s">
        <v>529</v>
      </c>
      <c r="C4" s="1168">
        <v>629.84613026104864</v>
      </c>
      <c r="D4" s="1168">
        <v>591.41372204599395</v>
      </c>
      <c r="E4" s="1168">
        <v>630.86746537756903</v>
      </c>
      <c r="F4" s="1168">
        <f>Price!X7</f>
        <v>525.60176774942533</v>
      </c>
      <c r="G4" s="1168">
        <f>Price!Y7</f>
        <v>527.97993421401225</v>
      </c>
      <c r="H4" s="1168">
        <f>Price!Z7</f>
        <v>576.77841731749652</v>
      </c>
      <c r="I4" s="1180">
        <f>Price!AA7</f>
        <v>659.73831651873797</v>
      </c>
      <c r="J4" s="1180">
        <f>Price!AB7</f>
        <v>649.72553581065699</v>
      </c>
      <c r="K4" s="1180">
        <f>Price!AC7</f>
        <v>644.92433153807031</v>
      </c>
      <c r="L4" s="1180">
        <f>Price!AD7</f>
        <v>620.20811927264356</v>
      </c>
      <c r="M4" s="1180">
        <f>Price!AE7</f>
        <v>630.28821065420118</v>
      </c>
      <c r="N4" s="1180">
        <f>Price!AF7</f>
        <v>643.47354257775851</v>
      </c>
    </row>
    <row r="5" spans="1:14">
      <c r="A5" s="1167" t="s">
        <v>727</v>
      </c>
      <c r="B5" s="1167" t="s">
        <v>529</v>
      </c>
      <c r="C5" s="1168">
        <v>459.45936955996279</v>
      </c>
      <c r="D5" s="1168">
        <v>459.77629187030374</v>
      </c>
      <c r="E5" s="1168">
        <v>457.67839788571774</v>
      </c>
      <c r="F5" s="1168">
        <f>Price!X8</f>
        <v>442.47837407906258</v>
      </c>
      <c r="G5" s="1168">
        <f>Price!Y8</f>
        <v>440.71164807778246</v>
      </c>
      <c r="H5" s="1168">
        <f>Price!Z8</f>
        <v>440.28394872879903</v>
      </c>
      <c r="I5" s="1180">
        <f>Price!AA8</f>
        <v>383.76164746012694</v>
      </c>
      <c r="J5" s="1180">
        <f>Price!AB8</f>
        <v>385.84467887548249</v>
      </c>
      <c r="K5" s="1180">
        <f>Price!AC8</f>
        <v>392.23790052932009</v>
      </c>
      <c r="L5" s="1180">
        <f>Price!AD8</f>
        <v>398.29533595955655</v>
      </c>
      <c r="M5" s="1180">
        <f>Price!AE8</f>
        <v>401.78228858348729</v>
      </c>
      <c r="N5" s="1180">
        <f>Price!AF8</f>
        <v>401.79398753009963</v>
      </c>
    </row>
    <row r="6" spans="1:14">
      <c r="A6" s="1167" t="s">
        <v>753</v>
      </c>
      <c r="B6" s="1167" t="s">
        <v>529</v>
      </c>
      <c r="C6" s="1168">
        <f>SUM('Revenue (Baht)'!E118:E121)/(SUM(Delivery!E118:E121)*Price!E19)</f>
        <v>457.88458717668289</v>
      </c>
      <c r="D6" s="1168">
        <f>SUM('Revenue (Baht)'!F118:F121)/(SUM(Delivery!F118:F121)*Price!F19)</f>
        <v>458.22281857841023</v>
      </c>
      <c r="E6" s="1168">
        <f>SUM('Revenue (Baht)'!G118:G121)/(SUM(Delivery!G118:G121)*Price!G19)</f>
        <v>453.82238594848337</v>
      </c>
      <c r="F6" s="1168">
        <f>SUM('Revenue (Baht)'!H118:H121)/(SUM(Delivery!H118:H121)*Price!H19)</f>
        <v>441.30658771167111</v>
      </c>
      <c r="G6" s="1168">
        <f>SUM('Revenue (Baht)'!I118:I121)/(SUM(Delivery!I118:I121)*Price!I19)</f>
        <v>440.17910964140231</v>
      </c>
      <c r="H6" s="1168">
        <f>SUM('Revenue (Baht)'!J118:J121)/(SUM(Delivery!J118:J121)*Price!J19)</f>
        <v>439.84850023234213</v>
      </c>
      <c r="I6" s="1180">
        <f>SUM('Revenue (Baht)'!K118:K121)/(SUM(Delivery!K118:K121)*Price!K19)</f>
        <v>608.62236687245797</v>
      </c>
      <c r="J6" s="1180">
        <f>SUM('Revenue (Baht)'!L118:L121)/(SUM(Delivery!L118:L121)*Price!L19)</f>
        <v>605.62905926557778</v>
      </c>
      <c r="K6" s="1180">
        <f>SUM('Revenue (Baht)'!M118:M121)/(SUM(Delivery!M118:M121)*Price!M19)</f>
        <v>603.72124178745889</v>
      </c>
      <c r="L6" s="1180">
        <f>SUM('Revenue (Baht)'!N118:N121)/(SUM(Delivery!N118:N121)*Price!N19)</f>
        <v>587.38198458650857</v>
      </c>
      <c r="M6" s="1180">
        <f>SUM('Revenue (Baht)'!O118:O121)/(SUM(Delivery!O118:O121)*Price!O19)</f>
        <v>597.75992011822882</v>
      </c>
      <c r="N6" s="1180">
        <f>SUM('Revenue (Baht)'!P118:P121)/(SUM(Delivery!P118:P121)*Price!P19)</f>
        <v>613.32682341580903</v>
      </c>
    </row>
    <row r="7" spans="1:14">
      <c r="A7" s="1167" t="s">
        <v>728</v>
      </c>
      <c r="B7" s="1167" t="s">
        <v>529</v>
      </c>
      <c r="C7" s="1168">
        <v>498.54906993638735</v>
      </c>
      <c r="D7" s="1168">
        <v>550.74076617443177</v>
      </c>
      <c r="E7" s="1168">
        <v>578.06406251941507</v>
      </c>
      <c r="F7" s="1168">
        <f>Price!X9</f>
        <v>558.0893579802713</v>
      </c>
      <c r="G7" s="1168">
        <f>Price!Y9</f>
        <v>587.95363107809203</v>
      </c>
      <c r="H7" s="1168">
        <f>Price!Z9</f>
        <v>582.52418813677627</v>
      </c>
      <c r="I7" s="1180">
        <f>Price!AA9</f>
        <v>620.26162578243475</v>
      </c>
      <c r="J7" s="1180">
        <f>Price!AB9</f>
        <v>615.16186184077071</v>
      </c>
      <c r="K7" s="1180">
        <f>Price!AC9</f>
        <v>605.53615798423516</v>
      </c>
      <c r="L7" s="1180">
        <f>Price!AD9</f>
        <v>601.99492814363009</v>
      </c>
      <c r="M7" s="1180">
        <f>Price!AE9</f>
        <v>596.46685944171043</v>
      </c>
      <c r="N7" s="1180">
        <f>Price!AF9</f>
        <v>595.26447526987874</v>
      </c>
    </row>
    <row r="8" spans="1:14">
      <c r="A8" s="1167" t="s">
        <v>729</v>
      </c>
      <c r="B8" s="1167" t="s">
        <v>529</v>
      </c>
      <c r="C8" s="1168">
        <v>413.28129999999999</v>
      </c>
      <c r="D8" s="1168">
        <v>464.63160000000005</v>
      </c>
      <c r="E8" s="1168">
        <v>493.39670000000001</v>
      </c>
      <c r="F8" s="1168">
        <f>Price!X10</f>
        <v>471.10709999999995</v>
      </c>
      <c r="G8" s="1168">
        <f>Price!Y10</f>
        <v>502.15129999999999</v>
      </c>
      <c r="H8" s="1168">
        <f>Price!Z10</f>
        <v>543.92049999999995</v>
      </c>
      <c r="I8" s="1180">
        <f>Price!AA10</f>
        <v>537.04999999999995</v>
      </c>
      <c r="J8" s="1180">
        <f>Price!AB10</f>
        <v>532.82000000000005</v>
      </c>
      <c r="K8" s="1180">
        <f>Price!AC10</f>
        <v>521.75</v>
      </c>
      <c r="L8" s="1180">
        <f>Price!AD10</f>
        <v>520.58000000000004</v>
      </c>
      <c r="M8" s="1180">
        <f>Price!AE10</f>
        <v>512.57000000000005</v>
      </c>
      <c r="N8" s="1180">
        <f>Price!AF10</f>
        <v>513.02</v>
      </c>
    </row>
    <row r="10" spans="1:14">
      <c r="A10" s="1169" t="s">
        <v>730</v>
      </c>
    </row>
    <row r="11" spans="1:14">
      <c r="A11" s="1163" t="s">
        <v>731</v>
      </c>
      <c r="B11" s="1163" t="s">
        <v>1</v>
      </c>
      <c r="C11" s="1164">
        <v>23377</v>
      </c>
      <c r="D11" s="1164">
        <v>23408</v>
      </c>
      <c r="E11" s="1164">
        <v>23437</v>
      </c>
      <c r="F11" s="1164">
        <v>23468</v>
      </c>
      <c r="G11" s="1164">
        <v>23498</v>
      </c>
      <c r="H11" s="1164">
        <v>23529</v>
      </c>
      <c r="I11" s="1165">
        <v>23559</v>
      </c>
      <c r="J11" s="1165">
        <v>23590</v>
      </c>
      <c r="K11" s="1165">
        <v>23621</v>
      </c>
      <c r="L11" s="1165">
        <v>23651</v>
      </c>
      <c r="M11" s="1165">
        <v>23682</v>
      </c>
      <c r="N11" s="1165">
        <v>23712</v>
      </c>
    </row>
    <row r="12" spans="1:14">
      <c r="A12" s="1167" t="s">
        <v>732</v>
      </c>
      <c r="B12" s="1167" t="s">
        <v>529</v>
      </c>
      <c r="C12" s="1170">
        <f>'[8]Price (2)'!C2-'[9]ชุดส่ง 2021'!D8</f>
        <v>31.882336668189851</v>
      </c>
      <c r="D12" s="1170">
        <f>D2-'[9]ชุดส่ง 2021'!D8</f>
        <v>31.90316288946417</v>
      </c>
      <c r="E12" s="1170">
        <f>E2-'[9]ชุดส่ง 2021'!E8</f>
        <v>30.405052858311763</v>
      </c>
      <c r="F12" s="1170">
        <f>F2-'COST (Baht)'!X3</f>
        <v>141.64775710353945</v>
      </c>
      <c r="G12" s="1170">
        <f>G2-'COST (Baht)'!Y3</f>
        <v>143.3445200997952</v>
      </c>
      <c r="H12" s="1170">
        <f>H2-'COST (Baht)'!Z3</f>
        <v>82.799922531865093</v>
      </c>
      <c r="I12" s="1181">
        <f>I2-'COST (Baht)'!AA3</f>
        <v>66.150629998892896</v>
      </c>
      <c r="J12" s="1181">
        <f>J2-'COST (Baht)'!AB3</f>
        <v>48.135921295467256</v>
      </c>
      <c r="K12" s="1181">
        <f>K2-'COST (Baht)'!AC3</f>
        <v>45.168939009792552</v>
      </c>
      <c r="L12" s="1181">
        <f>L2-'COST (Baht)'!AD3</f>
        <v>28.428951052204525</v>
      </c>
      <c r="M12" s="1181">
        <f>M2-'COST (Baht)'!AE3</f>
        <v>29.697899499783091</v>
      </c>
      <c r="N12" s="1181">
        <f>N2-'COST (Baht)'!AF3</f>
        <v>39.920858714299754</v>
      </c>
    </row>
    <row r="13" spans="1:14">
      <c r="A13" s="1167" t="s">
        <v>733</v>
      </c>
      <c r="B13" s="1167" t="s">
        <v>529</v>
      </c>
      <c r="C13" s="1170">
        <f>'[8]Price (2)'!C3-'[9]ชุดส่ง 2021'!D17</f>
        <v>200.36455903500064</v>
      </c>
      <c r="D13" s="1170">
        <f>D3-'[9]ชุดส่ง 2021'!D17</f>
        <v>243.75484816129108</v>
      </c>
      <c r="E13" s="1170">
        <f>E3-'[9]ชุดส่ง 2021'!E17</f>
        <v>232.45899750789363</v>
      </c>
      <c r="F13" s="1170">
        <f>F3-'COST (Baht)'!X4</f>
        <v>228.43939971895776</v>
      </c>
      <c r="G13" s="1170">
        <f>G3-'COST (Baht)'!Y4</f>
        <v>194.17320795651295</v>
      </c>
      <c r="H13" s="1170">
        <f>H3-'COST (Baht)'!Z4</f>
        <v>210.19504838373717</v>
      </c>
      <c r="I13" s="1181">
        <f>I3-'COST (Baht)'!AA4</f>
        <v>297.03468102436881</v>
      </c>
      <c r="J13" s="1181">
        <f>J3-'COST (Baht)'!AB4</f>
        <v>230.21670342157086</v>
      </c>
      <c r="K13" s="1181">
        <f>K3-'COST (Baht)'!AC4</f>
        <v>204.18192417324133</v>
      </c>
      <c r="L13" s="1181">
        <f>L3-'COST (Baht)'!AD4</f>
        <v>147.83670959227675</v>
      </c>
      <c r="M13" s="1181">
        <f>M3-'COST (Baht)'!AE4</f>
        <v>186.74741322490735</v>
      </c>
      <c r="N13" s="1181">
        <f>N3-'COST (Baht)'!AF4</f>
        <v>202.9080570326206</v>
      </c>
    </row>
    <row r="14" spans="1:14">
      <c r="A14" s="1167" t="s">
        <v>734</v>
      </c>
      <c r="B14" s="1167" t="s">
        <v>529</v>
      </c>
      <c r="C14" s="1170">
        <f>'[8]Price (2)'!C4-'[9]ชุดส่ง 2021'!D26</f>
        <v>252.36357125172179</v>
      </c>
      <c r="D14" s="1170">
        <f>D4-'[9]ชุดส่ง 2021'!D26</f>
        <v>213.9311630366671</v>
      </c>
      <c r="E14" s="1170">
        <f>E4-'[9]ชุดส่ง 2021'!E26</f>
        <v>254.10299262969835</v>
      </c>
      <c r="F14" s="1170">
        <f>F4-'COST (Baht)'!X5</f>
        <v>177.67698359828142</v>
      </c>
      <c r="G14" s="1170">
        <f>G4-'COST (Baht)'!Y5</f>
        <v>184.12457008399258</v>
      </c>
      <c r="H14" s="1170">
        <f>H4-'COST (Baht)'!Z5</f>
        <v>217.07454619844282</v>
      </c>
      <c r="I14" s="1181">
        <f>I4-'COST (Baht)'!AA5</f>
        <v>300.69908667798137</v>
      </c>
      <c r="J14" s="1181">
        <f>J4-'COST (Baht)'!AB5</f>
        <v>284.18638352004223</v>
      </c>
      <c r="K14" s="1181">
        <f>K4-'COST (Baht)'!AC5</f>
        <v>280.57283568843241</v>
      </c>
      <c r="L14" s="1181">
        <f>L4-'COST (Baht)'!AD5</f>
        <v>241.89285821136434</v>
      </c>
      <c r="M14" s="1181">
        <f>M4-'COST (Baht)'!AE5</f>
        <v>250.61602110234787</v>
      </c>
      <c r="N14" s="1181">
        <f>N4-'COST (Baht)'!AF5</f>
        <v>263.38438797536799</v>
      </c>
    </row>
    <row r="15" spans="1:14">
      <c r="A15" s="1167" t="s">
        <v>735</v>
      </c>
      <c r="B15" s="1167" t="s">
        <v>529</v>
      </c>
      <c r="C15" s="1170">
        <f>C5-'[9]ชุดส่ง 2021'!D44</f>
        <v>64.702269164812776</v>
      </c>
      <c r="D15" s="1170">
        <f>D5-'[9]ชุดส่ง 2021'!D44</f>
        <v>65.019191475153718</v>
      </c>
      <c r="E15" s="1170">
        <f>E5-'[9]ชุดส่ง 2021'!E44</f>
        <v>63.612860757906788</v>
      </c>
      <c r="F15" s="1170">
        <f>F5-'COST (Baht)'!X6</f>
        <v>-40.344538069255407</v>
      </c>
      <c r="G15" s="1170">
        <f>G5-'COST (Baht)'!Y6</f>
        <v>3.0927644831468797</v>
      </c>
      <c r="H15" s="1170">
        <f>H5-'COST (Baht)'!Z6</f>
        <v>-20.435498174220811</v>
      </c>
      <c r="I15" s="1181">
        <f>I5-'COST (Baht)'!AA6</f>
        <v>-32.62868153180284</v>
      </c>
      <c r="J15" s="1181">
        <f>J5-'COST (Baht)'!AB6</f>
        <v>-31.376420668639412</v>
      </c>
      <c r="K15" s="1181">
        <f>K5-'COST (Baht)'!AC6</f>
        <v>-20.673238709497639</v>
      </c>
      <c r="L15" s="1181">
        <f>L5-'COST (Baht)'!AD6</f>
        <v>45.639374288765339</v>
      </c>
      <c r="M15" s="1181">
        <f>M5-'COST (Baht)'!AE6</f>
        <v>-18.039813930143737</v>
      </c>
      <c r="N15" s="1181">
        <f>N5-'COST (Baht)'!AF6</f>
        <v>-18.173761570747445</v>
      </c>
    </row>
    <row r="16" spans="1:14">
      <c r="A16" s="1167" t="s">
        <v>736</v>
      </c>
      <c r="B16" s="1167" t="s">
        <v>529</v>
      </c>
      <c r="C16" s="1170">
        <f>C7-'[9]ชุดส่ง 2021'!D60</f>
        <v>134.76187139426202</v>
      </c>
      <c r="D16" s="1170">
        <f>D7-'[9]ชุดส่ง 2021'!D60</f>
        <v>186.95356763230643</v>
      </c>
      <c r="E16" s="1170">
        <f>E7-'[9]ชุดส่ง 2021'!E60</f>
        <v>214.960758014443</v>
      </c>
      <c r="F16" s="1170">
        <f>F7-'COST (Baht)'!X7</f>
        <v>291.15104949093831</v>
      </c>
      <c r="G16" s="1170">
        <f>G7-'COST (Baht)'!Y7</f>
        <v>309.71750686736402</v>
      </c>
      <c r="H16" s="1170">
        <f>H7-'COST (Baht)'!Z7</f>
        <v>229.59613752663842</v>
      </c>
      <c r="I16" s="1181">
        <f>I7-'COST (Baht)'!AA7</f>
        <v>267.83893217327125</v>
      </c>
      <c r="J16" s="1181">
        <f>J7-'COST (Baht)'!AB7</f>
        <v>256.4919901069868</v>
      </c>
      <c r="K16" s="1181">
        <f>K7-'COST (Baht)'!AC7</f>
        <v>247.95582105142535</v>
      </c>
      <c r="L16" s="1181">
        <f>L7-'COST (Baht)'!AD7</f>
        <v>230.61102389783292</v>
      </c>
      <c r="M16" s="1181">
        <f>M7-'COST (Baht)'!AE7</f>
        <v>223.84168400157779</v>
      </c>
      <c r="N16" s="1181">
        <f>N7-'COST (Baht)'!AF7</f>
        <v>222.21540396051955</v>
      </c>
    </row>
    <row r="17" spans="1:15">
      <c r="A17" s="1167" t="s">
        <v>737</v>
      </c>
      <c r="B17" s="1167" t="s">
        <v>529</v>
      </c>
      <c r="C17" s="1170">
        <f>C8-'[9]ชุดส่ง 2021'!D60</f>
        <v>49.494101457874649</v>
      </c>
      <c r="D17" s="1170">
        <f>D8-'[9]ชุดส่ง 2021'!D60</f>
        <v>100.84440145787471</v>
      </c>
      <c r="E17" s="1170">
        <f>E8-'[9]ชุดส่ง 2021'!E60</f>
        <v>130.29339549502794</v>
      </c>
      <c r="F17" s="1170">
        <f>F8-'COST (Baht)'!X8</f>
        <v>128.67621121961599</v>
      </c>
      <c r="G17" s="1170">
        <f>G8-'COST (Baht)'!Y8</f>
        <v>162.75692968464062</v>
      </c>
      <c r="H17" s="1170">
        <f>H8-'COST (Baht)'!Z8</f>
        <v>190.99244938986214</v>
      </c>
      <c r="I17" s="1181">
        <f>I8-'COST (Baht)'!AA8</f>
        <v>184.62730639083651</v>
      </c>
      <c r="J17" s="1181">
        <f>J8-'COST (Baht)'!AB8</f>
        <v>174.1501282662162</v>
      </c>
      <c r="K17" s="1181">
        <f>K8-'COST (Baht)'!AC8</f>
        <v>164.16966306719013</v>
      </c>
      <c r="L17" s="1181">
        <f>L8-'COST (Baht)'!AD8</f>
        <v>149.19609575420287</v>
      </c>
      <c r="M17" s="1181">
        <f>M8-'COST (Baht)'!AE8</f>
        <v>139.94482455986736</v>
      </c>
      <c r="N17" s="1181">
        <f>N8-'COST (Baht)'!AF8</f>
        <v>139.97092869064079</v>
      </c>
    </row>
    <row r="20" spans="1:15" hidden="1">
      <c r="A20" s="1338" t="s">
        <v>0</v>
      </c>
      <c r="B20" s="1339" t="s">
        <v>1</v>
      </c>
      <c r="C20" s="1340">
        <v>2021</v>
      </c>
      <c r="D20" s="1340"/>
      <c r="E20" s="1340"/>
      <c r="F20" s="1340"/>
      <c r="G20" s="1340"/>
      <c r="H20" s="1340"/>
      <c r="I20" s="1340"/>
      <c r="J20" s="1340"/>
      <c r="K20" s="1340"/>
      <c r="L20" s="1340"/>
      <c r="M20" s="1340"/>
      <c r="N20" s="1340"/>
      <c r="O20" s="1340"/>
    </row>
    <row r="21" spans="1:15" hidden="1">
      <c r="A21" s="1338"/>
      <c r="B21" s="1339"/>
      <c r="C21" s="1171">
        <v>23346</v>
      </c>
      <c r="D21" s="1171">
        <v>23377</v>
      </c>
      <c r="E21" s="1171">
        <v>23408</v>
      </c>
      <c r="F21" s="1171">
        <v>23437</v>
      </c>
      <c r="G21" s="1171">
        <v>23468</v>
      </c>
      <c r="H21" s="1171">
        <v>23498</v>
      </c>
      <c r="I21" s="1171">
        <v>23529</v>
      </c>
      <c r="J21" s="1171">
        <v>23559</v>
      </c>
      <c r="K21" s="1171">
        <v>23590</v>
      </c>
      <c r="L21" s="1171">
        <v>23621</v>
      </c>
      <c r="M21" s="1171">
        <v>23651</v>
      </c>
      <c r="N21" s="1171">
        <v>23682</v>
      </c>
      <c r="O21" s="1171">
        <v>23712</v>
      </c>
    </row>
    <row r="22" spans="1:15" hidden="1">
      <c r="A22" s="1172" t="s">
        <v>2</v>
      </c>
      <c r="B22" s="1173" t="s">
        <v>3</v>
      </c>
      <c r="C22" s="1174">
        <f>Price!D3</f>
        <v>49.81522727272727</v>
      </c>
      <c r="D22" s="1174">
        <f>Price!E3</f>
        <v>54.772000000000006</v>
      </c>
      <c r="E22" s="1174">
        <f>Price!F3</f>
        <v>60.854999999999997</v>
      </c>
      <c r="F22" s="1174">
        <f>Price!G3</f>
        <v>64.414347826086953</v>
      </c>
      <c r="G22" s="1174">
        <f>Price!H3</f>
        <v>62.894285714285715</v>
      </c>
      <c r="H22" s="1174">
        <f>Price!I3</f>
        <v>66.314473684210526</v>
      </c>
      <c r="I22" s="1174">
        <f>Price!J3</f>
        <v>71.57295454545455</v>
      </c>
      <c r="J22" s="1295">
        <f>Price!K3</f>
        <v>70.400000000000006</v>
      </c>
      <c r="K22" s="1295">
        <f>Price!L3</f>
        <v>69.8</v>
      </c>
      <c r="L22" s="1295">
        <f>Price!M3</f>
        <v>68.5</v>
      </c>
      <c r="M22" s="1295">
        <f>Price!N3</f>
        <v>68.400000000000006</v>
      </c>
      <c r="N22" s="1295">
        <f>Price!O3</f>
        <v>67.400000000000006</v>
      </c>
      <c r="O22" s="1295">
        <f>Price!P3</f>
        <v>67.3</v>
      </c>
    </row>
    <row r="23" spans="1:15" hidden="1">
      <c r="A23" s="1172" t="s">
        <v>4</v>
      </c>
      <c r="B23" s="1173" t="s">
        <v>5</v>
      </c>
      <c r="C23" s="1174">
        <f>Price!D4</f>
        <v>449.01704545454544</v>
      </c>
      <c r="D23" s="1174">
        <f>Price!E4</f>
        <v>513.28125</v>
      </c>
      <c r="E23" s="1174">
        <f>Price!F4</f>
        <v>564.63157894736844</v>
      </c>
      <c r="F23" s="1174">
        <f>Price!G4</f>
        <v>593.39673913043475</v>
      </c>
      <c r="G23" s="1174">
        <f>Price!H4</f>
        <v>571.10714285714289</v>
      </c>
      <c r="H23" s="1174">
        <f>Price!I4</f>
        <v>602.15131578947364</v>
      </c>
      <c r="I23" s="1174">
        <f>Price!J4</f>
        <v>643.9204545454545</v>
      </c>
      <c r="J23" s="1295">
        <f>Price!K4</f>
        <v>637.04999999999995</v>
      </c>
      <c r="K23" s="1295">
        <f>Price!L4</f>
        <v>632.82000000000005</v>
      </c>
      <c r="L23" s="1295">
        <f>Price!M4</f>
        <v>621.75</v>
      </c>
      <c r="M23" s="1295">
        <f>Price!N4</f>
        <v>620.58000000000004</v>
      </c>
      <c r="N23" s="1295">
        <f>Price!O4</f>
        <v>612.57000000000005</v>
      </c>
      <c r="O23" s="1295">
        <f>Price!P4</f>
        <v>613.02</v>
      </c>
    </row>
    <row r="24" spans="1:15" hidden="1">
      <c r="A24" s="1175" t="s">
        <v>6</v>
      </c>
      <c r="B24" s="1176" t="s">
        <v>5</v>
      </c>
      <c r="C24" s="1174">
        <f>Price!D5</f>
        <v>461.54136125093669</v>
      </c>
      <c r="D24" s="1174">
        <f>Price!E5</f>
        <v>539.06944786240945</v>
      </c>
      <c r="E24" s="1174">
        <f>Price!F5</f>
        <v>597.43984945550153</v>
      </c>
      <c r="F24" s="1174">
        <f>Price!G5</f>
        <v>628.09885660904092</v>
      </c>
      <c r="G24" s="1174">
        <f>Price!H5</f>
        <v>602.75300238172554</v>
      </c>
      <c r="H24" s="1174">
        <f>Price!I5</f>
        <v>636.52393615105257</v>
      </c>
      <c r="I24" s="1174">
        <f>Price!J5</f>
        <v>683.64530214671254</v>
      </c>
      <c r="J24" s="1295">
        <f>Price!K5</f>
        <v>625.04999999999995</v>
      </c>
      <c r="K24" s="1295">
        <f>Price!L5</f>
        <v>620.82000000000005</v>
      </c>
      <c r="L24" s="1295">
        <f>Price!M5</f>
        <v>609.75</v>
      </c>
      <c r="M24" s="1295">
        <f>Price!N5</f>
        <v>608.58000000000004</v>
      </c>
      <c r="N24" s="1295">
        <f>Price!O5</f>
        <v>600.57000000000005</v>
      </c>
      <c r="O24" s="1295">
        <f>Price!P5</f>
        <v>601.02</v>
      </c>
    </row>
    <row r="25" spans="1:15" hidden="1">
      <c r="A25" s="1175" t="s">
        <v>6</v>
      </c>
      <c r="B25" s="1176" t="s">
        <v>3</v>
      </c>
      <c r="C25" s="1174">
        <f>Price!D6</f>
        <v>47.59</v>
      </c>
      <c r="D25" s="1174">
        <f>Price!E6</f>
        <v>55.584000000000003</v>
      </c>
      <c r="E25" s="1174">
        <f>Price!F6</f>
        <v>61.602631578947374</v>
      </c>
      <c r="F25" s="1174">
        <f>Price!G6</f>
        <v>64.763913043478254</v>
      </c>
      <c r="G25" s="1174">
        <f>Price!H6</f>
        <v>62.150476190476198</v>
      </c>
      <c r="H25" s="1174">
        <f>Price!I6</f>
        <v>65.632631578947382</v>
      </c>
      <c r="I25" s="1174">
        <f>Price!J6</f>
        <v>70.49136363636363</v>
      </c>
      <c r="J25" s="1295">
        <f>Price!K6</f>
        <v>69.449999999999989</v>
      </c>
      <c r="K25" s="1295">
        <f>Price!L6</f>
        <v>68.98</v>
      </c>
      <c r="L25" s="1295">
        <f>Price!M6</f>
        <v>67.75</v>
      </c>
      <c r="M25" s="1295">
        <f>Price!N6</f>
        <v>67.62</v>
      </c>
      <c r="N25" s="1295">
        <f>Price!O6</f>
        <v>66.73</v>
      </c>
      <c r="O25" s="1295">
        <f>Price!P6</f>
        <v>66.78</v>
      </c>
    </row>
    <row r="26" spans="1:15" hidden="1">
      <c r="A26" s="1175" t="s">
        <v>7</v>
      </c>
      <c r="B26" s="1176" t="s">
        <v>5</v>
      </c>
      <c r="C26" s="1174">
        <f>Price!D7</f>
        <v>452.72727272727275</v>
      </c>
      <c r="D26" s="1174">
        <f>Price!E7</f>
        <v>570.65</v>
      </c>
      <c r="E26" s="1174">
        <f>Price!F7</f>
        <v>569.93421052631584</v>
      </c>
      <c r="F26" s="1174">
        <f>Price!G7</f>
        <v>544.17391304347825</v>
      </c>
      <c r="G26" s="1174">
        <f>Price!H7</f>
        <v>473.26190476190476</v>
      </c>
      <c r="H26" s="1174">
        <f>Price!I7</f>
        <v>496.89473684210526</v>
      </c>
      <c r="I26" s="1174">
        <f>Price!J7</f>
        <v>588.38636363636363</v>
      </c>
      <c r="J26" s="1295">
        <f>Price!K7</f>
        <v>620</v>
      </c>
      <c r="K26" s="1295">
        <f>Price!L7</f>
        <v>612.5</v>
      </c>
      <c r="L26" s="1295">
        <f>Price!M7</f>
        <v>602.5</v>
      </c>
      <c r="M26" s="1295">
        <f>Price!N7</f>
        <v>575</v>
      </c>
      <c r="N26" s="1295">
        <f>Price!O7</f>
        <v>580</v>
      </c>
      <c r="O26" s="1295">
        <f>Price!P7</f>
        <v>587.5</v>
      </c>
    </row>
    <row r="27" spans="1:15" hidden="1">
      <c r="A27" s="1175" t="s">
        <v>738</v>
      </c>
      <c r="B27" s="1176" t="s">
        <v>5</v>
      </c>
      <c r="C27" s="1174">
        <f>Price!D8</f>
        <v>455</v>
      </c>
      <c r="D27" s="1174">
        <f>Price!E8</f>
        <v>540</v>
      </c>
      <c r="E27" s="1174">
        <f>Price!F8</f>
        <v>595</v>
      </c>
      <c r="F27" s="1174">
        <f>Price!G8</f>
        <v>610</v>
      </c>
      <c r="G27" s="1174">
        <f>Price!H8</f>
        <v>545</v>
      </c>
      <c r="H27" s="1174">
        <f>Price!I8</f>
        <v>485</v>
      </c>
      <c r="I27" s="1174">
        <f>Price!J8</f>
        <v>527.5</v>
      </c>
      <c r="J27" s="1295">
        <f>Price!K8</f>
        <v>620</v>
      </c>
      <c r="K27" s="1295">
        <f>Price!L8</f>
        <v>612.5</v>
      </c>
      <c r="L27" s="1295">
        <f>Price!M8</f>
        <v>602.5</v>
      </c>
      <c r="M27" s="1295">
        <f>Price!N8</f>
        <v>575</v>
      </c>
      <c r="N27" s="1295">
        <f>Price!O8</f>
        <v>580</v>
      </c>
      <c r="O27" s="1295">
        <f>Price!P8</f>
        <v>587.5</v>
      </c>
    </row>
    <row r="28" spans="1:15" hidden="1">
      <c r="A28" s="1175" t="s">
        <v>739</v>
      </c>
      <c r="B28" s="1176" t="s">
        <v>5</v>
      </c>
      <c r="C28" s="1174">
        <f>Price!D9</f>
        <v>450</v>
      </c>
      <c r="D28" s="1174">
        <f>Price!E9</f>
        <v>550</v>
      </c>
      <c r="E28" s="1174">
        <f>Price!F9</f>
        <v>605</v>
      </c>
      <c r="F28" s="1174">
        <f>Price!G9</f>
        <v>625</v>
      </c>
      <c r="G28" s="1174">
        <f>Price!H9</f>
        <v>560</v>
      </c>
      <c r="H28" s="1174">
        <f>Price!I9</f>
        <v>495</v>
      </c>
      <c r="I28" s="1174">
        <f>Price!J9</f>
        <v>530</v>
      </c>
      <c r="J28" s="1295">
        <f>Price!K9</f>
        <v>620</v>
      </c>
      <c r="K28" s="1295">
        <f>Price!L9</f>
        <v>610</v>
      </c>
      <c r="L28" s="1295">
        <f>Price!M9</f>
        <v>600</v>
      </c>
      <c r="M28" s="1295">
        <f>Price!N9</f>
        <v>575</v>
      </c>
      <c r="N28" s="1295">
        <f>Price!O9</f>
        <v>580</v>
      </c>
      <c r="O28" s="1295">
        <f>Price!P9</f>
        <v>587.5</v>
      </c>
    </row>
    <row r="29" spans="1:15" hidden="1">
      <c r="A29" s="1175" t="s">
        <v>10</v>
      </c>
      <c r="B29" s="1176" t="s">
        <v>5</v>
      </c>
      <c r="C29" s="1174">
        <f>Price!D10</f>
        <v>460</v>
      </c>
      <c r="D29" s="1174">
        <f>Price!E10</f>
        <v>530</v>
      </c>
      <c r="E29" s="1174">
        <f>Price!F10</f>
        <v>585</v>
      </c>
      <c r="F29" s="1174">
        <f>Price!G10</f>
        <v>595</v>
      </c>
      <c r="G29" s="1174">
        <f>Price!H10</f>
        <v>530</v>
      </c>
      <c r="H29" s="1174">
        <f>Price!I10</f>
        <v>475</v>
      </c>
      <c r="I29" s="1174">
        <f>Price!J10</f>
        <v>525</v>
      </c>
      <c r="J29" s="1295">
        <f>Price!K10</f>
        <v>620</v>
      </c>
      <c r="K29" s="1295">
        <f>Price!L10</f>
        <v>615</v>
      </c>
      <c r="L29" s="1295">
        <f>Price!M10</f>
        <v>605</v>
      </c>
      <c r="M29" s="1295">
        <f>Price!N10</f>
        <v>575</v>
      </c>
      <c r="N29" s="1295">
        <f>Price!O10</f>
        <v>580</v>
      </c>
      <c r="O29" s="1295">
        <f>Price!P10</f>
        <v>587.5</v>
      </c>
    </row>
    <row r="30" spans="1:15" hidden="1">
      <c r="A30" s="1175" t="s">
        <v>11</v>
      </c>
      <c r="B30" s="1176" t="s">
        <v>5</v>
      </c>
      <c r="C30" s="1174">
        <f>Price!D11</f>
        <v>1068.75</v>
      </c>
      <c r="D30" s="1174">
        <f>Price!E11</f>
        <v>1061.25</v>
      </c>
      <c r="E30" s="1174">
        <f>Price!F11</f>
        <v>1088.75</v>
      </c>
      <c r="F30" s="1174">
        <f>Price!G11</f>
        <v>1285.625</v>
      </c>
      <c r="G30" s="1174">
        <f>Price!H11</f>
        <v>1283</v>
      </c>
      <c r="H30" s="1174">
        <f>Price!I11</f>
        <v>1167.5</v>
      </c>
      <c r="I30" s="1174">
        <f>Price!J11</f>
        <v>1121.25</v>
      </c>
      <c r="J30" s="1295">
        <f>Price!K11</f>
        <v>1088</v>
      </c>
      <c r="K30" s="1295">
        <f>Price!L11</f>
        <v>1070</v>
      </c>
      <c r="L30" s="1295">
        <f>Price!M11</f>
        <v>1053</v>
      </c>
      <c r="M30" s="1295">
        <f>Price!N11</f>
        <v>1068</v>
      </c>
      <c r="N30" s="1295">
        <f>Price!O11</f>
        <v>1097</v>
      </c>
      <c r="O30" s="1295">
        <f>Price!P11</f>
        <v>1080</v>
      </c>
    </row>
    <row r="31" spans="1:15" hidden="1">
      <c r="A31" s="1175" t="s">
        <v>12</v>
      </c>
      <c r="B31" s="1176" t="s">
        <v>5</v>
      </c>
      <c r="C31" s="1174">
        <f>Price!D12</f>
        <v>1418.75</v>
      </c>
      <c r="D31" s="1174">
        <f>Price!E12</f>
        <v>1443.75</v>
      </c>
      <c r="E31" s="1174">
        <f>Price!F12</f>
        <v>1475</v>
      </c>
      <c r="F31" s="1174">
        <f>Price!G12</f>
        <v>1680</v>
      </c>
      <c r="G31" s="1174">
        <f>Price!H12</f>
        <v>1690</v>
      </c>
      <c r="H31" s="1174">
        <f>Price!I12</f>
        <v>1521.25</v>
      </c>
      <c r="I31" s="1174">
        <f>Price!J12</f>
        <v>1408.75</v>
      </c>
      <c r="J31" s="1295">
        <f>Price!K12</f>
        <v>1381</v>
      </c>
      <c r="K31" s="1295">
        <f>Price!L12</f>
        <v>1367</v>
      </c>
      <c r="L31" s="1295">
        <f>Price!M12</f>
        <v>1370</v>
      </c>
      <c r="M31" s="1295">
        <f>Price!N12</f>
        <v>1376</v>
      </c>
      <c r="N31" s="1295">
        <f>Price!O12</f>
        <v>1401</v>
      </c>
      <c r="O31" s="1295">
        <f>Price!P12</f>
        <v>1390</v>
      </c>
    </row>
    <row r="32" spans="1:15" hidden="1">
      <c r="A32" s="1175" t="s">
        <v>13</v>
      </c>
      <c r="B32" s="1176" t="s">
        <v>5</v>
      </c>
      <c r="C32" s="1174">
        <f>Price!D13</f>
        <v>1063.75</v>
      </c>
      <c r="D32" s="1174">
        <f>Price!E13</f>
        <v>1060</v>
      </c>
      <c r="E32" s="1174">
        <f>Price!F13</f>
        <v>1096.25</v>
      </c>
      <c r="F32" s="1174">
        <f>Price!G13</f>
        <v>1281.25</v>
      </c>
      <c r="G32" s="1174">
        <f>Price!H13</f>
        <v>1274</v>
      </c>
      <c r="H32" s="1174">
        <f>Price!I13</f>
        <v>1160</v>
      </c>
      <c r="I32" s="1174">
        <f>Price!J13</f>
        <v>1120</v>
      </c>
      <c r="J32" s="1295">
        <f>Price!K13</f>
        <v>1092</v>
      </c>
      <c r="K32" s="1295">
        <f>Price!L13</f>
        <v>1082</v>
      </c>
      <c r="L32" s="1295">
        <f>Price!M13</f>
        <v>1075</v>
      </c>
      <c r="M32" s="1295">
        <f>Price!N13</f>
        <v>1085</v>
      </c>
      <c r="N32" s="1295">
        <f>Price!O13</f>
        <v>1123</v>
      </c>
      <c r="O32" s="1295">
        <f>Price!P13</f>
        <v>1101</v>
      </c>
    </row>
    <row r="33" spans="1:15" hidden="1">
      <c r="A33" s="1175" t="s">
        <v>14</v>
      </c>
      <c r="B33" s="1176" t="s">
        <v>5</v>
      </c>
      <c r="C33" s="1174">
        <f>Price!D14</f>
        <v>1266.875</v>
      </c>
      <c r="D33" s="1174">
        <f>Price!E14</f>
        <v>1235</v>
      </c>
      <c r="E33" s="1174">
        <f>Price!F14</f>
        <v>1339.6875</v>
      </c>
      <c r="F33" s="1174">
        <f>Price!G14</f>
        <v>1520</v>
      </c>
      <c r="G33" s="1174">
        <f>Price!H14</f>
        <v>1427.5</v>
      </c>
      <c r="H33" s="1174">
        <f>Price!I14</f>
        <v>1316.25</v>
      </c>
      <c r="I33" s="1174">
        <f>Price!J14</f>
        <v>1265</v>
      </c>
      <c r="J33" s="1295">
        <f>Price!K14</f>
        <v>1208</v>
      </c>
      <c r="K33" s="1295">
        <f>Price!L14</f>
        <v>1165</v>
      </c>
      <c r="L33" s="1295">
        <f>Price!M14</f>
        <v>1133</v>
      </c>
      <c r="M33" s="1295">
        <f>Price!N14</f>
        <v>1140</v>
      </c>
      <c r="N33" s="1295">
        <f>Price!O14</f>
        <v>1173</v>
      </c>
      <c r="O33" s="1295">
        <f>Price!P14</f>
        <v>1165</v>
      </c>
    </row>
    <row r="34" spans="1:15" hidden="1">
      <c r="A34" s="1177" t="s">
        <v>15</v>
      </c>
      <c r="B34" s="1178" t="s">
        <v>5</v>
      </c>
      <c r="C34" s="1174">
        <f>Price!D15</f>
        <v>923.125</v>
      </c>
      <c r="D34" s="1174">
        <f>Price!E15</f>
        <v>913.125</v>
      </c>
      <c r="E34" s="1174">
        <f>Price!F15</f>
        <v>938.75</v>
      </c>
      <c r="F34" s="1174">
        <f>Price!G15</f>
        <v>1107.5</v>
      </c>
      <c r="G34" s="1174">
        <f>Price!H15</f>
        <v>1041.5</v>
      </c>
      <c r="H34" s="1174">
        <f>Price!I15</f>
        <v>1045.625</v>
      </c>
      <c r="I34" s="1174">
        <f>Price!J15</f>
        <v>940.625</v>
      </c>
      <c r="J34" s="1295">
        <f>Price!K15</f>
        <v>915.05</v>
      </c>
      <c r="K34" s="1295">
        <f>Price!L15</f>
        <v>911.82</v>
      </c>
      <c r="L34" s="1295">
        <f>Price!M15</f>
        <v>891.75</v>
      </c>
      <c r="M34" s="1295">
        <f>Price!N15</f>
        <v>881.58</v>
      </c>
      <c r="N34" s="1295">
        <f>Price!O15</f>
        <v>883.57</v>
      </c>
      <c r="O34" s="1295">
        <f>Price!P15</f>
        <v>873.02</v>
      </c>
    </row>
    <row r="35" spans="1:15" hidden="1">
      <c r="A35" s="1177" t="s">
        <v>16</v>
      </c>
      <c r="B35" s="1178" t="s">
        <v>5</v>
      </c>
      <c r="C35" s="1179">
        <f>Price!D16</f>
        <v>103.55955555555556</v>
      </c>
      <c r="D35" s="1179">
        <f>Price!E16</f>
        <v>92.321400000000011</v>
      </c>
      <c r="E35" s="1179">
        <f>Price!F16</f>
        <v>38.731333333333332</v>
      </c>
      <c r="F35" s="1179">
        <f>Price!G16</f>
        <v>35.273260869565199</v>
      </c>
      <c r="G35" s="1179">
        <f>Price!H16</f>
        <v>51.371399999999994</v>
      </c>
      <c r="H35" s="1179">
        <f>Price!I16</f>
        <v>60.160421052631577</v>
      </c>
      <c r="I35" s="1179">
        <f>Price!J16</f>
        <v>47.714272727272736</v>
      </c>
      <c r="J35" s="1296">
        <f>Price!K16</f>
        <v>50.780020274556222</v>
      </c>
      <c r="K35" s="1296">
        <f>Price!L16</f>
        <v>58.034308885207103</v>
      </c>
      <c r="L35" s="1296">
        <f>Price!M16</f>
        <v>61.661453190532548</v>
      </c>
      <c r="M35" s="1296">
        <f>Price!N16</f>
        <v>68.915741801183444</v>
      </c>
      <c r="N35" s="1296">
        <f>Price!O16</f>
        <v>76.170030411834333</v>
      </c>
      <c r="O35" s="1296">
        <f>Price!P16</f>
        <v>87.051463327810666</v>
      </c>
    </row>
    <row r="36" spans="1:15" hidden="1">
      <c r="A36" s="1177" t="s">
        <v>17</v>
      </c>
      <c r="B36" s="1178" t="s">
        <v>5</v>
      </c>
      <c r="C36" s="1179">
        <f>Price!D17</f>
        <v>75.90379999999999</v>
      </c>
      <c r="D36" s="1179">
        <f>Price!E17</f>
        <v>96.385419354838675</v>
      </c>
      <c r="E36" s="1179">
        <f>Price!F17</f>
        <v>59.152492857142839</v>
      </c>
      <c r="F36" s="1179">
        <f>Price!G17</f>
        <v>29.758926666666682</v>
      </c>
      <c r="G36" s="1179">
        <f>Price!H17</f>
        <v>39.270253333333322</v>
      </c>
      <c r="H36" s="1179">
        <f>Price!I17</f>
        <v>48.181706451612875</v>
      </c>
      <c r="I36" s="1179">
        <f>Price!J17</f>
        <v>49.538273333333315</v>
      </c>
      <c r="J36" s="1296">
        <f>Price!K17</f>
        <v>40.624016219644979</v>
      </c>
      <c r="K36" s="1296">
        <f>Price!L17</f>
        <v>46.427447108165687</v>
      </c>
      <c r="L36" s="1296">
        <f>Price!M17</f>
        <v>49.329162552426041</v>
      </c>
      <c r="M36" s="1296">
        <f>Price!N17</f>
        <v>55.132593440946756</v>
      </c>
      <c r="N36" s="1296">
        <f>Price!O17</f>
        <v>60.936024329467472</v>
      </c>
      <c r="O36" s="1296">
        <f>Price!P17</f>
        <v>69.641170662248541</v>
      </c>
    </row>
    <row r="37" spans="1:15" hidden="1">
      <c r="A37" s="1177" t="s">
        <v>18</v>
      </c>
      <c r="B37" s="1178" t="s">
        <v>5</v>
      </c>
      <c r="C37" s="1174">
        <f>Price!D18</f>
        <v>428.57401184440261</v>
      </c>
      <c r="D37" s="1174">
        <f>Price!E18</f>
        <v>431.36405214949008</v>
      </c>
      <c r="E37" s="1174">
        <f>Price!F18</f>
        <v>432.90561186494176</v>
      </c>
      <c r="F37" s="1174">
        <f>Price!G18</f>
        <v>429.26330841774194</v>
      </c>
      <c r="G37" s="1174">
        <f>Price!H18</f>
        <v>417.37731603835635</v>
      </c>
      <c r="H37" s="1174">
        <f>Price!I18</f>
        <v>425.6450851411854</v>
      </c>
      <c r="I37" s="1174">
        <f>Price!J18</f>
        <v>426.41751025630259</v>
      </c>
      <c r="J37" s="1295">
        <f>Price!K18</f>
        <v>423.89554528384377</v>
      </c>
      <c r="K37" s="1295">
        <f>Price!L18</f>
        <v>427.40258681347331</v>
      </c>
      <c r="L37" s="1295">
        <f>Price!M18</f>
        <v>430.93371717799522</v>
      </c>
      <c r="M37" s="1295">
        <f>Price!N18</f>
        <v>434.24540760779729</v>
      </c>
      <c r="N37" s="1295">
        <f>Price!O18</f>
        <v>437.87673347803781</v>
      </c>
      <c r="O37" s="1295">
        <f>Price!P18</f>
        <v>437.87673347803781</v>
      </c>
    </row>
  </sheetData>
  <mergeCells count="3">
    <mergeCell ref="A20:A21"/>
    <mergeCell ref="B20:B21"/>
    <mergeCell ref="C20:O2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9"/>
  </sheetPr>
  <dimension ref="A2:P166"/>
  <sheetViews>
    <sheetView zoomScale="70" zoomScaleNormal="70" workbookViewId="0">
      <pane xSplit="3" topLeftCell="E1" activePane="topRight" state="frozen"/>
      <selection activeCell="B140" sqref="B140"/>
      <selection pane="topRight" activeCell="J14" sqref="J14"/>
    </sheetView>
  </sheetViews>
  <sheetFormatPr defaultRowHeight="14.5"/>
  <cols>
    <col min="1" max="1" width="24.6328125" customWidth="1"/>
    <col min="2" max="2" width="25.1796875" customWidth="1"/>
    <col min="3" max="3" width="46.81640625" customWidth="1"/>
    <col min="4" max="16" width="12.90625" customWidth="1"/>
  </cols>
  <sheetData>
    <row r="2" spans="2:16" ht="20" customHeight="1">
      <c r="B2" s="1341" t="s">
        <v>24</v>
      </c>
      <c r="C2" s="1341"/>
      <c r="D2" s="43">
        <v>242492</v>
      </c>
      <c r="E2" s="43">
        <v>23377</v>
      </c>
      <c r="F2" s="43">
        <v>23408</v>
      </c>
      <c r="G2" s="43">
        <v>23437</v>
      </c>
      <c r="H2" s="43">
        <v>23468</v>
      </c>
      <c r="I2" s="43">
        <v>23498</v>
      </c>
      <c r="J2" s="43">
        <v>23529</v>
      </c>
      <c r="K2" s="43">
        <v>23559</v>
      </c>
      <c r="L2" s="43">
        <v>23590</v>
      </c>
      <c r="M2" s="43">
        <v>23621</v>
      </c>
      <c r="N2" s="43">
        <v>23651</v>
      </c>
      <c r="O2" s="43">
        <v>23682</v>
      </c>
      <c r="P2" s="43">
        <v>23712</v>
      </c>
    </row>
    <row r="3" spans="2:16">
      <c r="B3" s="48" t="s">
        <v>135</v>
      </c>
      <c r="C3" s="47" t="s">
        <v>136</v>
      </c>
      <c r="D3" s="922">
        <v>30.9</v>
      </c>
      <c r="E3" s="28">
        <v>31</v>
      </c>
      <c r="F3" s="28">
        <v>31</v>
      </c>
      <c r="G3" s="28">
        <v>31</v>
      </c>
      <c r="H3" s="28">
        <v>31</v>
      </c>
      <c r="I3" s="28">
        <v>31</v>
      </c>
      <c r="J3" s="28">
        <v>31</v>
      </c>
      <c r="K3" s="28">
        <v>31</v>
      </c>
      <c r="L3" s="28">
        <v>31</v>
      </c>
      <c r="M3" s="28">
        <v>31</v>
      </c>
      <c r="N3" s="28">
        <v>31</v>
      </c>
      <c r="O3" s="28">
        <v>31</v>
      </c>
      <c r="P3" s="28">
        <v>31</v>
      </c>
    </row>
    <row r="4" spans="2:16">
      <c r="B4" s="48" t="s">
        <v>137</v>
      </c>
      <c r="C4" s="47" t="s">
        <v>136</v>
      </c>
      <c r="D4" s="922">
        <v>30.018195023812353</v>
      </c>
      <c r="E4" s="46">
        <f t="shared" ref="E4:P4" si="0">AVERAGE(E26,E32,E41,E43,E138:E140)</f>
        <v>29.970880000000001</v>
      </c>
      <c r="F4" s="46">
        <f t="shared" si="0"/>
        <v>29.95768</v>
      </c>
      <c r="G4" s="46">
        <f t="shared" si="0"/>
        <v>30.860299999999995</v>
      </c>
      <c r="H4" s="46">
        <f t="shared" si="0"/>
        <v>31.315980000000003</v>
      </c>
      <c r="I4" s="46">
        <f t="shared" si="0"/>
        <v>31.257619999999996</v>
      </c>
      <c r="J4" s="46">
        <f t="shared" si="0"/>
        <v>31.485860000000002</v>
      </c>
      <c r="K4" s="46">
        <f t="shared" si="0"/>
        <v>30</v>
      </c>
      <c r="L4" s="46">
        <f t="shared" si="0"/>
        <v>30</v>
      </c>
      <c r="M4" s="46">
        <f t="shared" si="0"/>
        <v>30</v>
      </c>
      <c r="N4" s="46">
        <f t="shared" si="0"/>
        <v>30</v>
      </c>
      <c r="O4" s="46">
        <f t="shared" si="0"/>
        <v>30</v>
      </c>
      <c r="P4" s="46">
        <f t="shared" si="0"/>
        <v>30</v>
      </c>
    </row>
    <row r="5" spans="2:16">
      <c r="B5" s="48" t="s">
        <v>138</v>
      </c>
      <c r="C5" s="47" t="s">
        <v>136</v>
      </c>
      <c r="D5" s="922">
        <v>30.086199999999998</v>
      </c>
      <c r="E5" s="28">
        <f t="shared" ref="E5:P5" si="1">AVERAGE(E41,E43,E26,E32)</f>
        <v>30.011675</v>
      </c>
      <c r="F5" s="28">
        <f t="shared" si="1"/>
        <v>29.985275000000001</v>
      </c>
      <c r="G5" s="28">
        <f t="shared" si="1"/>
        <v>30.782000000000004</v>
      </c>
      <c r="H5" s="28">
        <f t="shared" si="1"/>
        <v>31.337350000000001</v>
      </c>
      <c r="I5" s="28">
        <f t="shared" si="1"/>
        <v>31.290825000000005</v>
      </c>
      <c r="J5" s="28">
        <f t="shared" si="1"/>
        <v>31.425124999999998</v>
      </c>
      <c r="K5" s="28">
        <f t="shared" si="1"/>
        <v>30</v>
      </c>
      <c r="L5" s="28">
        <f t="shared" si="1"/>
        <v>30</v>
      </c>
      <c r="M5" s="28">
        <f t="shared" si="1"/>
        <v>30</v>
      </c>
      <c r="N5" s="28">
        <f t="shared" si="1"/>
        <v>30</v>
      </c>
      <c r="O5" s="28">
        <f t="shared" si="1"/>
        <v>30</v>
      </c>
      <c r="P5" s="28">
        <f t="shared" si="1"/>
        <v>30</v>
      </c>
    </row>
    <row r="6" spans="2:16">
      <c r="B6" s="48" t="s">
        <v>139</v>
      </c>
      <c r="C6" s="47" t="s">
        <v>136</v>
      </c>
      <c r="D6" s="922">
        <v>29.995113033337297</v>
      </c>
      <c r="E6" s="28">
        <f t="shared" ref="E6:P6" si="2">AVERAGE(E26,E32,E138:E140)</f>
        <v>29.939833333333336</v>
      </c>
      <c r="F6" s="28">
        <f t="shared" si="2"/>
        <v>29.936833333333336</v>
      </c>
      <c r="G6" s="28">
        <f t="shared" si="2"/>
        <v>30.913566666666668</v>
      </c>
      <c r="H6" s="28">
        <f t="shared" si="2"/>
        <v>31.298833333333334</v>
      </c>
      <c r="I6" s="28">
        <f t="shared" si="2"/>
        <v>31.238666666666671</v>
      </c>
      <c r="J6" s="28">
        <f t="shared" si="2"/>
        <v>31.534266666666667</v>
      </c>
      <c r="K6" s="28">
        <f t="shared" si="2"/>
        <v>30</v>
      </c>
      <c r="L6" s="28">
        <f t="shared" si="2"/>
        <v>30</v>
      </c>
      <c r="M6" s="28">
        <f t="shared" si="2"/>
        <v>30</v>
      </c>
      <c r="N6" s="28">
        <f t="shared" si="2"/>
        <v>30</v>
      </c>
      <c r="O6" s="28">
        <f t="shared" si="2"/>
        <v>30</v>
      </c>
      <c r="P6" s="28">
        <f t="shared" si="2"/>
        <v>30</v>
      </c>
    </row>
    <row r="8" spans="2:16">
      <c r="B8" s="49" t="s">
        <v>140</v>
      </c>
      <c r="E8" s="50">
        <f>(E4-E3)/E3</f>
        <v>-3.3197419354838678E-2</v>
      </c>
      <c r="F8" s="50">
        <f t="shared" ref="F8:P8" si="3">(F4-F3)/F3</f>
        <v>-3.362322580645162E-2</v>
      </c>
      <c r="G8" s="50">
        <f t="shared" si="3"/>
        <v>-4.5064516129033816E-3</v>
      </c>
      <c r="H8" s="50">
        <f t="shared" si="3"/>
        <v>1.0192903225806557E-2</v>
      </c>
      <c r="I8" s="50">
        <f t="shared" si="3"/>
        <v>8.3103225806450236E-3</v>
      </c>
      <c r="J8" s="50">
        <f t="shared" si="3"/>
        <v>1.5672903225806528E-2</v>
      </c>
      <c r="K8" s="50">
        <f t="shared" si="3"/>
        <v>-3.2258064516129031E-2</v>
      </c>
      <c r="L8" s="50">
        <f t="shared" si="3"/>
        <v>-3.2258064516129031E-2</v>
      </c>
      <c r="M8" s="50">
        <f t="shared" si="3"/>
        <v>-3.2258064516129031E-2</v>
      </c>
      <c r="N8" s="50">
        <f t="shared" si="3"/>
        <v>-3.2258064516129031E-2</v>
      </c>
      <c r="O8" s="50">
        <f t="shared" si="3"/>
        <v>-3.2258064516129031E-2</v>
      </c>
      <c r="P8" s="50">
        <f t="shared" si="3"/>
        <v>-3.2258064516129031E-2</v>
      </c>
    </row>
    <row r="25" spans="1:16" ht="24.75" customHeight="1">
      <c r="A25" s="860" t="s">
        <v>0</v>
      </c>
      <c r="B25" s="860" t="s">
        <v>23</v>
      </c>
      <c r="C25" s="860" t="s">
        <v>22</v>
      </c>
      <c r="D25" s="43">
        <v>242492</v>
      </c>
      <c r="E25" s="43">
        <v>23377</v>
      </c>
      <c r="F25" s="43">
        <v>23408</v>
      </c>
      <c r="G25" s="43">
        <v>23437</v>
      </c>
      <c r="H25" s="43">
        <v>23468</v>
      </c>
      <c r="I25" s="43">
        <v>23498</v>
      </c>
      <c r="J25" s="43">
        <v>23529</v>
      </c>
      <c r="K25" s="43">
        <v>23559</v>
      </c>
      <c r="L25" s="43">
        <v>23590</v>
      </c>
      <c r="M25" s="43">
        <v>23621</v>
      </c>
      <c r="N25" s="43">
        <v>23651</v>
      </c>
      <c r="O25" s="43">
        <v>23682</v>
      </c>
      <c r="P25" s="43">
        <v>23712</v>
      </c>
    </row>
    <row r="26" spans="1:16" ht="21" customHeight="1">
      <c r="A26" s="861" t="s">
        <v>208</v>
      </c>
      <c r="B26" s="28" t="s">
        <v>25</v>
      </c>
      <c r="C26" s="27" t="s">
        <v>86</v>
      </c>
      <c r="D26" s="28"/>
      <c r="E26" s="46">
        <v>30.0059</v>
      </c>
      <c r="F26" s="981">
        <v>29.9816</v>
      </c>
      <c r="G26" s="1007">
        <v>30.7836</v>
      </c>
      <c r="H26" s="1133">
        <v>31.332999999999998</v>
      </c>
      <c r="I26" s="1236">
        <v>31.2956</v>
      </c>
      <c r="J26" s="1285">
        <v>31.437000000000001</v>
      </c>
      <c r="K26" s="898">
        <v>30</v>
      </c>
      <c r="L26" s="898">
        <v>30</v>
      </c>
      <c r="M26" s="898">
        <v>30</v>
      </c>
      <c r="N26" s="898">
        <v>30</v>
      </c>
      <c r="O26" s="898">
        <v>30</v>
      </c>
      <c r="P26" s="898">
        <v>30</v>
      </c>
    </row>
    <row r="27" spans="1:16" ht="21" customHeight="1">
      <c r="A27" s="861" t="s">
        <v>208</v>
      </c>
      <c r="B27" s="28" t="s">
        <v>25</v>
      </c>
      <c r="C27" s="27" t="s">
        <v>26</v>
      </c>
      <c r="D27" s="28"/>
      <c r="E27" s="28">
        <v>30.0059</v>
      </c>
      <c r="F27" s="979">
        <f t="shared" ref="F27:P27" si="4">F$26</f>
        <v>29.9816</v>
      </c>
      <c r="G27" s="1001">
        <f t="shared" si="4"/>
        <v>30.7836</v>
      </c>
      <c r="H27" s="28">
        <f t="shared" si="4"/>
        <v>31.332999999999998</v>
      </c>
      <c r="I27" s="1231">
        <f t="shared" si="4"/>
        <v>31.2956</v>
      </c>
      <c r="J27" s="802">
        <f t="shared" si="4"/>
        <v>31.437000000000001</v>
      </c>
      <c r="K27" s="28">
        <f t="shared" si="4"/>
        <v>30</v>
      </c>
      <c r="L27" s="28">
        <f t="shared" si="4"/>
        <v>30</v>
      </c>
      <c r="M27" s="28">
        <f t="shared" si="4"/>
        <v>30</v>
      </c>
      <c r="N27" s="28">
        <f t="shared" si="4"/>
        <v>30</v>
      </c>
      <c r="O27" s="28">
        <f t="shared" si="4"/>
        <v>30</v>
      </c>
      <c r="P27" s="28">
        <f t="shared" si="4"/>
        <v>30</v>
      </c>
    </row>
    <row r="28" spans="1:16" ht="21" customHeight="1">
      <c r="A28" s="861" t="s">
        <v>208</v>
      </c>
      <c r="B28" s="28" t="s">
        <v>25</v>
      </c>
      <c r="C28" s="29" t="s">
        <v>27</v>
      </c>
      <c r="D28" s="28"/>
      <c r="E28" s="28">
        <v>30.0059</v>
      </c>
      <c r="F28" s="979">
        <f>F$26</f>
        <v>29.9816</v>
      </c>
      <c r="G28" s="1001">
        <f t="shared" ref="F28:P31" si="5">G$26</f>
        <v>30.7836</v>
      </c>
      <c r="H28" s="28">
        <f t="shared" si="5"/>
        <v>31.332999999999998</v>
      </c>
      <c r="I28" s="1231">
        <f t="shared" si="5"/>
        <v>31.2956</v>
      </c>
      <c r="J28" s="802">
        <f t="shared" si="5"/>
        <v>31.437000000000001</v>
      </c>
      <c r="K28" s="28">
        <f t="shared" si="5"/>
        <v>30</v>
      </c>
      <c r="L28" s="28">
        <f t="shared" si="5"/>
        <v>30</v>
      </c>
      <c r="M28" s="28">
        <f t="shared" si="5"/>
        <v>30</v>
      </c>
      <c r="N28" s="28">
        <f t="shared" si="5"/>
        <v>30</v>
      </c>
      <c r="O28" s="28">
        <f t="shared" si="5"/>
        <v>30</v>
      </c>
      <c r="P28" s="28">
        <f t="shared" si="5"/>
        <v>30</v>
      </c>
    </row>
    <row r="29" spans="1:16" ht="32.25" customHeight="1">
      <c r="A29" s="861" t="s">
        <v>208</v>
      </c>
      <c r="B29" s="28" t="s">
        <v>25</v>
      </c>
      <c r="C29" s="30" t="s">
        <v>28</v>
      </c>
      <c r="D29" s="28"/>
      <c r="E29" s="28">
        <v>30.0059</v>
      </c>
      <c r="F29" s="979">
        <f t="shared" si="5"/>
        <v>29.9816</v>
      </c>
      <c r="G29" s="1001">
        <f t="shared" si="5"/>
        <v>30.7836</v>
      </c>
      <c r="H29" s="28">
        <f t="shared" si="5"/>
        <v>31.332999999999998</v>
      </c>
      <c r="I29" s="1231">
        <f t="shared" si="5"/>
        <v>31.2956</v>
      </c>
      <c r="J29" s="802">
        <f t="shared" si="5"/>
        <v>31.437000000000001</v>
      </c>
      <c r="K29" s="28">
        <f t="shared" si="5"/>
        <v>30</v>
      </c>
      <c r="L29" s="28">
        <f t="shared" si="5"/>
        <v>30</v>
      </c>
      <c r="M29" s="28">
        <f t="shared" si="5"/>
        <v>30</v>
      </c>
      <c r="N29" s="28">
        <f t="shared" si="5"/>
        <v>30</v>
      </c>
      <c r="O29" s="28">
        <f t="shared" si="5"/>
        <v>30</v>
      </c>
      <c r="P29" s="28">
        <f t="shared" si="5"/>
        <v>30</v>
      </c>
    </row>
    <row r="30" spans="1:16" ht="32.25" customHeight="1">
      <c r="A30" s="861" t="s">
        <v>208</v>
      </c>
      <c r="B30" s="28" t="s">
        <v>25</v>
      </c>
      <c r="C30" s="30" t="s">
        <v>29</v>
      </c>
      <c r="D30" s="28"/>
      <c r="E30" s="28">
        <v>30.0059</v>
      </c>
      <c r="F30" s="979">
        <f t="shared" si="5"/>
        <v>29.9816</v>
      </c>
      <c r="G30" s="1001">
        <f t="shared" si="5"/>
        <v>30.7836</v>
      </c>
      <c r="H30" s="28">
        <f t="shared" si="5"/>
        <v>31.332999999999998</v>
      </c>
      <c r="I30" s="1231">
        <f t="shared" si="5"/>
        <v>31.2956</v>
      </c>
      <c r="J30" s="802">
        <f t="shared" si="5"/>
        <v>31.437000000000001</v>
      </c>
      <c r="K30" s="28">
        <f t="shared" si="5"/>
        <v>30</v>
      </c>
      <c r="L30" s="28">
        <f t="shared" si="5"/>
        <v>30</v>
      </c>
      <c r="M30" s="28">
        <f t="shared" si="5"/>
        <v>30</v>
      </c>
      <c r="N30" s="28">
        <f t="shared" si="5"/>
        <v>30</v>
      </c>
      <c r="O30" s="28">
        <f t="shared" si="5"/>
        <v>30</v>
      </c>
      <c r="P30" s="28">
        <f t="shared" si="5"/>
        <v>30</v>
      </c>
    </row>
    <row r="31" spans="1:16" ht="32.25" customHeight="1">
      <c r="A31" s="861" t="s">
        <v>208</v>
      </c>
      <c r="B31" s="28" t="s">
        <v>25</v>
      </c>
      <c r="C31" s="30" t="s">
        <v>30</v>
      </c>
      <c r="D31" s="28"/>
      <c r="E31" s="28">
        <v>30.0059</v>
      </c>
      <c r="F31" s="979">
        <f t="shared" si="5"/>
        <v>29.9816</v>
      </c>
      <c r="G31" s="1001">
        <f t="shared" si="5"/>
        <v>30.7836</v>
      </c>
      <c r="H31" s="28">
        <f t="shared" si="5"/>
        <v>31.332999999999998</v>
      </c>
      <c r="I31" s="1231">
        <f t="shared" si="5"/>
        <v>31.2956</v>
      </c>
      <c r="J31" s="802">
        <f t="shared" si="5"/>
        <v>31.437000000000001</v>
      </c>
      <c r="K31" s="28">
        <f t="shared" si="5"/>
        <v>30</v>
      </c>
      <c r="L31" s="28">
        <f t="shared" si="5"/>
        <v>30</v>
      </c>
      <c r="M31" s="28">
        <f t="shared" si="5"/>
        <v>30</v>
      </c>
      <c r="N31" s="28">
        <f t="shared" si="5"/>
        <v>30</v>
      </c>
      <c r="O31" s="28">
        <f t="shared" si="5"/>
        <v>30</v>
      </c>
      <c r="P31" s="28">
        <f t="shared" si="5"/>
        <v>30</v>
      </c>
    </row>
    <row r="32" spans="1:16" ht="23.25" customHeight="1">
      <c r="A32" s="861" t="s">
        <v>208</v>
      </c>
      <c r="B32" s="28" t="s">
        <v>25</v>
      </c>
      <c r="C32" s="31" t="s">
        <v>31</v>
      </c>
      <c r="D32" s="28"/>
      <c r="E32" s="46">
        <v>30.0059</v>
      </c>
      <c r="F32" s="981">
        <v>29.9816</v>
      </c>
      <c r="G32" s="1007">
        <v>30.7836</v>
      </c>
      <c r="H32" s="1133">
        <v>31.332999999999998</v>
      </c>
      <c r="I32" s="1236">
        <v>31.2956</v>
      </c>
      <c r="J32" s="1285">
        <v>31.437000000000001</v>
      </c>
      <c r="K32" s="898">
        <v>30</v>
      </c>
      <c r="L32" s="898">
        <v>30</v>
      </c>
      <c r="M32" s="898">
        <v>30</v>
      </c>
      <c r="N32" s="898">
        <v>30</v>
      </c>
      <c r="O32" s="898">
        <v>30</v>
      </c>
      <c r="P32" s="898">
        <v>30</v>
      </c>
    </row>
    <row r="33" spans="1:16" ht="23.25" customHeight="1">
      <c r="A33" s="861" t="s">
        <v>208</v>
      </c>
      <c r="B33" s="28" t="s">
        <v>25</v>
      </c>
      <c r="C33" s="31" t="s">
        <v>32</v>
      </c>
      <c r="D33" s="28"/>
      <c r="E33" s="28">
        <v>30.0059</v>
      </c>
      <c r="F33" s="979">
        <f t="shared" ref="F33:P34" si="6">F$32</f>
        <v>29.9816</v>
      </c>
      <c r="G33" s="1001">
        <f t="shared" si="6"/>
        <v>30.7836</v>
      </c>
      <c r="H33" s="28">
        <f t="shared" si="6"/>
        <v>31.332999999999998</v>
      </c>
      <c r="I33" s="1231">
        <f t="shared" si="6"/>
        <v>31.2956</v>
      </c>
      <c r="J33" s="802">
        <f t="shared" si="6"/>
        <v>31.437000000000001</v>
      </c>
      <c r="K33" s="28">
        <f t="shared" si="6"/>
        <v>30</v>
      </c>
      <c r="L33" s="28">
        <f t="shared" si="6"/>
        <v>30</v>
      </c>
      <c r="M33" s="28">
        <f t="shared" si="6"/>
        <v>30</v>
      </c>
      <c r="N33" s="28">
        <f t="shared" si="6"/>
        <v>30</v>
      </c>
      <c r="O33" s="28">
        <f t="shared" si="6"/>
        <v>30</v>
      </c>
      <c r="P33" s="28">
        <f t="shared" si="6"/>
        <v>30</v>
      </c>
    </row>
    <row r="34" spans="1:16" ht="23.25" customHeight="1">
      <c r="A34" s="861" t="s">
        <v>208</v>
      </c>
      <c r="B34" s="32" t="s">
        <v>34</v>
      </c>
      <c r="C34" s="31" t="s">
        <v>33</v>
      </c>
      <c r="D34" s="28"/>
      <c r="E34" s="28">
        <v>30.0059</v>
      </c>
      <c r="F34" s="979">
        <f t="shared" si="6"/>
        <v>29.9816</v>
      </c>
      <c r="G34" s="1001">
        <f t="shared" si="6"/>
        <v>30.7836</v>
      </c>
      <c r="H34" s="28">
        <f t="shared" si="6"/>
        <v>31.332999999999998</v>
      </c>
      <c r="I34" s="1231">
        <f t="shared" si="6"/>
        <v>31.2956</v>
      </c>
      <c r="J34" s="802">
        <f t="shared" si="6"/>
        <v>31.437000000000001</v>
      </c>
      <c r="K34" s="28">
        <f t="shared" si="6"/>
        <v>30</v>
      </c>
      <c r="L34" s="28">
        <f t="shared" si="6"/>
        <v>30</v>
      </c>
      <c r="M34" s="28">
        <f t="shared" si="6"/>
        <v>30</v>
      </c>
      <c r="N34" s="28">
        <f t="shared" si="6"/>
        <v>30</v>
      </c>
      <c r="O34" s="28">
        <f t="shared" si="6"/>
        <v>30</v>
      </c>
      <c r="P34" s="28">
        <f t="shared" si="6"/>
        <v>30</v>
      </c>
    </row>
    <row r="35" spans="1:16" ht="23.25" customHeight="1">
      <c r="A35" s="861" t="s">
        <v>208</v>
      </c>
      <c r="B35" s="32"/>
      <c r="C35" s="33" t="s">
        <v>35</v>
      </c>
      <c r="D35" s="28"/>
      <c r="E35" s="28"/>
      <c r="F35" s="979"/>
      <c r="G35" s="1001"/>
      <c r="H35" s="28"/>
      <c r="I35" s="1231"/>
      <c r="J35" s="802"/>
      <c r="K35" s="28"/>
      <c r="L35" s="28"/>
      <c r="M35" s="28"/>
      <c r="N35" s="28"/>
      <c r="O35" s="28"/>
      <c r="P35" s="28"/>
    </row>
    <row r="36" spans="1:16" ht="23.25" customHeight="1">
      <c r="A36" s="861" t="s">
        <v>208</v>
      </c>
      <c r="B36" s="32"/>
      <c r="C36" s="33" t="s">
        <v>36</v>
      </c>
      <c r="D36" s="28"/>
      <c r="E36" s="28"/>
      <c r="F36" s="979"/>
      <c r="G36" s="1001"/>
      <c r="H36" s="28"/>
      <c r="I36" s="1231"/>
      <c r="J36" s="802"/>
      <c r="K36" s="28"/>
      <c r="L36" s="28"/>
      <c r="M36" s="28"/>
      <c r="N36" s="28"/>
      <c r="O36" s="28"/>
      <c r="P36" s="28"/>
    </row>
    <row r="37" spans="1:16" ht="23.25" customHeight="1">
      <c r="A37" s="861" t="s">
        <v>208</v>
      </c>
      <c r="B37" s="28"/>
      <c r="C37" s="34" t="s">
        <v>37</v>
      </c>
      <c r="D37" s="28"/>
      <c r="E37" s="28"/>
      <c r="F37" s="979"/>
      <c r="G37" s="1001"/>
      <c r="H37" s="28"/>
      <c r="I37" s="1231"/>
      <c r="J37" s="802"/>
      <c r="K37" s="28"/>
      <c r="L37" s="28"/>
      <c r="M37" s="28"/>
      <c r="N37" s="28"/>
      <c r="O37" s="28"/>
      <c r="P37" s="28"/>
    </row>
    <row r="38" spans="1:16" ht="23.25" customHeight="1">
      <c r="A38" s="861" t="s">
        <v>38</v>
      </c>
      <c r="B38" s="28" t="s">
        <v>25</v>
      </c>
      <c r="C38" s="35" t="s">
        <v>39</v>
      </c>
      <c r="D38" s="28"/>
      <c r="E38" s="28">
        <v>30.0059</v>
      </c>
      <c r="F38" s="979">
        <f t="shared" ref="F38:P38" si="7">F$26</f>
        <v>29.9816</v>
      </c>
      <c r="G38" s="1001">
        <f t="shared" si="7"/>
        <v>30.7836</v>
      </c>
      <c r="H38" s="28">
        <f t="shared" si="7"/>
        <v>31.332999999999998</v>
      </c>
      <c r="I38" s="1231">
        <f t="shared" si="7"/>
        <v>31.2956</v>
      </c>
      <c r="J38" s="802">
        <f t="shared" si="7"/>
        <v>31.437000000000001</v>
      </c>
      <c r="K38" s="28">
        <f t="shared" si="7"/>
        <v>30</v>
      </c>
      <c r="L38" s="28">
        <f t="shared" si="7"/>
        <v>30</v>
      </c>
      <c r="M38" s="28">
        <f t="shared" si="7"/>
        <v>30</v>
      </c>
      <c r="N38" s="28">
        <f t="shared" si="7"/>
        <v>30</v>
      </c>
      <c r="O38" s="28">
        <f t="shared" si="7"/>
        <v>30</v>
      </c>
      <c r="P38" s="28">
        <f t="shared" si="7"/>
        <v>30</v>
      </c>
    </row>
    <row r="39" spans="1:16" ht="23.25" customHeight="1">
      <c r="A39" s="861" t="s">
        <v>38</v>
      </c>
      <c r="B39" s="28" t="s">
        <v>25</v>
      </c>
      <c r="C39" s="35" t="s">
        <v>40</v>
      </c>
      <c r="D39" s="28"/>
      <c r="E39" s="28">
        <v>30.0059</v>
      </c>
      <c r="F39" s="979">
        <f t="shared" ref="F39:P40" si="8">F$26</f>
        <v>29.9816</v>
      </c>
      <c r="G39" s="1001">
        <f t="shared" si="8"/>
        <v>30.7836</v>
      </c>
      <c r="H39" s="28">
        <f t="shared" si="8"/>
        <v>31.332999999999998</v>
      </c>
      <c r="I39" s="1231">
        <f t="shared" si="8"/>
        <v>31.2956</v>
      </c>
      <c r="J39" s="802">
        <f t="shared" si="8"/>
        <v>31.437000000000001</v>
      </c>
      <c r="K39" s="28">
        <f t="shared" si="8"/>
        <v>30</v>
      </c>
      <c r="L39" s="28">
        <f t="shared" si="8"/>
        <v>30</v>
      </c>
      <c r="M39" s="28">
        <f t="shared" si="8"/>
        <v>30</v>
      </c>
      <c r="N39" s="28">
        <f t="shared" si="8"/>
        <v>30</v>
      </c>
      <c r="O39" s="28">
        <f t="shared" si="8"/>
        <v>30</v>
      </c>
      <c r="P39" s="28">
        <f t="shared" si="8"/>
        <v>30</v>
      </c>
    </row>
    <row r="40" spans="1:16" ht="23.25" customHeight="1">
      <c r="A40" s="861" t="s">
        <v>38</v>
      </c>
      <c r="B40" s="32" t="s">
        <v>34</v>
      </c>
      <c r="C40" s="35" t="s">
        <v>41</v>
      </c>
      <c r="D40" s="28"/>
      <c r="E40" s="28">
        <v>30.0059</v>
      </c>
      <c r="F40" s="979">
        <f t="shared" si="8"/>
        <v>29.9816</v>
      </c>
      <c r="G40" s="1001">
        <f t="shared" si="8"/>
        <v>30.7836</v>
      </c>
      <c r="H40" s="28">
        <f t="shared" si="8"/>
        <v>31.332999999999998</v>
      </c>
      <c r="I40" s="1231">
        <f t="shared" si="8"/>
        <v>31.2956</v>
      </c>
      <c r="J40" s="802">
        <f t="shared" si="8"/>
        <v>31.437000000000001</v>
      </c>
      <c r="K40" s="28">
        <f t="shared" si="8"/>
        <v>30</v>
      </c>
      <c r="L40" s="28">
        <f t="shared" si="8"/>
        <v>30</v>
      </c>
      <c r="M40" s="28">
        <f t="shared" si="8"/>
        <v>30</v>
      </c>
      <c r="N40" s="28">
        <f t="shared" si="8"/>
        <v>30</v>
      </c>
      <c r="O40" s="28">
        <f t="shared" si="8"/>
        <v>30</v>
      </c>
      <c r="P40" s="28">
        <f t="shared" si="8"/>
        <v>30</v>
      </c>
    </row>
    <row r="41" spans="1:16" ht="23.25" customHeight="1">
      <c r="A41" s="861" t="s">
        <v>38</v>
      </c>
      <c r="B41" s="28" t="s">
        <v>25</v>
      </c>
      <c r="C41" s="36" t="s">
        <v>42</v>
      </c>
      <c r="D41" s="28"/>
      <c r="E41" s="801">
        <v>30.0242</v>
      </c>
      <c r="F41" s="981">
        <v>29.985700000000001</v>
      </c>
      <c r="G41" s="1007">
        <v>30.776800000000001</v>
      </c>
      <c r="H41" s="1133">
        <v>31.3307</v>
      </c>
      <c r="I41" s="1236">
        <v>31.284500000000001</v>
      </c>
      <c r="J41" s="1284">
        <v>31.414200000000001</v>
      </c>
      <c r="K41" s="898">
        <v>30</v>
      </c>
      <c r="L41" s="898">
        <v>30</v>
      </c>
      <c r="M41" s="898">
        <v>30</v>
      </c>
      <c r="N41" s="898">
        <v>30</v>
      </c>
      <c r="O41" s="898">
        <v>30</v>
      </c>
      <c r="P41" s="898">
        <v>30</v>
      </c>
    </row>
    <row r="42" spans="1:16" ht="23.25" customHeight="1">
      <c r="A42" s="861" t="s">
        <v>38</v>
      </c>
      <c r="B42" s="32" t="s">
        <v>34</v>
      </c>
      <c r="C42" s="36" t="s">
        <v>43</v>
      </c>
      <c r="D42" s="28"/>
      <c r="E42" s="28"/>
      <c r="F42" s="979"/>
      <c r="G42" s="1001"/>
      <c r="H42" s="28">
        <f>H41</f>
        <v>31.3307</v>
      </c>
      <c r="I42" s="1231">
        <f t="shared" ref="I42:P42" si="9">I41</f>
        <v>31.284500000000001</v>
      </c>
      <c r="J42" s="28">
        <f t="shared" si="9"/>
        <v>31.414200000000001</v>
      </c>
      <c r="K42" s="28">
        <f t="shared" si="9"/>
        <v>30</v>
      </c>
      <c r="L42" s="28">
        <f t="shared" si="9"/>
        <v>30</v>
      </c>
      <c r="M42" s="28">
        <f t="shared" si="9"/>
        <v>30</v>
      </c>
      <c r="N42" s="28">
        <f t="shared" si="9"/>
        <v>30</v>
      </c>
      <c r="O42" s="28">
        <f t="shared" si="9"/>
        <v>30</v>
      </c>
      <c r="P42" s="28">
        <f t="shared" si="9"/>
        <v>30</v>
      </c>
    </row>
    <row r="43" spans="1:16" ht="23.25" customHeight="1">
      <c r="A43" s="861" t="s">
        <v>38</v>
      </c>
      <c r="B43" s="28" t="s">
        <v>25</v>
      </c>
      <c r="C43" s="36" t="s">
        <v>44</v>
      </c>
      <c r="D43" s="28"/>
      <c r="E43" s="801">
        <v>30.0107</v>
      </c>
      <c r="F43" s="981">
        <v>29.9922</v>
      </c>
      <c r="G43" s="1008">
        <v>30.783999999999999</v>
      </c>
      <c r="H43" s="1140">
        <v>31.352699999999999</v>
      </c>
      <c r="I43" s="1236">
        <v>31.287600000000001</v>
      </c>
      <c r="J43" s="1284">
        <v>31.412299999999998</v>
      </c>
      <c r="K43" s="898">
        <v>30</v>
      </c>
      <c r="L43" s="898">
        <v>30</v>
      </c>
      <c r="M43" s="898">
        <v>30</v>
      </c>
      <c r="N43" s="898">
        <v>30</v>
      </c>
      <c r="O43" s="898">
        <v>30</v>
      </c>
      <c r="P43" s="898">
        <v>30</v>
      </c>
    </row>
    <row r="44" spans="1:16" ht="23.25" customHeight="1">
      <c r="A44" s="861" t="s">
        <v>38</v>
      </c>
      <c r="B44" s="32" t="s">
        <v>34</v>
      </c>
      <c r="C44" s="36" t="s">
        <v>45</v>
      </c>
      <c r="D44" s="28"/>
      <c r="E44" s="802">
        <v>30.0107</v>
      </c>
      <c r="F44" s="979">
        <f t="shared" ref="F44:G48" si="10">F43</f>
        <v>29.9922</v>
      </c>
      <c r="G44" s="1001">
        <f t="shared" si="10"/>
        <v>30.783999999999999</v>
      </c>
      <c r="H44" s="28">
        <f>H43</f>
        <v>31.352699999999999</v>
      </c>
      <c r="I44" s="1231">
        <f t="shared" ref="I44:P44" si="11">I43</f>
        <v>31.287600000000001</v>
      </c>
      <c r="J44" s="28">
        <f t="shared" si="11"/>
        <v>31.412299999999998</v>
      </c>
      <c r="K44" s="28">
        <f t="shared" si="11"/>
        <v>30</v>
      </c>
      <c r="L44" s="28">
        <f t="shared" si="11"/>
        <v>30</v>
      </c>
      <c r="M44" s="28">
        <f t="shared" si="11"/>
        <v>30</v>
      </c>
      <c r="N44" s="28">
        <f t="shared" si="11"/>
        <v>30</v>
      </c>
      <c r="O44" s="28">
        <f t="shared" si="11"/>
        <v>30</v>
      </c>
      <c r="P44" s="28">
        <f t="shared" si="11"/>
        <v>30</v>
      </c>
    </row>
    <row r="45" spans="1:16" ht="23.25" customHeight="1">
      <c r="A45" s="861" t="s">
        <v>38</v>
      </c>
      <c r="B45" s="28" t="s">
        <v>25</v>
      </c>
      <c r="C45" s="36" t="s">
        <v>46</v>
      </c>
      <c r="D45" s="28"/>
      <c r="E45" s="28">
        <v>30.0107</v>
      </c>
      <c r="F45" s="979">
        <f t="shared" si="10"/>
        <v>29.9922</v>
      </c>
      <c r="G45" s="1001">
        <f t="shared" si="10"/>
        <v>30.783999999999999</v>
      </c>
      <c r="H45" s="28">
        <f>H$32</f>
        <v>31.332999999999998</v>
      </c>
      <c r="I45" s="1231">
        <f t="shared" ref="I45:P45" si="12">I$32</f>
        <v>31.2956</v>
      </c>
      <c r="J45" s="802">
        <f t="shared" si="12"/>
        <v>31.437000000000001</v>
      </c>
      <c r="K45" s="28">
        <f t="shared" si="12"/>
        <v>30</v>
      </c>
      <c r="L45" s="28">
        <f t="shared" si="12"/>
        <v>30</v>
      </c>
      <c r="M45" s="28">
        <f t="shared" si="12"/>
        <v>30</v>
      </c>
      <c r="N45" s="28">
        <f t="shared" si="12"/>
        <v>30</v>
      </c>
      <c r="O45" s="28">
        <f t="shared" si="12"/>
        <v>30</v>
      </c>
      <c r="P45" s="28">
        <f t="shared" si="12"/>
        <v>30</v>
      </c>
    </row>
    <row r="46" spans="1:16" ht="23.25" customHeight="1">
      <c r="A46" s="861" t="s">
        <v>38</v>
      </c>
      <c r="B46" s="32" t="s">
        <v>34</v>
      </c>
      <c r="C46" s="36" t="s">
        <v>47</v>
      </c>
      <c r="D46" s="28"/>
      <c r="E46" s="28">
        <v>30.0107</v>
      </c>
      <c r="F46" s="979">
        <f t="shared" si="10"/>
        <v>29.9922</v>
      </c>
      <c r="G46" s="1001">
        <f t="shared" si="10"/>
        <v>30.783999999999999</v>
      </c>
      <c r="H46" s="28">
        <f t="shared" ref="H46:P48" si="13">H$32</f>
        <v>31.332999999999998</v>
      </c>
      <c r="I46" s="1231">
        <f t="shared" si="13"/>
        <v>31.2956</v>
      </c>
      <c r="J46" s="802">
        <f t="shared" si="13"/>
        <v>31.437000000000001</v>
      </c>
      <c r="K46" s="28">
        <f t="shared" si="13"/>
        <v>30</v>
      </c>
      <c r="L46" s="28">
        <f t="shared" si="13"/>
        <v>30</v>
      </c>
      <c r="M46" s="28">
        <f t="shared" si="13"/>
        <v>30</v>
      </c>
      <c r="N46" s="28">
        <f t="shared" si="13"/>
        <v>30</v>
      </c>
      <c r="O46" s="28">
        <f t="shared" si="13"/>
        <v>30</v>
      </c>
      <c r="P46" s="28">
        <f t="shared" si="13"/>
        <v>30</v>
      </c>
    </row>
    <row r="47" spans="1:16" ht="23.25" customHeight="1">
      <c r="A47" s="861" t="s">
        <v>38</v>
      </c>
      <c r="B47" s="28" t="s">
        <v>25</v>
      </c>
      <c r="C47" s="36" t="s">
        <v>48</v>
      </c>
      <c r="D47" s="28"/>
      <c r="E47" s="28">
        <v>30.0107</v>
      </c>
      <c r="F47" s="979">
        <f t="shared" si="10"/>
        <v>29.9922</v>
      </c>
      <c r="G47" s="1001">
        <f t="shared" si="10"/>
        <v>30.783999999999999</v>
      </c>
      <c r="H47" s="28">
        <f t="shared" si="13"/>
        <v>31.332999999999998</v>
      </c>
      <c r="I47" s="1231">
        <f t="shared" si="13"/>
        <v>31.2956</v>
      </c>
      <c r="J47" s="802">
        <f t="shared" si="13"/>
        <v>31.437000000000001</v>
      </c>
      <c r="K47" s="28">
        <f t="shared" si="13"/>
        <v>30</v>
      </c>
      <c r="L47" s="28">
        <f t="shared" si="13"/>
        <v>30</v>
      </c>
      <c r="M47" s="28">
        <f t="shared" si="13"/>
        <v>30</v>
      </c>
      <c r="N47" s="28">
        <f t="shared" si="13"/>
        <v>30</v>
      </c>
      <c r="O47" s="28">
        <f t="shared" si="13"/>
        <v>30</v>
      </c>
      <c r="P47" s="28">
        <f t="shared" si="13"/>
        <v>30</v>
      </c>
    </row>
    <row r="48" spans="1:16" ht="23.25" customHeight="1">
      <c r="A48" s="861" t="s">
        <v>38</v>
      </c>
      <c r="B48" s="32" t="s">
        <v>34</v>
      </c>
      <c r="C48" s="36" t="s">
        <v>49</v>
      </c>
      <c r="D48" s="28"/>
      <c r="E48" s="28">
        <v>30.0107</v>
      </c>
      <c r="F48" s="979">
        <f t="shared" si="10"/>
        <v>29.9922</v>
      </c>
      <c r="G48" s="1001">
        <f t="shared" si="10"/>
        <v>30.783999999999999</v>
      </c>
      <c r="H48" s="28">
        <f t="shared" si="13"/>
        <v>31.332999999999998</v>
      </c>
      <c r="I48" s="1231">
        <f t="shared" si="13"/>
        <v>31.2956</v>
      </c>
      <c r="J48" s="802">
        <f t="shared" si="13"/>
        <v>31.437000000000001</v>
      </c>
      <c r="K48" s="28">
        <f t="shared" si="13"/>
        <v>30</v>
      </c>
      <c r="L48" s="28">
        <f t="shared" si="13"/>
        <v>30</v>
      </c>
      <c r="M48" s="28">
        <f t="shared" si="13"/>
        <v>30</v>
      </c>
      <c r="N48" s="28">
        <f t="shared" si="13"/>
        <v>30</v>
      </c>
      <c r="O48" s="28">
        <f t="shared" si="13"/>
        <v>30</v>
      </c>
      <c r="P48" s="28">
        <f t="shared" si="13"/>
        <v>30</v>
      </c>
    </row>
    <row r="49" spans="1:16" ht="23.25" customHeight="1">
      <c r="A49" s="861" t="s">
        <v>38</v>
      </c>
      <c r="B49" s="36" t="s">
        <v>25</v>
      </c>
      <c r="C49" s="35" t="s">
        <v>189</v>
      </c>
      <c r="D49" s="28"/>
      <c r="E49" s="28"/>
      <c r="F49" s="979"/>
      <c r="G49" s="1001"/>
      <c r="H49" s="28"/>
      <c r="I49" s="1231"/>
      <c r="J49" s="802"/>
      <c r="K49" s="28"/>
      <c r="L49" s="28"/>
      <c r="M49" s="28"/>
      <c r="N49" s="28"/>
      <c r="O49" s="28"/>
      <c r="P49" s="28"/>
    </row>
    <row r="50" spans="1:16" ht="23.25" customHeight="1">
      <c r="A50" s="861" t="s">
        <v>38</v>
      </c>
      <c r="B50" s="36"/>
      <c r="C50" s="33" t="s">
        <v>35</v>
      </c>
      <c r="D50" s="28"/>
      <c r="E50" s="28"/>
      <c r="F50" s="979"/>
      <c r="G50" s="1001"/>
      <c r="H50" s="28"/>
      <c r="I50" s="1231"/>
      <c r="J50" s="802"/>
      <c r="K50" s="28"/>
      <c r="L50" s="28"/>
      <c r="M50" s="28"/>
      <c r="N50" s="28"/>
      <c r="O50" s="28"/>
      <c r="P50" s="28"/>
    </row>
    <row r="51" spans="1:16" ht="23.25" customHeight="1">
      <c r="A51" s="861" t="s">
        <v>38</v>
      </c>
      <c r="B51" s="36"/>
      <c r="C51" s="33" t="s">
        <v>36</v>
      </c>
      <c r="D51" s="28"/>
      <c r="E51" s="28"/>
      <c r="F51" s="979"/>
      <c r="G51" s="1001"/>
      <c r="H51" s="28"/>
      <c r="I51" s="1231"/>
      <c r="J51" s="802"/>
      <c r="K51" s="28"/>
      <c r="L51" s="28"/>
      <c r="M51" s="28"/>
      <c r="N51" s="28"/>
      <c r="O51" s="28"/>
      <c r="P51" s="28"/>
    </row>
    <row r="52" spans="1:16" ht="23.25" customHeight="1">
      <c r="A52" s="861" t="s">
        <v>38</v>
      </c>
      <c r="B52" s="28"/>
      <c r="C52" s="34" t="s">
        <v>37</v>
      </c>
      <c r="D52" s="28"/>
      <c r="E52" s="28"/>
      <c r="F52" s="979"/>
      <c r="G52" s="1001"/>
      <c r="H52" s="28"/>
      <c r="I52" s="1231"/>
      <c r="J52" s="802"/>
      <c r="K52" s="28"/>
      <c r="L52" s="28"/>
      <c r="M52" s="28"/>
      <c r="N52" s="28"/>
      <c r="O52" s="28"/>
      <c r="P52" s="28"/>
    </row>
    <row r="53" spans="1:16" ht="23.25" customHeight="1">
      <c r="A53" s="861" t="s">
        <v>214</v>
      </c>
      <c r="B53" s="28" t="s">
        <v>25</v>
      </c>
      <c r="C53" s="37" t="s">
        <v>51</v>
      </c>
      <c r="D53" s="28"/>
      <c r="E53" s="28">
        <v>30.0059</v>
      </c>
      <c r="F53" s="979">
        <f t="shared" ref="F53:P53" si="14">F$26</f>
        <v>29.9816</v>
      </c>
      <c r="G53" s="1001">
        <f t="shared" si="14"/>
        <v>30.7836</v>
      </c>
      <c r="H53" s="28">
        <f t="shared" si="14"/>
        <v>31.332999999999998</v>
      </c>
      <c r="I53" s="1231">
        <f t="shared" si="14"/>
        <v>31.2956</v>
      </c>
      <c r="J53" s="802">
        <f t="shared" si="14"/>
        <v>31.437000000000001</v>
      </c>
      <c r="K53" s="28">
        <f t="shared" si="14"/>
        <v>30</v>
      </c>
      <c r="L53" s="28">
        <f t="shared" si="14"/>
        <v>30</v>
      </c>
      <c r="M53" s="28">
        <f t="shared" si="14"/>
        <v>30</v>
      </c>
      <c r="N53" s="28">
        <f t="shared" si="14"/>
        <v>30</v>
      </c>
      <c r="O53" s="28">
        <f t="shared" si="14"/>
        <v>30</v>
      </c>
      <c r="P53" s="28">
        <f t="shared" si="14"/>
        <v>30</v>
      </c>
    </row>
    <row r="54" spans="1:16" ht="23.25" customHeight="1">
      <c r="A54" s="861" t="s">
        <v>214</v>
      </c>
      <c r="B54" s="28" t="s">
        <v>25</v>
      </c>
      <c r="C54" s="37" t="s">
        <v>52</v>
      </c>
      <c r="D54" s="28"/>
      <c r="E54" s="28">
        <v>30.0059</v>
      </c>
      <c r="F54" s="979">
        <f t="shared" ref="F54:P58" si="15">F$26</f>
        <v>29.9816</v>
      </c>
      <c r="G54" s="1001">
        <f t="shared" si="15"/>
        <v>30.7836</v>
      </c>
      <c r="H54" s="28">
        <f t="shared" si="15"/>
        <v>31.332999999999998</v>
      </c>
      <c r="I54" s="1231">
        <f t="shared" si="15"/>
        <v>31.2956</v>
      </c>
      <c r="J54" s="802">
        <f t="shared" si="15"/>
        <v>31.437000000000001</v>
      </c>
      <c r="K54" s="28">
        <f t="shared" si="15"/>
        <v>30</v>
      </c>
      <c r="L54" s="28">
        <f t="shared" si="15"/>
        <v>30</v>
      </c>
      <c r="M54" s="28">
        <f t="shared" si="15"/>
        <v>30</v>
      </c>
      <c r="N54" s="28">
        <f t="shared" si="15"/>
        <v>30</v>
      </c>
      <c r="O54" s="28">
        <f t="shared" si="15"/>
        <v>30</v>
      </c>
      <c r="P54" s="28">
        <f t="shared" si="15"/>
        <v>30</v>
      </c>
    </row>
    <row r="55" spans="1:16" ht="23.25" customHeight="1">
      <c r="A55" s="861" t="s">
        <v>214</v>
      </c>
      <c r="B55" s="32" t="s">
        <v>34</v>
      </c>
      <c r="C55" s="37" t="s">
        <v>53</v>
      </c>
      <c r="D55" s="28"/>
      <c r="E55" s="28">
        <v>30.0059</v>
      </c>
      <c r="F55" s="979">
        <f t="shared" si="15"/>
        <v>29.9816</v>
      </c>
      <c r="G55" s="1001">
        <f t="shared" si="15"/>
        <v>30.7836</v>
      </c>
      <c r="H55" s="28">
        <f t="shared" si="15"/>
        <v>31.332999999999998</v>
      </c>
      <c r="I55" s="1231">
        <f t="shared" si="15"/>
        <v>31.2956</v>
      </c>
      <c r="J55" s="802">
        <f t="shared" si="15"/>
        <v>31.437000000000001</v>
      </c>
      <c r="K55" s="28">
        <f t="shared" si="15"/>
        <v>30</v>
      </c>
      <c r="L55" s="28">
        <f t="shared" si="15"/>
        <v>30</v>
      </c>
      <c r="M55" s="28">
        <f t="shared" si="15"/>
        <v>30</v>
      </c>
      <c r="N55" s="28">
        <f t="shared" si="15"/>
        <v>30</v>
      </c>
      <c r="O55" s="28">
        <f t="shared" si="15"/>
        <v>30</v>
      </c>
      <c r="P55" s="28">
        <f t="shared" si="15"/>
        <v>30</v>
      </c>
    </row>
    <row r="56" spans="1:16" ht="23.25" customHeight="1">
      <c r="A56" s="861" t="s">
        <v>214</v>
      </c>
      <c r="B56" s="28" t="s">
        <v>25</v>
      </c>
      <c r="C56" s="37" t="s">
        <v>54</v>
      </c>
      <c r="D56" s="28"/>
      <c r="E56" s="28">
        <v>30.0059</v>
      </c>
      <c r="F56" s="979">
        <f t="shared" si="15"/>
        <v>29.9816</v>
      </c>
      <c r="G56" s="1001">
        <f t="shared" si="15"/>
        <v>30.7836</v>
      </c>
      <c r="H56" s="28">
        <f t="shared" si="15"/>
        <v>31.332999999999998</v>
      </c>
      <c r="I56" s="1231">
        <f t="shared" si="15"/>
        <v>31.2956</v>
      </c>
      <c r="J56" s="802">
        <f t="shared" si="15"/>
        <v>31.437000000000001</v>
      </c>
      <c r="K56" s="28">
        <f t="shared" si="15"/>
        <v>30</v>
      </c>
      <c r="L56" s="28">
        <f t="shared" si="15"/>
        <v>30</v>
      </c>
      <c r="M56" s="28">
        <f t="shared" si="15"/>
        <v>30</v>
      </c>
      <c r="N56" s="28">
        <f t="shared" si="15"/>
        <v>30</v>
      </c>
      <c r="O56" s="28">
        <f t="shared" si="15"/>
        <v>30</v>
      </c>
      <c r="P56" s="28">
        <f t="shared" si="15"/>
        <v>30</v>
      </c>
    </row>
    <row r="57" spans="1:16" ht="23.25" customHeight="1">
      <c r="A57" s="861" t="s">
        <v>214</v>
      </c>
      <c r="B57" s="28" t="s">
        <v>25</v>
      </c>
      <c r="C57" s="37" t="s">
        <v>55</v>
      </c>
      <c r="D57" s="28"/>
      <c r="E57" s="28">
        <v>30.0059</v>
      </c>
      <c r="F57" s="979">
        <f t="shared" si="15"/>
        <v>29.9816</v>
      </c>
      <c r="G57" s="1001">
        <f t="shared" si="15"/>
        <v>30.7836</v>
      </c>
      <c r="H57" s="28">
        <f t="shared" si="15"/>
        <v>31.332999999999998</v>
      </c>
      <c r="I57" s="1231">
        <f t="shared" si="15"/>
        <v>31.2956</v>
      </c>
      <c r="J57" s="802">
        <f t="shared" si="15"/>
        <v>31.437000000000001</v>
      </c>
      <c r="K57" s="28">
        <f t="shared" si="15"/>
        <v>30</v>
      </c>
      <c r="L57" s="28">
        <f t="shared" si="15"/>
        <v>30</v>
      </c>
      <c r="M57" s="28">
        <f t="shared" si="15"/>
        <v>30</v>
      </c>
      <c r="N57" s="28">
        <f t="shared" si="15"/>
        <v>30</v>
      </c>
      <c r="O57" s="28">
        <f t="shared" si="15"/>
        <v>30</v>
      </c>
      <c r="P57" s="28">
        <f t="shared" si="15"/>
        <v>30</v>
      </c>
    </row>
    <row r="58" spans="1:16" ht="23.25" customHeight="1">
      <c r="A58" s="861" t="s">
        <v>214</v>
      </c>
      <c r="B58" s="32" t="s">
        <v>34</v>
      </c>
      <c r="C58" s="37" t="s">
        <v>56</v>
      </c>
      <c r="D58" s="28"/>
      <c r="E58" s="28">
        <v>30.0059</v>
      </c>
      <c r="F58" s="979">
        <f t="shared" si="15"/>
        <v>29.9816</v>
      </c>
      <c r="G58" s="1001">
        <f t="shared" si="15"/>
        <v>30.7836</v>
      </c>
      <c r="H58" s="28">
        <f t="shared" si="15"/>
        <v>31.332999999999998</v>
      </c>
      <c r="I58" s="1231">
        <f t="shared" si="15"/>
        <v>31.2956</v>
      </c>
      <c r="J58" s="802">
        <f t="shared" si="15"/>
        <v>31.437000000000001</v>
      </c>
      <c r="K58" s="28">
        <f t="shared" si="15"/>
        <v>30</v>
      </c>
      <c r="L58" s="28">
        <f t="shared" si="15"/>
        <v>30</v>
      </c>
      <c r="M58" s="28">
        <f t="shared" si="15"/>
        <v>30</v>
      </c>
      <c r="N58" s="28">
        <f t="shared" si="15"/>
        <v>30</v>
      </c>
      <c r="O58" s="28">
        <f t="shared" si="15"/>
        <v>30</v>
      </c>
      <c r="P58" s="28">
        <f t="shared" si="15"/>
        <v>30</v>
      </c>
    </row>
    <row r="59" spans="1:16" ht="23.25" customHeight="1">
      <c r="A59" s="861" t="s">
        <v>214</v>
      </c>
      <c r="B59" s="28" t="s">
        <v>25</v>
      </c>
      <c r="C59" s="28" t="s">
        <v>57</v>
      </c>
      <c r="D59" s="28"/>
      <c r="E59" s="28">
        <v>30.0059</v>
      </c>
      <c r="F59" s="979">
        <f t="shared" ref="F59:P59" si="16">F$32</f>
        <v>29.9816</v>
      </c>
      <c r="G59" s="1001">
        <f t="shared" si="16"/>
        <v>30.7836</v>
      </c>
      <c r="H59" s="28">
        <f t="shared" si="16"/>
        <v>31.332999999999998</v>
      </c>
      <c r="I59" s="1231">
        <f t="shared" si="16"/>
        <v>31.2956</v>
      </c>
      <c r="J59" s="802">
        <f t="shared" si="16"/>
        <v>31.437000000000001</v>
      </c>
      <c r="K59" s="28">
        <f t="shared" si="16"/>
        <v>30</v>
      </c>
      <c r="L59" s="28">
        <f t="shared" si="16"/>
        <v>30</v>
      </c>
      <c r="M59" s="28">
        <f t="shared" si="16"/>
        <v>30</v>
      </c>
      <c r="N59" s="28">
        <f t="shared" si="16"/>
        <v>30</v>
      </c>
      <c r="O59" s="28">
        <f t="shared" si="16"/>
        <v>30</v>
      </c>
      <c r="P59" s="28">
        <f t="shared" si="16"/>
        <v>30</v>
      </c>
    </row>
    <row r="60" spans="1:16" ht="23.25" customHeight="1">
      <c r="A60" s="861" t="s">
        <v>214</v>
      </c>
      <c r="B60" s="28" t="s">
        <v>25</v>
      </c>
      <c r="C60" s="28" t="s">
        <v>58</v>
      </c>
      <c r="D60" s="28"/>
      <c r="E60" s="28">
        <v>30.0059</v>
      </c>
      <c r="F60" s="979">
        <f t="shared" ref="F60:P66" si="17">F$32</f>
        <v>29.9816</v>
      </c>
      <c r="G60" s="1001">
        <f t="shared" si="17"/>
        <v>30.7836</v>
      </c>
      <c r="H60" s="28">
        <f t="shared" si="17"/>
        <v>31.332999999999998</v>
      </c>
      <c r="I60" s="1231">
        <f t="shared" si="17"/>
        <v>31.2956</v>
      </c>
      <c r="J60" s="802">
        <f t="shared" si="17"/>
        <v>31.437000000000001</v>
      </c>
      <c r="K60" s="28">
        <f t="shared" si="17"/>
        <v>30</v>
      </c>
      <c r="L60" s="28">
        <f t="shared" si="17"/>
        <v>30</v>
      </c>
      <c r="M60" s="28">
        <f t="shared" si="17"/>
        <v>30</v>
      </c>
      <c r="N60" s="28">
        <f t="shared" si="17"/>
        <v>30</v>
      </c>
      <c r="O60" s="28">
        <f t="shared" si="17"/>
        <v>30</v>
      </c>
      <c r="P60" s="28">
        <f t="shared" si="17"/>
        <v>30</v>
      </c>
    </row>
    <row r="61" spans="1:16" ht="23.25" customHeight="1">
      <c r="A61" s="861" t="s">
        <v>214</v>
      </c>
      <c r="B61" s="28" t="s">
        <v>25</v>
      </c>
      <c r="C61" s="28" t="s">
        <v>59</v>
      </c>
      <c r="D61" s="28"/>
      <c r="E61" s="28">
        <v>30.0059</v>
      </c>
      <c r="F61" s="979">
        <f t="shared" si="17"/>
        <v>29.9816</v>
      </c>
      <c r="G61" s="1001">
        <f t="shared" si="17"/>
        <v>30.7836</v>
      </c>
      <c r="H61" s="28">
        <f t="shared" si="17"/>
        <v>31.332999999999998</v>
      </c>
      <c r="I61" s="1231">
        <f t="shared" si="17"/>
        <v>31.2956</v>
      </c>
      <c r="J61" s="802">
        <f t="shared" si="17"/>
        <v>31.437000000000001</v>
      </c>
      <c r="K61" s="28">
        <f t="shared" si="17"/>
        <v>30</v>
      </c>
      <c r="L61" s="28">
        <f t="shared" si="17"/>
        <v>30</v>
      </c>
      <c r="M61" s="28">
        <f t="shared" si="17"/>
        <v>30</v>
      </c>
      <c r="N61" s="28">
        <f t="shared" si="17"/>
        <v>30</v>
      </c>
      <c r="O61" s="28">
        <f t="shared" si="17"/>
        <v>30</v>
      </c>
      <c r="P61" s="28">
        <f t="shared" si="17"/>
        <v>30</v>
      </c>
    </row>
    <row r="62" spans="1:16" ht="23.25" customHeight="1">
      <c r="A62" s="861" t="s">
        <v>214</v>
      </c>
      <c r="B62" s="32" t="s">
        <v>34</v>
      </c>
      <c r="C62" s="28" t="s">
        <v>60</v>
      </c>
      <c r="D62" s="28"/>
      <c r="E62" s="28">
        <v>30.0059</v>
      </c>
      <c r="F62" s="979">
        <f t="shared" si="17"/>
        <v>29.9816</v>
      </c>
      <c r="G62" s="1001">
        <f t="shared" si="17"/>
        <v>30.7836</v>
      </c>
      <c r="H62" s="28">
        <f t="shared" si="17"/>
        <v>31.332999999999998</v>
      </c>
      <c r="I62" s="1231">
        <f t="shared" si="17"/>
        <v>31.2956</v>
      </c>
      <c r="J62" s="802">
        <f t="shared" si="17"/>
        <v>31.437000000000001</v>
      </c>
      <c r="K62" s="28">
        <f t="shared" si="17"/>
        <v>30</v>
      </c>
      <c r="L62" s="28">
        <f t="shared" si="17"/>
        <v>30</v>
      </c>
      <c r="M62" s="28">
        <f t="shared" si="17"/>
        <v>30</v>
      </c>
      <c r="N62" s="28">
        <f t="shared" si="17"/>
        <v>30</v>
      </c>
      <c r="O62" s="28">
        <f t="shared" si="17"/>
        <v>30</v>
      </c>
      <c r="P62" s="28">
        <f t="shared" si="17"/>
        <v>30</v>
      </c>
    </row>
    <row r="63" spans="1:16" ht="23.25" customHeight="1">
      <c r="A63" s="861" t="s">
        <v>214</v>
      </c>
      <c r="B63" s="28" t="s">
        <v>25</v>
      </c>
      <c r="C63" s="28" t="s">
        <v>61</v>
      </c>
      <c r="D63" s="28"/>
      <c r="E63" s="28">
        <v>30.0059</v>
      </c>
      <c r="F63" s="979">
        <f t="shared" si="17"/>
        <v>29.9816</v>
      </c>
      <c r="G63" s="1001">
        <f t="shared" si="17"/>
        <v>30.7836</v>
      </c>
      <c r="H63" s="28">
        <f t="shared" si="17"/>
        <v>31.332999999999998</v>
      </c>
      <c r="I63" s="1231">
        <f t="shared" si="17"/>
        <v>31.2956</v>
      </c>
      <c r="J63" s="802">
        <f t="shared" si="17"/>
        <v>31.437000000000001</v>
      </c>
      <c r="K63" s="28">
        <f t="shared" si="17"/>
        <v>30</v>
      </c>
      <c r="L63" s="28">
        <f t="shared" si="17"/>
        <v>30</v>
      </c>
      <c r="M63" s="28">
        <f t="shared" si="17"/>
        <v>30</v>
      </c>
      <c r="N63" s="28">
        <f t="shared" si="17"/>
        <v>30</v>
      </c>
      <c r="O63" s="28">
        <f t="shared" si="17"/>
        <v>30</v>
      </c>
      <c r="P63" s="28">
        <f t="shared" si="17"/>
        <v>30</v>
      </c>
    </row>
    <row r="64" spans="1:16" ht="23.25" customHeight="1">
      <c r="A64" s="861" t="s">
        <v>214</v>
      </c>
      <c r="B64" s="32" t="s">
        <v>25</v>
      </c>
      <c r="C64" s="28" t="s">
        <v>62</v>
      </c>
      <c r="D64" s="28"/>
      <c r="E64" s="28">
        <v>30.0059</v>
      </c>
      <c r="F64" s="979">
        <f t="shared" si="17"/>
        <v>29.9816</v>
      </c>
      <c r="G64" s="1001">
        <f t="shared" si="17"/>
        <v>30.7836</v>
      </c>
      <c r="H64" s="28">
        <f t="shared" si="17"/>
        <v>31.332999999999998</v>
      </c>
      <c r="I64" s="1231">
        <f t="shared" si="17"/>
        <v>31.2956</v>
      </c>
      <c r="J64" s="802">
        <f t="shared" si="17"/>
        <v>31.437000000000001</v>
      </c>
      <c r="K64" s="28">
        <f t="shared" si="17"/>
        <v>30</v>
      </c>
      <c r="L64" s="28">
        <f t="shared" si="17"/>
        <v>30</v>
      </c>
      <c r="M64" s="28">
        <f t="shared" si="17"/>
        <v>30</v>
      </c>
      <c r="N64" s="28">
        <f t="shared" si="17"/>
        <v>30</v>
      </c>
      <c r="O64" s="28">
        <f t="shared" si="17"/>
        <v>30</v>
      </c>
      <c r="P64" s="28">
        <f t="shared" si="17"/>
        <v>30</v>
      </c>
    </row>
    <row r="65" spans="1:16" ht="23.25" customHeight="1">
      <c r="A65" s="861" t="s">
        <v>214</v>
      </c>
      <c r="B65" s="28" t="s">
        <v>25</v>
      </c>
      <c r="C65" s="28" t="s">
        <v>63</v>
      </c>
      <c r="D65" s="28"/>
      <c r="E65" s="28">
        <v>30.0059</v>
      </c>
      <c r="F65" s="979">
        <f t="shared" si="17"/>
        <v>29.9816</v>
      </c>
      <c r="G65" s="1001">
        <f t="shared" si="17"/>
        <v>30.7836</v>
      </c>
      <c r="H65" s="28">
        <f t="shared" si="17"/>
        <v>31.332999999999998</v>
      </c>
      <c r="I65" s="1231">
        <f t="shared" si="17"/>
        <v>31.2956</v>
      </c>
      <c r="J65" s="802">
        <f t="shared" si="17"/>
        <v>31.437000000000001</v>
      </c>
      <c r="K65" s="28">
        <f t="shared" si="17"/>
        <v>30</v>
      </c>
      <c r="L65" s="28">
        <f t="shared" si="17"/>
        <v>30</v>
      </c>
      <c r="M65" s="28">
        <f t="shared" si="17"/>
        <v>30</v>
      </c>
      <c r="N65" s="28">
        <f t="shared" si="17"/>
        <v>30</v>
      </c>
      <c r="O65" s="28">
        <f t="shared" si="17"/>
        <v>30</v>
      </c>
      <c r="P65" s="28">
        <f t="shared" si="17"/>
        <v>30</v>
      </c>
    </row>
    <row r="66" spans="1:16" ht="23.25" customHeight="1">
      <c r="A66" s="861" t="s">
        <v>214</v>
      </c>
      <c r="B66" s="32" t="s">
        <v>34</v>
      </c>
      <c r="C66" s="28" t="s">
        <v>64</v>
      </c>
      <c r="D66" s="28"/>
      <c r="E66" s="28">
        <v>30.0059</v>
      </c>
      <c r="F66" s="979">
        <f t="shared" si="17"/>
        <v>29.9816</v>
      </c>
      <c r="G66" s="1001">
        <f t="shared" si="17"/>
        <v>30.7836</v>
      </c>
      <c r="H66" s="28">
        <f t="shared" si="17"/>
        <v>31.332999999999998</v>
      </c>
      <c r="I66" s="1231">
        <f t="shared" si="17"/>
        <v>31.2956</v>
      </c>
      <c r="J66" s="802">
        <f t="shared" si="17"/>
        <v>31.437000000000001</v>
      </c>
      <c r="K66" s="28">
        <f t="shared" si="17"/>
        <v>30</v>
      </c>
      <c r="L66" s="28">
        <f t="shared" si="17"/>
        <v>30</v>
      </c>
      <c r="M66" s="28">
        <f t="shared" si="17"/>
        <v>30</v>
      </c>
      <c r="N66" s="28">
        <f t="shared" si="17"/>
        <v>30</v>
      </c>
      <c r="O66" s="28">
        <f t="shared" si="17"/>
        <v>30</v>
      </c>
      <c r="P66" s="28">
        <f t="shared" si="17"/>
        <v>30</v>
      </c>
    </row>
    <row r="67" spans="1:16" ht="23.25" customHeight="1">
      <c r="A67" s="861" t="s">
        <v>214</v>
      </c>
      <c r="B67" s="32"/>
      <c r="C67" s="33" t="s">
        <v>35</v>
      </c>
      <c r="D67" s="28"/>
      <c r="E67" s="28"/>
      <c r="F67" s="979"/>
      <c r="G67" s="1001"/>
      <c r="H67" s="28"/>
      <c r="I67" s="1231"/>
      <c r="J67" s="28"/>
      <c r="K67" s="28"/>
      <c r="L67" s="28"/>
      <c r="M67" s="28"/>
      <c r="N67" s="28"/>
      <c r="O67" s="28"/>
      <c r="P67" s="28"/>
    </row>
    <row r="68" spans="1:16" ht="23.25" customHeight="1">
      <c r="A68" s="861" t="s">
        <v>214</v>
      </c>
      <c r="B68" s="32"/>
      <c r="C68" s="33" t="s">
        <v>36</v>
      </c>
      <c r="D68" s="28"/>
      <c r="E68" s="28"/>
      <c r="F68" s="979"/>
      <c r="G68" s="1001"/>
      <c r="H68" s="28"/>
      <c r="I68" s="1231"/>
      <c r="J68" s="28"/>
      <c r="K68" s="28"/>
      <c r="L68" s="28"/>
      <c r="M68" s="28"/>
      <c r="N68" s="28"/>
      <c r="O68" s="28"/>
      <c r="P68" s="28"/>
    </row>
    <row r="69" spans="1:16" ht="23.25" customHeight="1">
      <c r="A69" s="861" t="s">
        <v>214</v>
      </c>
      <c r="B69" s="28"/>
      <c r="C69" s="33" t="s">
        <v>37</v>
      </c>
      <c r="D69" s="28"/>
      <c r="E69" s="28"/>
      <c r="F69" s="979"/>
      <c r="G69" s="1001"/>
      <c r="H69" s="28"/>
      <c r="I69" s="1231"/>
      <c r="J69" s="28"/>
      <c r="K69" s="28"/>
      <c r="L69" s="28"/>
      <c r="M69" s="28"/>
      <c r="N69" s="28"/>
      <c r="O69" s="28"/>
      <c r="P69" s="28"/>
    </row>
    <row r="70" spans="1:16" ht="23.25" customHeight="1">
      <c r="A70" s="861" t="s">
        <v>215</v>
      </c>
      <c r="B70" s="28" t="s">
        <v>25</v>
      </c>
      <c r="C70" s="35" t="s">
        <v>87</v>
      </c>
      <c r="D70" s="28"/>
      <c r="E70" s="28"/>
      <c r="F70" s="979"/>
      <c r="G70" s="1001"/>
      <c r="H70" s="28"/>
      <c r="I70" s="1231"/>
      <c r="J70" s="28"/>
      <c r="K70" s="28"/>
      <c r="L70" s="28"/>
      <c r="M70" s="28"/>
      <c r="N70" s="28"/>
      <c r="O70" s="28"/>
      <c r="P70" s="28"/>
    </row>
    <row r="71" spans="1:16" ht="23.25" customHeight="1">
      <c r="A71" s="861" t="s">
        <v>215</v>
      </c>
      <c r="B71" s="28" t="s">
        <v>25</v>
      </c>
      <c r="C71" s="35" t="s">
        <v>88</v>
      </c>
      <c r="D71" s="28"/>
      <c r="E71" s="28"/>
      <c r="F71" s="979"/>
      <c r="G71" s="1001"/>
      <c r="H71" s="28"/>
      <c r="I71" s="1231"/>
      <c r="J71" s="28"/>
      <c r="K71" s="28"/>
      <c r="L71" s="28"/>
      <c r="M71" s="28"/>
      <c r="N71" s="28"/>
      <c r="O71" s="28"/>
      <c r="P71" s="28"/>
    </row>
    <row r="72" spans="1:16" ht="23.25" customHeight="1">
      <c r="A72" s="861" t="s">
        <v>215</v>
      </c>
      <c r="B72" s="28" t="s">
        <v>25</v>
      </c>
      <c r="C72" s="35" t="s">
        <v>89</v>
      </c>
      <c r="D72" s="28"/>
      <c r="E72" s="28"/>
      <c r="F72" s="979"/>
      <c r="G72" s="1001"/>
      <c r="H72" s="28"/>
      <c r="I72" s="1231"/>
      <c r="J72" s="28"/>
      <c r="K72" s="28"/>
      <c r="L72" s="28"/>
      <c r="M72" s="28"/>
      <c r="N72" s="28"/>
      <c r="O72" s="28"/>
      <c r="P72" s="28"/>
    </row>
    <row r="73" spans="1:16" ht="23.25" customHeight="1">
      <c r="A73" s="861" t="s">
        <v>215</v>
      </c>
      <c r="B73" s="28" t="s">
        <v>25</v>
      </c>
      <c r="C73" s="35" t="s">
        <v>90</v>
      </c>
      <c r="D73" s="28"/>
      <c r="E73" s="28"/>
      <c r="F73" s="979"/>
      <c r="G73" s="1001"/>
      <c r="H73" s="28"/>
      <c r="I73" s="1231"/>
      <c r="J73" s="28"/>
      <c r="K73" s="28"/>
      <c r="L73" s="28"/>
      <c r="M73" s="28"/>
      <c r="N73" s="28"/>
      <c r="O73" s="28"/>
      <c r="P73" s="28"/>
    </row>
    <row r="74" spans="1:16" ht="23.25" customHeight="1">
      <c r="A74" s="861" t="s">
        <v>215</v>
      </c>
      <c r="B74" s="28" t="s">
        <v>76</v>
      </c>
      <c r="C74" s="35" t="s">
        <v>91</v>
      </c>
      <c r="D74" s="28"/>
      <c r="E74" s="28"/>
      <c r="F74" s="979"/>
      <c r="G74" s="1001"/>
      <c r="H74" s="28"/>
      <c r="I74" s="1231"/>
      <c r="J74" s="28"/>
      <c r="K74" s="28"/>
      <c r="L74" s="28"/>
      <c r="M74" s="28"/>
      <c r="N74" s="28"/>
      <c r="O74" s="28"/>
      <c r="P74" s="28"/>
    </row>
    <row r="75" spans="1:16" ht="23.25" customHeight="1">
      <c r="A75" s="861" t="s">
        <v>215</v>
      </c>
      <c r="B75" s="28" t="s">
        <v>25</v>
      </c>
      <c r="C75" s="35" t="s">
        <v>92</v>
      </c>
      <c r="D75" s="28"/>
      <c r="E75" s="28"/>
      <c r="F75" s="979"/>
      <c r="G75" s="1001"/>
      <c r="H75" s="28"/>
      <c r="I75" s="1231"/>
      <c r="J75" s="28"/>
      <c r="K75" s="28"/>
      <c r="L75" s="28"/>
      <c r="M75" s="28"/>
      <c r="N75" s="28"/>
      <c r="O75" s="28"/>
      <c r="P75" s="28"/>
    </row>
    <row r="76" spans="1:16" ht="23.25" customHeight="1">
      <c r="A76" s="861" t="s">
        <v>215</v>
      </c>
      <c r="B76" s="28" t="s">
        <v>25</v>
      </c>
      <c r="C76" s="35" t="s">
        <v>93</v>
      </c>
      <c r="D76" s="28"/>
      <c r="E76" s="28"/>
      <c r="F76" s="979"/>
      <c r="G76" s="1001"/>
      <c r="H76" s="28"/>
      <c r="I76" s="1231"/>
      <c r="J76" s="28"/>
      <c r="K76" s="28"/>
      <c r="L76" s="28"/>
      <c r="M76" s="28"/>
      <c r="N76" s="28"/>
      <c r="O76" s="28"/>
      <c r="P76" s="28"/>
    </row>
    <row r="77" spans="1:16" ht="23.25" customHeight="1">
      <c r="A77" s="861" t="s">
        <v>215</v>
      </c>
      <c r="B77" s="28" t="s">
        <v>25</v>
      </c>
      <c r="C77" s="35" t="s">
        <v>95</v>
      </c>
      <c r="D77" s="28"/>
      <c r="E77" s="28"/>
      <c r="F77" s="979"/>
      <c r="G77" s="1001"/>
      <c r="H77" s="28"/>
      <c r="I77" s="1231"/>
      <c r="J77" s="28"/>
      <c r="K77" s="28"/>
      <c r="L77" s="28"/>
      <c r="M77" s="28"/>
      <c r="N77" s="28"/>
      <c r="O77" s="28"/>
      <c r="P77" s="28"/>
    </row>
    <row r="78" spans="1:16" ht="23.25" customHeight="1">
      <c r="A78" s="861" t="s">
        <v>215</v>
      </c>
      <c r="B78" s="28" t="s">
        <v>25</v>
      </c>
      <c r="C78" s="35" t="s">
        <v>96</v>
      </c>
      <c r="D78" s="28"/>
      <c r="E78" s="28"/>
      <c r="F78" s="979"/>
      <c r="G78" s="1001"/>
      <c r="H78" s="28"/>
      <c r="I78" s="1231"/>
      <c r="J78" s="28"/>
      <c r="K78" s="28"/>
      <c r="L78" s="28"/>
      <c r="M78" s="28"/>
      <c r="N78" s="28"/>
      <c r="O78" s="28"/>
      <c r="P78" s="28"/>
    </row>
    <row r="79" spans="1:16" ht="23.25" customHeight="1">
      <c r="A79" s="861" t="s">
        <v>215</v>
      </c>
      <c r="B79" s="28" t="s">
        <v>25</v>
      </c>
      <c r="C79" s="35" t="s">
        <v>98</v>
      </c>
      <c r="D79" s="28"/>
      <c r="E79" s="28"/>
      <c r="F79" s="979"/>
      <c r="G79" s="1001"/>
      <c r="H79" s="28"/>
      <c r="I79" s="1231"/>
      <c r="J79" s="28"/>
      <c r="K79" s="28"/>
      <c r="L79" s="28"/>
      <c r="M79" s="28"/>
      <c r="N79" s="28"/>
      <c r="O79" s="28"/>
      <c r="P79" s="28"/>
    </row>
    <row r="80" spans="1:16" ht="23.25" customHeight="1">
      <c r="A80" s="861" t="s">
        <v>215</v>
      </c>
      <c r="B80" s="28" t="s">
        <v>25</v>
      </c>
      <c r="C80" s="35" t="s">
        <v>99</v>
      </c>
      <c r="D80" s="28"/>
      <c r="E80" s="28"/>
      <c r="F80" s="979"/>
      <c r="G80" s="1001"/>
      <c r="H80" s="28"/>
      <c r="I80" s="1231"/>
      <c r="J80" s="28"/>
      <c r="K80" s="28"/>
      <c r="L80" s="28"/>
      <c r="M80" s="28"/>
      <c r="N80" s="28"/>
      <c r="O80" s="28"/>
      <c r="P80" s="28"/>
    </row>
    <row r="81" spans="1:16" ht="23.25" customHeight="1">
      <c r="A81" s="861" t="s">
        <v>215</v>
      </c>
      <c r="B81" s="28" t="s">
        <v>25</v>
      </c>
      <c r="C81" s="35" t="s">
        <v>600</v>
      </c>
      <c r="D81" s="28"/>
      <c r="E81" s="28"/>
      <c r="F81" s="979"/>
      <c r="G81" s="1001"/>
      <c r="H81" s="28"/>
      <c r="I81" s="1231"/>
      <c r="J81" s="28"/>
      <c r="K81" s="28"/>
      <c r="L81" s="28"/>
      <c r="M81" s="28"/>
      <c r="N81" s="28"/>
      <c r="O81" s="28"/>
      <c r="P81" s="28"/>
    </row>
    <row r="82" spans="1:16" ht="23.25" customHeight="1">
      <c r="A82" s="861" t="s">
        <v>215</v>
      </c>
      <c r="B82" s="28" t="s">
        <v>25</v>
      </c>
      <c r="C82" s="35" t="s">
        <v>102</v>
      </c>
      <c r="D82" s="28"/>
      <c r="E82" s="28"/>
      <c r="F82" s="979"/>
      <c r="G82" s="1001"/>
      <c r="H82" s="28"/>
      <c r="I82" s="1231"/>
      <c r="J82" s="28"/>
      <c r="K82" s="28"/>
      <c r="L82" s="28"/>
      <c r="M82" s="28"/>
      <c r="N82" s="28"/>
      <c r="O82" s="28"/>
      <c r="P82" s="28"/>
    </row>
    <row r="83" spans="1:16" ht="23.25" customHeight="1">
      <c r="A83" s="861" t="s">
        <v>215</v>
      </c>
      <c r="B83" s="28" t="s">
        <v>25</v>
      </c>
      <c r="C83" s="35" t="s">
        <v>103</v>
      </c>
      <c r="D83" s="28"/>
      <c r="E83" s="28"/>
      <c r="F83" s="979"/>
      <c r="G83" s="1001"/>
      <c r="H83" s="28"/>
      <c r="I83" s="1231"/>
      <c r="J83" s="28"/>
      <c r="K83" s="28"/>
      <c r="L83" s="28"/>
      <c r="M83" s="28"/>
      <c r="N83" s="28"/>
      <c r="O83" s="28"/>
      <c r="P83" s="28"/>
    </row>
    <row r="84" spans="1:16" ht="23.25" customHeight="1">
      <c r="A84" s="861" t="s">
        <v>215</v>
      </c>
      <c r="B84" s="28" t="s">
        <v>25</v>
      </c>
      <c r="C84" s="35" t="s">
        <v>104</v>
      </c>
      <c r="D84" s="28"/>
      <c r="E84" s="28"/>
      <c r="F84" s="979"/>
      <c r="G84" s="1001"/>
      <c r="H84" s="28"/>
      <c r="I84" s="1231"/>
      <c r="J84" s="28"/>
      <c r="K84" s="28"/>
      <c r="L84" s="28"/>
      <c r="M84" s="28"/>
      <c r="N84" s="28"/>
      <c r="O84" s="28"/>
      <c r="P84" s="28"/>
    </row>
    <row r="85" spans="1:16" ht="23.25" customHeight="1">
      <c r="A85" s="861" t="s">
        <v>215</v>
      </c>
      <c r="B85" s="28" t="s">
        <v>25</v>
      </c>
      <c r="C85" s="38" t="s">
        <v>105</v>
      </c>
      <c r="D85" s="28"/>
      <c r="E85" s="28"/>
      <c r="F85" s="979"/>
      <c r="G85" s="1001"/>
      <c r="H85" s="28"/>
      <c r="I85" s="1231"/>
      <c r="J85" s="28"/>
      <c r="K85" s="28"/>
      <c r="L85" s="28"/>
      <c r="M85" s="28"/>
      <c r="N85" s="28"/>
      <c r="O85" s="28"/>
      <c r="P85" s="28"/>
    </row>
    <row r="86" spans="1:16" ht="23.25" customHeight="1">
      <c r="A86" s="861" t="s">
        <v>215</v>
      </c>
      <c r="B86" s="28" t="s">
        <v>25</v>
      </c>
      <c r="C86" s="38" t="s">
        <v>106</v>
      </c>
      <c r="D86" s="28"/>
      <c r="E86" s="28"/>
      <c r="F86" s="979"/>
      <c r="G86" s="1001"/>
      <c r="H86" s="28"/>
      <c r="I86" s="1231"/>
      <c r="J86" s="28"/>
      <c r="K86" s="28"/>
      <c r="L86" s="28"/>
      <c r="M86" s="28"/>
      <c r="N86" s="28"/>
      <c r="O86" s="28"/>
      <c r="P86" s="28"/>
    </row>
    <row r="87" spans="1:16" ht="23.25" customHeight="1">
      <c r="A87" s="861" t="s">
        <v>215</v>
      </c>
      <c r="B87" s="28" t="s">
        <v>25</v>
      </c>
      <c r="C87" s="38" t="s">
        <v>107</v>
      </c>
      <c r="D87" s="28"/>
      <c r="E87" s="28"/>
      <c r="F87" s="979"/>
      <c r="G87" s="1001"/>
      <c r="H87" s="28"/>
      <c r="I87" s="1231"/>
      <c r="J87" s="28"/>
      <c r="K87" s="28"/>
      <c r="L87" s="28"/>
      <c r="M87" s="28"/>
      <c r="N87" s="28"/>
      <c r="O87" s="28"/>
      <c r="P87" s="28"/>
    </row>
    <row r="88" spans="1:16" ht="23.25" customHeight="1">
      <c r="A88" s="861" t="s">
        <v>215</v>
      </c>
      <c r="B88" s="28" t="s">
        <v>25</v>
      </c>
      <c r="C88" s="38" t="s">
        <v>108</v>
      </c>
      <c r="D88" s="28"/>
      <c r="E88" s="28"/>
      <c r="F88" s="979"/>
      <c r="G88" s="1001"/>
      <c r="H88" s="28"/>
      <c r="I88" s="1231"/>
      <c r="J88" s="28"/>
      <c r="K88" s="28"/>
      <c r="L88" s="28"/>
      <c r="M88" s="28"/>
      <c r="N88" s="28"/>
      <c r="O88" s="28"/>
      <c r="P88" s="28"/>
    </row>
    <row r="89" spans="1:16" ht="23.25" customHeight="1">
      <c r="A89" s="861" t="s">
        <v>215</v>
      </c>
      <c r="B89" s="28" t="s">
        <v>25</v>
      </c>
      <c r="C89" s="38" t="s">
        <v>109</v>
      </c>
      <c r="D89" s="28"/>
      <c r="E89" s="28"/>
      <c r="F89" s="979"/>
      <c r="G89" s="1001"/>
      <c r="H89" s="28"/>
      <c r="I89" s="1231"/>
      <c r="J89" s="28"/>
      <c r="K89" s="28"/>
      <c r="L89" s="28"/>
      <c r="M89" s="28"/>
      <c r="N89" s="28"/>
      <c r="O89" s="28"/>
      <c r="P89" s="28"/>
    </row>
    <row r="90" spans="1:16" ht="23.25" customHeight="1">
      <c r="A90" s="861" t="s">
        <v>215</v>
      </c>
      <c r="B90" s="28" t="s">
        <v>25</v>
      </c>
      <c r="C90" s="38" t="s">
        <v>110</v>
      </c>
      <c r="D90" s="28"/>
      <c r="E90" s="28"/>
      <c r="F90" s="979"/>
      <c r="G90" s="1001"/>
      <c r="H90" s="28"/>
      <c r="I90" s="1231"/>
      <c r="J90" s="28"/>
      <c r="K90" s="28"/>
      <c r="L90" s="28"/>
      <c r="M90" s="28"/>
      <c r="N90" s="28"/>
      <c r="O90" s="28"/>
      <c r="P90" s="28"/>
    </row>
    <row r="91" spans="1:16" ht="23.25" customHeight="1">
      <c r="A91" s="861" t="s">
        <v>215</v>
      </c>
      <c r="B91" s="28" t="s">
        <v>25</v>
      </c>
      <c r="C91" s="38" t="s">
        <v>111</v>
      </c>
      <c r="D91" s="28"/>
      <c r="E91" s="28"/>
      <c r="F91" s="979"/>
      <c r="G91" s="1001"/>
      <c r="H91" s="28"/>
      <c r="I91" s="1231"/>
      <c r="J91" s="28"/>
      <c r="K91" s="28"/>
      <c r="L91" s="28"/>
      <c r="M91" s="28"/>
      <c r="N91" s="28"/>
      <c r="O91" s="28"/>
      <c r="P91" s="28"/>
    </row>
    <row r="92" spans="1:16" ht="23.25" customHeight="1">
      <c r="A92" s="861" t="s">
        <v>215</v>
      </c>
      <c r="B92" s="28" t="s">
        <v>25</v>
      </c>
      <c r="C92" s="38" t="s">
        <v>112</v>
      </c>
      <c r="D92" s="28"/>
      <c r="E92" s="28"/>
      <c r="F92" s="979"/>
      <c r="G92" s="1001"/>
      <c r="H92" s="28"/>
      <c r="I92" s="1231"/>
      <c r="J92" s="28"/>
      <c r="K92" s="28"/>
      <c r="L92" s="28"/>
      <c r="M92" s="28"/>
      <c r="N92" s="28"/>
      <c r="O92" s="28"/>
      <c r="P92" s="28"/>
    </row>
    <row r="93" spans="1:16" ht="23.25" customHeight="1">
      <c r="A93" s="861" t="s">
        <v>215</v>
      </c>
      <c r="B93" s="28" t="s">
        <v>25</v>
      </c>
      <c r="C93" s="28" t="s">
        <v>113</v>
      </c>
      <c r="D93" s="28"/>
      <c r="E93" s="28"/>
      <c r="F93" s="979"/>
      <c r="G93" s="1001"/>
      <c r="H93" s="28"/>
      <c r="I93" s="1231"/>
      <c r="J93" s="28"/>
      <c r="K93" s="28"/>
      <c r="L93" s="28"/>
      <c r="M93" s="28"/>
      <c r="N93" s="28"/>
      <c r="O93" s="28"/>
      <c r="P93" s="28"/>
    </row>
    <row r="94" spans="1:16" ht="23.25" customHeight="1">
      <c r="A94" s="861" t="s">
        <v>215</v>
      </c>
      <c r="B94" s="28" t="s">
        <v>25</v>
      </c>
      <c r="C94" s="28" t="s">
        <v>114</v>
      </c>
      <c r="D94" s="28"/>
      <c r="E94" s="28"/>
      <c r="F94" s="979"/>
      <c r="G94" s="1001"/>
      <c r="H94" s="28"/>
      <c r="I94" s="1231"/>
      <c r="J94" s="28"/>
      <c r="K94" s="28"/>
      <c r="L94" s="28"/>
      <c r="M94" s="28"/>
      <c r="N94" s="28"/>
      <c r="O94" s="28"/>
      <c r="P94" s="28"/>
    </row>
    <row r="95" spans="1:16" ht="23.25" customHeight="1">
      <c r="A95" s="861" t="s">
        <v>215</v>
      </c>
      <c r="B95" s="28"/>
      <c r="C95" s="34" t="s">
        <v>37</v>
      </c>
      <c r="D95" s="28"/>
      <c r="E95" s="28"/>
      <c r="F95" s="979"/>
      <c r="G95" s="1001"/>
      <c r="H95" s="28"/>
      <c r="I95" s="1231"/>
      <c r="J95" s="28"/>
      <c r="K95" s="28"/>
      <c r="L95" s="28"/>
      <c r="M95" s="28"/>
      <c r="N95" s="28"/>
      <c r="O95" s="28"/>
      <c r="P95" s="28"/>
    </row>
    <row r="96" spans="1:16" ht="23.25" customHeight="1">
      <c r="A96" s="861" t="s">
        <v>592</v>
      </c>
      <c r="B96" s="28" t="s">
        <v>131</v>
      </c>
      <c r="C96" s="36" t="s">
        <v>115</v>
      </c>
      <c r="D96" s="28"/>
      <c r="E96" s="28"/>
      <c r="F96" s="979"/>
      <c r="G96" s="1001"/>
      <c r="H96" s="28"/>
      <c r="I96" s="1231"/>
      <c r="J96" s="28"/>
      <c r="K96" s="28"/>
      <c r="L96" s="28"/>
      <c r="M96" s="28"/>
      <c r="N96" s="28"/>
      <c r="O96" s="28"/>
      <c r="P96" s="28"/>
    </row>
    <row r="97" spans="1:16" ht="23.25" customHeight="1">
      <c r="A97" s="861" t="s">
        <v>592</v>
      </c>
      <c r="B97" s="28" t="s">
        <v>134</v>
      </c>
      <c r="C97" s="36" t="s">
        <v>116</v>
      </c>
      <c r="D97" s="28"/>
      <c r="E97" s="28"/>
      <c r="F97" s="979"/>
      <c r="G97" s="1001"/>
      <c r="H97" s="28"/>
      <c r="I97" s="1231"/>
      <c r="J97" s="28"/>
      <c r="K97" s="28"/>
      <c r="L97" s="28"/>
      <c r="M97" s="28"/>
      <c r="N97" s="28"/>
      <c r="O97" s="28"/>
      <c r="P97" s="28"/>
    </row>
    <row r="98" spans="1:16" ht="23.25" customHeight="1">
      <c r="A98" s="861" t="s">
        <v>592</v>
      </c>
      <c r="B98" s="28" t="s">
        <v>132</v>
      </c>
      <c r="C98" s="36" t="s">
        <v>643</v>
      </c>
      <c r="D98" s="28"/>
      <c r="E98" s="28"/>
      <c r="F98" s="979"/>
      <c r="G98" s="1001"/>
      <c r="H98" s="28"/>
      <c r="I98" s="1231"/>
      <c r="J98" s="28"/>
      <c r="K98" s="28"/>
      <c r="L98" s="28"/>
      <c r="M98" s="28"/>
      <c r="N98" s="28"/>
      <c r="O98" s="28"/>
      <c r="P98" s="28"/>
    </row>
    <row r="99" spans="1:16" ht="23.25" customHeight="1">
      <c r="A99" s="861" t="s">
        <v>592</v>
      </c>
      <c r="B99" s="28" t="s">
        <v>134</v>
      </c>
      <c r="C99" s="224" t="s">
        <v>94</v>
      </c>
      <c r="D99" s="28"/>
      <c r="E99" s="28"/>
      <c r="F99" s="979"/>
      <c r="G99" s="1001"/>
      <c r="H99" s="28"/>
      <c r="I99" s="1231"/>
      <c r="J99" s="28"/>
      <c r="K99" s="28"/>
      <c r="L99" s="28"/>
      <c r="M99" s="28"/>
      <c r="N99" s="28"/>
      <c r="O99" s="28"/>
      <c r="P99" s="28"/>
    </row>
    <row r="100" spans="1:16" ht="23.25" customHeight="1">
      <c r="A100" s="861" t="s">
        <v>592</v>
      </c>
      <c r="B100" s="28" t="s">
        <v>132</v>
      </c>
      <c r="C100" s="986" t="s">
        <v>117</v>
      </c>
      <c r="D100" s="28"/>
      <c r="E100" s="28"/>
      <c r="F100" s="979"/>
      <c r="G100" s="1001"/>
      <c r="H100" s="28"/>
      <c r="I100" s="1231"/>
      <c r="J100" s="28"/>
      <c r="K100" s="28"/>
      <c r="L100" s="28"/>
      <c r="M100" s="28"/>
      <c r="N100" s="28"/>
      <c r="O100" s="28"/>
      <c r="P100" s="28"/>
    </row>
    <row r="101" spans="1:16" ht="23.25" customHeight="1">
      <c r="A101" s="861" t="s">
        <v>592</v>
      </c>
      <c r="B101" s="28" t="s">
        <v>134</v>
      </c>
      <c r="C101" s="986" t="s">
        <v>118</v>
      </c>
      <c r="D101" s="28"/>
      <c r="E101" s="28"/>
      <c r="F101" s="979"/>
      <c r="G101" s="1001"/>
      <c r="H101" s="28"/>
      <c r="I101" s="1231"/>
      <c r="J101" s="28"/>
      <c r="K101" s="28"/>
      <c r="L101" s="28"/>
      <c r="M101" s="28"/>
      <c r="N101" s="28"/>
      <c r="O101" s="28"/>
      <c r="P101" s="28"/>
    </row>
    <row r="102" spans="1:16" ht="23.25" customHeight="1">
      <c r="A102" s="861" t="s">
        <v>592</v>
      </c>
      <c r="B102" s="28" t="s">
        <v>133</v>
      </c>
      <c r="C102" s="986" t="s">
        <v>119</v>
      </c>
      <c r="D102" s="28"/>
      <c r="E102" s="28"/>
      <c r="F102" s="979"/>
      <c r="G102" s="1001"/>
      <c r="H102" s="28"/>
      <c r="I102" s="1231"/>
      <c r="J102" s="28"/>
      <c r="K102" s="28"/>
      <c r="L102" s="28"/>
      <c r="M102" s="28"/>
      <c r="N102" s="28"/>
      <c r="O102" s="28"/>
      <c r="P102" s="28"/>
    </row>
    <row r="103" spans="1:16" ht="23.25" customHeight="1">
      <c r="A103" s="861" t="s">
        <v>592</v>
      </c>
      <c r="B103" s="28" t="s">
        <v>134</v>
      </c>
      <c r="C103" s="986" t="s">
        <v>97</v>
      </c>
      <c r="D103" s="28"/>
      <c r="E103" s="28"/>
      <c r="F103" s="979"/>
      <c r="G103" s="1001"/>
      <c r="H103" s="28"/>
      <c r="I103" s="1231"/>
      <c r="J103" s="28"/>
      <c r="K103" s="28"/>
      <c r="L103" s="28"/>
      <c r="M103" s="28"/>
      <c r="N103" s="28"/>
      <c r="O103" s="28"/>
      <c r="P103" s="28"/>
    </row>
    <row r="104" spans="1:16" ht="23.25" customHeight="1">
      <c r="A104" s="861" t="s">
        <v>592</v>
      </c>
      <c r="B104" s="28" t="s">
        <v>134</v>
      </c>
      <c r="C104" s="986" t="s">
        <v>100</v>
      </c>
      <c r="D104" s="28"/>
      <c r="E104" s="28"/>
      <c r="F104" s="979"/>
      <c r="G104" s="1001"/>
      <c r="H104" s="28"/>
      <c r="I104" s="1231"/>
      <c r="J104" s="28"/>
      <c r="K104" s="28"/>
      <c r="L104" s="28"/>
      <c r="M104" s="28"/>
      <c r="N104" s="28"/>
      <c r="O104" s="28"/>
      <c r="P104" s="28"/>
    </row>
    <row r="105" spans="1:16" ht="23.25" customHeight="1">
      <c r="A105" s="861" t="s">
        <v>592</v>
      </c>
      <c r="B105" s="28" t="s">
        <v>134</v>
      </c>
      <c r="C105" s="224" t="s">
        <v>101</v>
      </c>
      <c r="D105" s="28"/>
      <c r="E105" s="28"/>
      <c r="F105" s="979"/>
      <c r="G105" s="1001"/>
      <c r="H105" s="28"/>
      <c r="I105" s="1231"/>
      <c r="J105" s="28"/>
      <c r="K105" s="28"/>
      <c r="L105" s="28"/>
      <c r="M105" s="28"/>
      <c r="N105" s="28"/>
      <c r="O105" s="28"/>
      <c r="P105" s="28"/>
    </row>
    <row r="106" spans="1:16" ht="23.25" customHeight="1">
      <c r="A106" s="861" t="s">
        <v>592</v>
      </c>
      <c r="B106" s="28" t="s">
        <v>132</v>
      </c>
      <c r="C106" s="224" t="s">
        <v>120</v>
      </c>
      <c r="D106" s="28"/>
      <c r="E106" s="28"/>
      <c r="F106" s="979"/>
      <c r="G106" s="1001"/>
      <c r="H106" s="28"/>
      <c r="I106" s="1231"/>
      <c r="J106" s="28"/>
      <c r="K106" s="28"/>
      <c r="L106" s="28"/>
      <c r="M106" s="28"/>
      <c r="N106" s="28"/>
      <c r="O106" s="28"/>
      <c r="P106" s="28"/>
    </row>
    <row r="107" spans="1:16" ht="23.25" customHeight="1">
      <c r="A107" s="861" t="s">
        <v>592</v>
      </c>
      <c r="B107" s="28" t="s">
        <v>133</v>
      </c>
      <c r="C107" s="224" t="s">
        <v>121</v>
      </c>
      <c r="D107" s="28"/>
      <c r="E107" s="28"/>
      <c r="F107" s="979"/>
      <c r="G107" s="1001"/>
      <c r="H107" s="28"/>
      <c r="I107" s="1231"/>
      <c r="J107" s="28"/>
      <c r="K107" s="28"/>
      <c r="L107" s="28"/>
      <c r="M107" s="28"/>
      <c r="N107" s="28"/>
      <c r="O107" s="28"/>
      <c r="P107" s="28"/>
    </row>
    <row r="108" spans="1:16" ht="23.25" customHeight="1">
      <c r="A108" s="861" t="s">
        <v>592</v>
      </c>
      <c r="B108" s="28" t="s">
        <v>134</v>
      </c>
      <c r="C108" s="28" t="s">
        <v>122</v>
      </c>
      <c r="D108" s="28"/>
      <c r="E108" s="28"/>
      <c r="F108" s="979"/>
      <c r="G108" s="1001"/>
      <c r="H108" s="28"/>
      <c r="I108" s="1231"/>
      <c r="J108" s="28"/>
      <c r="K108" s="28"/>
      <c r="L108" s="28"/>
      <c r="M108" s="28"/>
      <c r="N108" s="28"/>
      <c r="O108" s="28"/>
      <c r="P108" s="28"/>
    </row>
    <row r="109" spans="1:16" ht="23.25" customHeight="1">
      <c r="A109" s="861" t="s">
        <v>592</v>
      </c>
      <c r="B109" s="28" t="s">
        <v>134</v>
      </c>
      <c r="C109" s="28" t="s">
        <v>123</v>
      </c>
      <c r="D109" s="28"/>
      <c r="E109" s="28"/>
      <c r="F109" s="979"/>
      <c r="G109" s="1001"/>
      <c r="H109" s="28"/>
      <c r="I109" s="1231"/>
      <c r="J109" s="28"/>
      <c r="K109" s="28"/>
      <c r="L109" s="28"/>
      <c r="M109" s="28"/>
      <c r="N109" s="28"/>
      <c r="O109" s="28"/>
      <c r="P109" s="28"/>
    </row>
    <row r="110" spans="1:16" ht="23.25" customHeight="1">
      <c r="A110" s="861" t="s">
        <v>592</v>
      </c>
      <c r="B110" s="28" t="s">
        <v>134</v>
      </c>
      <c r="C110" s="40" t="s">
        <v>124</v>
      </c>
      <c r="D110" s="28"/>
      <c r="E110" s="28"/>
      <c r="F110" s="979"/>
      <c r="G110" s="1001"/>
      <c r="H110" s="28"/>
      <c r="I110" s="1231"/>
      <c r="J110" s="28"/>
      <c r="K110" s="28"/>
      <c r="L110" s="28"/>
      <c r="M110" s="28"/>
      <c r="N110" s="28"/>
      <c r="O110" s="28"/>
      <c r="P110" s="28"/>
    </row>
    <row r="111" spans="1:16" ht="23.25" customHeight="1">
      <c r="A111" s="861" t="s">
        <v>592</v>
      </c>
      <c r="B111" s="28" t="s">
        <v>134</v>
      </c>
      <c r="C111" s="40" t="s">
        <v>125</v>
      </c>
      <c r="D111" s="28"/>
      <c r="E111" s="28"/>
      <c r="F111" s="979"/>
      <c r="G111" s="1001"/>
      <c r="H111" s="28"/>
      <c r="I111" s="1231"/>
      <c r="J111" s="28"/>
      <c r="K111" s="28"/>
      <c r="L111" s="28"/>
      <c r="M111" s="28"/>
      <c r="N111" s="28"/>
      <c r="O111" s="28"/>
      <c r="P111" s="28"/>
    </row>
    <row r="112" spans="1:16" ht="23.25" customHeight="1">
      <c r="A112" s="861" t="s">
        <v>592</v>
      </c>
      <c r="B112" s="28" t="s">
        <v>134</v>
      </c>
      <c r="C112" s="40" t="s">
        <v>126</v>
      </c>
      <c r="D112" s="28"/>
      <c r="E112" s="28"/>
      <c r="F112" s="979"/>
      <c r="G112" s="1001"/>
      <c r="H112" s="28"/>
      <c r="I112" s="1231"/>
      <c r="J112" s="28"/>
      <c r="K112" s="28"/>
      <c r="L112" s="28"/>
      <c r="M112" s="28"/>
      <c r="N112" s="28"/>
      <c r="O112" s="28"/>
      <c r="P112" s="28"/>
    </row>
    <row r="113" spans="1:16" ht="23.25" customHeight="1">
      <c r="A113" s="861" t="s">
        <v>592</v>
      </c>
      <c r="B113" s="28" t="s">
        <v>134</v>
      </c>
      <c r="C113" s="40" t="s">
        <v>127</v>
      </c>
      <c r="D113" s="28"/>
      <c r="E113" s="28"/>
      <c r="F113" s="979"/>
      <c r="G113" s="1001"/>
      <c r="H113" s="28"/>
      <c r="I113" s="1231"/>
      <c r="J113" s="28"/>
      <c r="K113" s="28"/>
      <c r="L113" s="28"/>
      <c r="M113" s="28"/>
      <c r="N113" s="28"/>
      <c r="O113" s="28"/>
      <c r="P113" s="28"/>
    </row>
    <row r="114" spans="1:16" ht="23.25" customHeight="1">
      <c r="A114" s="861" t="s">
        <v>592</v>
      </c>
      <c r="B114" s="28" t="s">
        <v>134</v>
      </c>
      <c r="C114" s="28" t="s">
        <v>128</v>
      </c>
      <c r="D114" s="28"/>
      <c r="E114" s="28"/>
      <c r="F114" s="979"/>
      <c r="G114" s="1001"/>
      <c r="H114" s="28"/>
      <c r="I114" s="1231"/>
      <c r="J114" s="28"/>
      <c r="K114" s="28"/>
      <c r="L114" s="28"/>
      <c r="M114" s="28"/>
      <c r="N114" s="28"/>
      <c r="O114" s="28"/>
      <c r="P114" s="28"/>
    </row>
    <row r="115" spans="1:16" ht="23.25" customHeight="1">
      <c r="A115" s="861" t="s">
        <v>592</v>
      </c>
      <c r="B115" s="28" t="s">
        <v>134</v>
      </c>
      <c r="C115" s="28" t="s">
        <v>129</v>
      </c>
      <c r="D115" s="28"/>
      <c r="E115" s="28"/>
      <c r="F115" s="979"/>
      <c r="G115" s="1001"/>
      <c r="H115" s="28"/>
      <c r="I115" s="1231"/>
      <c r="J115" s="28"/>
      <c r="K115" s="28"/>
      <c r="L115" s="28"/>
      <c r="M115" s="28"/>
      <c r="N115" s="28"/>
      <c r="O115" s="28"/>
      <c r="P115" s="28"/>
    </row>
    <row r="116" spans="1:16" ht="23.25" customHeight="1">
      <c r="A116" s="861" t="s">
        <v>592</v>
      </c>
      <c r="B116" s="28" t="s">
        <v>132</v>
      </c>
      <c r="C116" s="28" t="s">
        <v>130</v>
      </c>
      <c r="D116" s="28"/>
      <c r="E116" s="28"/>
      <c r="F116" s="979"/>
      <c r="G116" s="1001"/>
      <c r="H116" s="28"/>
      <c r="I116" s="1231"/>
      <c r="J116" s="28"/>
      <c r="K116" s="28"/>
      <c r="L116" s="28"/>
      <c r="M116" s="28"/>
      <c r="N116" s="28"/>
      <c r="O116" s="28"/>
      <c r="P116" s="28"/>
    </row>
    <row r="117" spans="1:16" ht="23.25" customHeight="1">
      <c r="A117" s="861" t="s">
        <v>592</v>
      </c>
      <c r="B117" s="28"/>
      <c r="C117" s="34" t="s">
        <v>37</v>
      </c>
      <c r="D117" s="28"/>
      <c r="E117" s="28"/>
      <c r="F117" s="979"/>
      <c r="G117" s="1001"/>
      <c r="H117" s="28"/>
      <c r="I117" s="1231"/>
      <c r="J117" s="28"/>
      <c r="K117" s="28"/>
      <c r="L117" s="28"/>
      <c r="M117" s="28"/>
      <c r="N117" s="28"/>
      <c r="O117" s="28"/>
      <c r="P117" s="28"/>
    </row>
    <row r="118" spans="1:16" ht="23.25" customHeight="1">
      <c r="A118" s="861" t="s">
        <v>593</v>
      </c>
      <c r="B118" s="41" t="s">
        <v>34</v>
      </c>
      <c r="C118" s="28" t="s">
        <v>68</v>
      </c>
      <c r="D118" s="28"/>
      <c r="E118" s="28"/>
      <c r="F118" s="979"/>
      <c r="G118" s="1001"/>
      <c r="H118" s="28"/>
      <c r="I118" s="1231"/>
      <c r="J118" s="28"/>
      <c r="K118" s="28"/>
      <c r="L118" s="28"/>
      <c r="M118" s="28"/>
      <c r="N118" s="28"/>
      <c r="O118" s="28"/>
      <c r="P118" s="28"/>
    </row>
    <row r="119" spans="1:16" ht="23.25" customHeight="1">
      <c r="A119" s="861" t="s">
        <v>593</v>
      </c>
      <c r="B119" s="41" t="s">
        <v>34</v>
      </c>
      <c r="C119" s="28" t="s">
        <v>577</v>
      </c>
      <c r="D119" s="28"/>
      <c r="E119" s="28"/>
      <c r="F119" s="979"/>
      <c r="G119" s="1001"/>
      <c r="H119" s="28"/>
      <c r="I119" s="1231"/>
      <c r="J119" s="28"/>
      <c r="K119" s="28"/>
      <c r="L119" s="28"/>
      <c r="M119" s="28"/>
      <c r="N119" s="28"/>
      <c r="O119" s="28"/>
      <c r="P119" s="28"/>
    </row>
    <row r="120" spans="1:16" ht="23.25" customHeight="1">
      <c r="A120" s="861" t="s">
        <v>593</v>
      </c>
      <c r="B120" s="41" t="s">
        <v>34</v>
      </c>
      <c r="C120" s="28" t="s">
        <v>226</v>
      </c>
      <c r="D120" s="28"/>
      <c r="E120" s="28"/>
      <c r="F120" s="979"/>
      <c r="G120" s="1001"/>
      <c r="H120" s="28"/>
      <c r="I120" s="1231"/>
      <c r="J120" s="28"/>
      <c r="K120" s="28"/>
      <c r="L120" s="28"/>
      <c r="M120" s="28"/>
      <c r="N120" s="28"/>
      <c r="O120" s="28"/>
      <c r="P120" s="28"/>
    </row>
    <row r="121" spans="1:16" ht="23.25" customHeight="1">
      <c r="A121" s="861" t="s">
        <v>593</v>
      </c>
      <c r="B121" s="41" t="s">
        <v>34</v>
      </c>
      <c r="C121" s="28" t="s">
        <v>280</v>
      </c>
      <c r="D121" s="28"/>
      <c r="E121" s="28"/>
      <c r="F121" s="979"/>
      <c r="G121" s="1001"/>
      <c r="H121" s="28"/>
      <c r="I121" s="1231"/>
      <c r="J121" s="28"/>
      <c r="K121" s="28"/>
      <c r="L121" s="28"/>
      <c r="M121" s="28"/>
      <c r="N121" s="28"/>
      <c r="O121" s="28"/>
      <c r="P121" s="28"/>
    </row>
    <row r="122" spans="1:16" ht="23.25" customHeight="1">
      <c r="A122" s="861" t="s">
        <v>593</v>
      </c>
      <c r="B122" s="45" t="s">
        <v>69</v>
      </c>
      <c r="C122" s="46" t="s">
        <v>68</v>
      </c>
      <c r="D122" s="28"/>
      <c r="E122" s="28"/>
      <c r="F122" s="979"/>
      <c r="G122" s="1001"/>
      <c r="H122" s="28"/>
      <c r="I122" s="1231"/>
      <c r="J122" s="28"/>
      <c r="K122" s="28"/>
      <c r="L122" s="28"/>
      <c r="M122" s="28"/>
      <c r="N122" s="28"/>
      <c r="O122" s="28"/>
      <c r="P122" s="28"/>
    </row>
    <row r="123" spans="1:16" ht="23.25" customHeight="1">
      <c r="A123" s="861" t="s">
        <v>593</v>
      </c>
      <c r="B123" s="45" t="s">
        <v>69</v>
      </c>
      <c r="C123" s="46" t="s">
        <v>70</v>
      </c>
      <c r="D123" s="28"/>
      <c r="E123" s="28"/>
      <c r="F123" s="979"/>
      <c r="G123" s="1001"/>
      <c r="H123" s="28"/>
      <c r="I123" s="1231"/>
      <c r="J123" s="28"/>
      <c r="K123" s="28"/>
      <c r="L123" s="28"/>
      <c r="M123" s="28"/>
      <c r="N123" s="28"/>
      <c r="O123" s="28"/>
      <c r="P123" s="28"/>
    </row>
    <row r="124" spans="1:16" ht="23.25" customHeight="1">
      <c r="A124" s="861" t="s">
        <v>593</v>
      </c>
      <c r="B124" s="28"/>
      <c r="C124" s="34" t="s">
        <v>37</v>
      </c>
      <c r="D124" s="28"/>
      <c r="E124" s="28"/>
      <c r="F124" s="979"/>
      <c r="G124" s="1001"/>
      <c r="H124" s="28"/>
      <c r="I124" s="1231"/>
      <c r="J124" s="28"/>
      <c r="K124" s="28"/>
      <c r="L124" s="28"/>
      <c r="M124" s="28"/>
      <c r="N124" s="28"/>
      <c r="O124" s="28"/>
      <c r="P124" s="28"/>
    </row>
    <row r="125" spans="1:16" ht="23.25" customHeight="1">
      <c r="A125" s="862" t="s">
        <v>187</v>
      </c>
      <c r="B125" s="130" t="s">
        <v>25</v>
      </c>
      <c r="C125" s="130" t="s">
        <v>72</v>
      </c>
      <c r="D125" s="130"/>
      <c r="E125" s="130">
        <v>30.0059</v>
      </c>
      <c r="F125" s="979">
        <f t="shared" ref="F125:P125" si="18">F26</f>
        <v>29.9816</v>
      </c>
      <c r="G125" s="130">
        <f t="shared" si="18"/>
        <v>30.7836</v>
      </c>
      <c r="H125" s="130">
        <f t="shared" si="18"/>
        <v>31.332999999999998</v>
      </c>
      <c r="I125" s="1231">
        <f t="shared" si="18"/>
        <v>31.2956</v>
      </c>
      <c r="J125" s="130">
        <f t="shared" si="18"/>
        <v>31.437000000000001</v>
      </c>
      <c r="K125" s="130">
        <f t="shared" si="18"/>
        <v>30</v>
      </c>
      <c r="L125" s="130">
        <f t="shared" si="18"/>
        <v>30</v>
      </c>
      <c r="M125" s="130">
        <f t="shared" si="18"/>
        <v>30</v>
      </c>
      <c r="N125" s="130">
        <f t="shared" si="18"/>
        <v>30</v>
      </c>
      <c r="O125" s="130">
        <f t="shared" si="18"/>
        <v>30</v>
      </c>
      <c r="P125" s="130">
        <f t="shared" si="18"/>
        <v>30</v>
      </c>
    </row>
    <row r="126" spans="1:16" ht="23.25" customHeight="1">
      <c r="A126" s="862" t="s">
        <v>187</v>
      </c>
      <c r="B126" s="130" t="s">
        <v>25</v>
      </c>
      <c r="C126" s="130" t="s">
        <v>73</v>
      </c>
      <c r="D126" s="130"/>
      <c r="E126" s="130">
        <v>30.0059</v>
      </c>
      <c r="F126" s="979">
        <f t="shared" ref="F126:P127" si="19">F$32</f>
        <v>29.9816</v>
      </c>
      <c r="G126" s="130">
        <f t="shared" si="19"/>
        <v>30.7836</v>
      </c>
      <c r="H126" s="130">
        <f t="shared" si="19"/>
        <v>31.332999999999998</v>
      </c>
      <c r="I126" s="1231">
        <f t="shared" si="19"/>
        <v>31.2956</v>
      </c>
      <c r="J126" s="130">
        <f t="shared" si="19"/>
        <v>31.437000000000001</v>
      </c>
      <c r="K126" s="130">
        <f t="shared" si="19"/>
        <v>30</v>
      </c>
      <c r="L126" s="130">
        <f t="shared" si="19"/>
        <v>30</v>
      </c>
      <c r="M126" s="130">
        <f t="shared" si="19"/>
        <v>30</v>
      </c>
      <c r="N126" s="130">
        <f t="shared" si="19"/>
        <v>30</v>
      </c>
      <c r="O126" s="130">
        <f t="shared" si="19"/>
        <v>30</v>
      </c>
      <c r="P126" s="130">
        <f t="shared" si="19"/>
        <v>30</v>
      </c>
    </row>
    <row r="127" spans="1:16" ht="23.25" customHeight="1">
      <c r="A127" s="862" t="s">
        <v>187</v>
      </c>
      <c r="B127" s="130" t="s">
        <v>25</v>
      </c>
      <c r="C127" s="130" t="s">
        <v>74</v>
      </c>
      <c r="D127" s="130"/>
      <c r="E127" s="130">
        <v>30.0059</v>
      </c>
      <c r="F127" s="979">
        <f t="shared" si="19"/>
        <v>29.9816</v>
      </c>
      <c r="G127" s="130">
        <f t="shared" si="19"/>
        <v>30.7836</v>
      </c>
      <c r="H127" s="130">
        <f t="shared" si="19"/>
        <v>31.332999999999998</v>
      </c>
      <c r="I127" s="1231">
        <f t="shared" si="19"/>
        <v>31.2956</v>
      </c>
      <c r="J127" s="130">
        <f t="shared" si="19"/>
        <v>31.437000000000001</v>
      </c>
      <c r="K127" s="130">
        <f t="shared" si="19"/>
        <v>30</v>
      </c>
      <c r="L127" s="130">
        <f t="shared" si="19"/>
        <v>30</v>
      </c>
      <c r="M127" s="130">
        <f t="shared" si="19"/>
        <v>30</v>
      </c>
      <c r="N127" s="130">
        <f t="shared" si="19"/>
        <v>30</v>
      </c>
      <c r="O127" s="130">
        <f t="shared" si="19"/>
        <v>30</v>
      </c>
      <c r="P127" s="130">
        <f t="shared" si="19"/>
        <v>30</v>
      </c>
    </row>
    <row r="128" spans="1:16" ht="23.25" customHeight="1">
      <c r="A128" s="862" t="s">
        <v>187</v>
      </c>
      <c r="B128" s="130" t="s">
        <v>25</v>
      </c>
      <c r="C128" s="130" t="s">
        <v>77</v>
      </c>
      <c r="D128" s="130"/>
      <c r="E128" s="134"/>
      <c r="F128" s="982"/>
      <c r="G128" s="134"/>
      <c r="H128" s="134"/>
      <c r="I128" s="1237"/>
      <c r="J128" s="134"/>
      <c r="K128" s="134"/>
      <c r="L128" s="134"/>
      <c r="M128" s="134"/>
      <c r="N128" s="134"/>
      <c r="O128" s="134"/>
      <c r="P128" s="134"/>
    </row>
    <row r="129" spans="1:16" ht="23.25" customHeight="1">
      <c r="A129" s="862" t="s">
        <v>187</v>
      </c>
      <c r="B129" s="130" t="s">
        <v>25</v>
      </c>
      <c r="C129" s="130" t="s">
        <v>78</v>
      </c>
      <c r="D129" s="130"/>
      <c r="E129" s="134"/>
      <c r="F129" s="982"/>
      <c r="G129" s="134"/>
      <c r="H129" s="134"/>
      <c r="I129" s="1237"/>
      <c r="J129" s="134"/>
      <c r="K129" s="134"/>
      <c r="L129" s="134"/>
      <c r="M129" s="134"/>
      <c r="N129" s="134"/>
      <c r="O129" s="134"/>
      <c r="P129" s="134"/>
    </row>
    <row r="130" spans="1:16" ht="23.25" customHeight="1">
      <c r="A130" s="862" t="s">
        <v>187</v>
      </c>
      <c r="B130" s="130" t="s">
        <v>76</v>
      </c>
      <c r="C130" s="130" t="s">
        <v>75</v>
      </c>
      <c r="D130" s="130"/>
      <c r="E130" s="134"/>
      <c r="F130" s="982"/>
      <c r="G130" s="134"/>
      <c r="H130" s="134"/>
      <c r="I130" s="1237"/>
      <c r="J130" s="134"/>
      <c r="K130" s="134"/>
      <c r="L130" s="134"/>
      <c r="M130" s="134"/>
      <c r="N130" s="134"/>
      <c r="O130" s="134"/>
      <c r="P130" s="134"/>
    </row>
    <row r="131" spans="1:16" ht="23.25" customHeight="1">
      <c r="A131" s="862" t="s">
        <v>187</v>
      </c>
      <c r="B131" s="130" t="s">
        <v>76</v>
      </c>
      <c r="C131" s="130" t="s">
        <v>531</v>
      </c>
      <c r="D131" s="130"/>
      <c r="E131" s="134"/>
      <c r="F131" s="982"/>
      <c r="G131" s="134"/>
      <c r="H131" s="134"/>
      <c r="I131" s="1237"/>
      <c r="J131" s="134"/>
      <c r="K131" s="134"/>
      <c r="L131" s="134"/>
      <c r="M131" s="134"/>
      <c r="N131" s="134"/>
      <c r="O131" s="134"/>
      <c r="P131" s="134"/>
    </row>
    <row r="132" spans="1:16" ht="23.25" customHeight="1">
      <c r="A132" s="862" t="s">
        <v>187</v>
      </c>
      <c r="B132" s="130"/>
      <c r="C132" s="132" t="s">
        <v>35</v>
      </c>
      <c r="D132" s="130"/>
      <c r="E132" s="130"/>
      <c r="F132" s="979"/>
      <c r="G132" s="130"/>
      <c r="H132" s="130"/>
      <c r="I132" s="1231"/>
      <c r="J132" s="130"/>
      <c r="K132" s="130"/>
      <c r="L132" s="130"/>
      <c r="M132" s="130"/>
      <c r="N132" s="130"/>
      <c r="O132" s="130"/>
      <c r="P132" s="130"/>
    </row>
    <row r="133" spans="1:16" ht="23.25" customHeight="1">
      <c r="A133" s="862" t="s">
        <v>187</v>
      </c>
      <c r="B133" s="130"/>
      <c r="C133" s="132" t="s">
        <v>36</v>
      </c>
      <c r="D133" s="130"/>
      <c r="E133" s="130"/>
      <c r="F133" s="979"/>
      <c r="G133" s="130"/>
      <c r="H133" s="130"/>
      <c r="I133" s="1231"/>
      <c r="J133" s="130"/>
      <c r="K133" s="130"/>
      <c r="L133" s="130"/>
      <c r="M133" s="130"/>
      <c r="N133" s="130"/>
      <c r="O133" s="130"/>
      <c r="P133" s="130"/>
    </row>
    <row r="134" spans="1:16" ht="23.25" customHeight="1">
      <c r="A134" s="862" t="s">
        <v>187</v>
      </c>
      <c r="B134" s="130"/>
      <c r="C134" s="133" t="s">
        <v>37</v>
      </c>
      <c r="D134" s="130"/>
      <c r="E134" s="130"/>
      <c r="F134" s="979"/>
      <c r="G134" s="130"/>
      <c r="H134" s="130"/>
      <c r="I134" s="1231"/>
      <c r="J134" s="130"/>
      <c r="K134" s="130"/>
      <c r="L134" s="130"/>
      <c r="M134" s="130"/>
      <c r="N134" s="130"/>
      <c r="O134" s="130"/>
      <c r="P134" s="130"/>
    </row>
    <row r="135" spans="1:16" s="131" customFormat="1" ht="23.25" customHeight="1">
      <c r="A135" s="861" t="s">
        <v>188</v>
      </c>
      <c r="B135" s="28" t="s">
        <v>25</v>
      </c>
      <c r="C135" s="28" t="s">
        <v>72</v>
      </c>
      <c r="D135" s="28"/>
      <c r="E135" s="225">
        <v>0</v>
      </c>
      <c r="F135" s="979">
        <f t="shared" ref="F135:P135" si="20">F37</f>
        <v>0</v>
      </c>
      <c r="G135" s="1001">
        <f t="shared" si="20"/>
        <v>0</v>
      </c>
      <c r="H135" s="28">
        <f t="shared" si="20"/>
        <v>0</v>
      </c>
      <c r="I135" s="1231">
        <f t="shared" si="20"/>
        <v>0</v>
      </c>
      <c r="J135" s="28">
        <f t="shared" si="20"/>
        <v>0</v>
      </c>
      <c r="K135" s="28">
        <f t="shared" si="20"/>
        <v>0</v>
      </c>
      <c r="L135" s="28">
        <f t="shared" si="20"/>
        <v>0</v>
      </c>
      <c r="M135" s="28">
        <f t="shared" si="20"/>
        <v>0</v>
      </c>
      <c r="N135" s="28">
        <f t="shared" si="20"/>
        <v>0</v>
      </c>
      <c r="O135" s="28">
        <f t="shared" si="20"/>
        <v>0</v>
      </c>
      <c r="P135" s="28">
        <f t="shared" si="20"/>
        <v>0</v>
      </c>
    </row>
    <row r="136" spans="1:16" s="131" customFormat="1" ht="23.25" customHeight="1">
      <c r="A136" s="861" t="s">
        <v>188</v>
      </c>
      <c r="B136" s="28" t="s">
        <v>25</v>
      </c>
      <c r="C136" s="28" t="s">
        <v>73</v>
      </c>
      <c r="D136" s="28"/>
      <c r="E136" s="28">
        <v>30.0059</v>
      </c>
      <c r="F136" s="979">
        <f t="shared" ref="F136:P137" si="21">F$32</f>
        <v>29.9816</v>
      </c>
      <c r="G136" s="1001">
        <f t="shared" si="21"/>
        <v>30.7836</v>
      </c>
      <c r="H136" s="28">
        <f t="shared" si="21"/>
        <v>31.332999999999998</v>
      </c>
      <c r="I136" s="1231">
        <f t="shared" si="21"/>
        <v>31.2956</v>
      </c>
      <c r="J136" s="28">
        <f t="shared" si="21"/>
        <v>31.437000000000001</v>
      </c>
      <c r="K136" s="28">
        <f t="shared" si="21"/>
        <v>30</v>
      </c>
      <c r="L136" s="28">
        <f t="shared" si="21"/>
        <v>30</v>
      </c>
      <c r="M136" s="28">
        <f t="shared" si="21"/>
        <v>30</v>
      </c>
      <c r="N136" s="28">
        <f t="shared" si="21"/>
        <v>30</v>
      </c>
      <c r="O136" s="28">
        <f t="shared" si="21"/>
        <v>30</v>
      </c>
      <c r="P136" s="28">
        <f t="shared" si="21"/>
        <v>30</v>
      </c>
    </row>
    <row r="137" spans="1:16" s="131" customFormat="1" ht="23.25" customHeight="1">
      <c r="A137" s="861" t="s">
        <v>188</v>
      </c>
      <c r="B137" s="28" t="s">
        <v>25</v>
      </c>
      <c r="C137" s="28" t="s">
        <v>74</v>
      </c>
      <c r="D137" s="28"/>
      <c r="E137" s="28">
        <v>30.0059</v>
      </c>
      <c r="F137" s="979">
        <f t="shared" si="21"/>
        <v>29.9816</v>
      </c>
      <c r="G137" s="1001">
        <f t="shared" si="21"/>
        <v>30.7836</v>
      </c>
      <c r="H137" s="28">
        <f t="shared" si="21"/>
        <v>31.332999999999998</v>
      </c>
      <c r="I137" s="1231">
        <f t="shared" si="21"/>
        <v>31.2956</v>
      </c>
      <c r="J137" s="28">
        <f t="shared" si="21"/>
        <v>31.437000000000001</v>
      </c>
      <c r="K137" s="28">
        <f t="shared" si="21"/>
        <v>30</v>
      </c>
      <c r="L137" s="28">
        <f t="shared" si="21"/>
        <v>30</v>
      </c>
      <c r="M137" s="28">
        <f t="shared" si="21"/>
        <v>30</v>
      </c>
      <c r="N137" s="28">
        <f t="shared" si="21"/>
        <v>30</v>
      </c>
      <c r="O137" s="28">
        <f t="shared" si="21"/>
        <v>30</v>
      </c>
      <c r="P137" s="28">
        <f t="shared" si="21"/>
        <v>30</v>
      </c>
    </row>
    <row r="138" spans="1:16" s="131" customFormat="1" ht="23.25" customHeight="1">
      <c r="A138" s="861" t="s">
        <v>188</v>
      </c>
      <c r="B138" s="28" t="s">
        <v>25</v>
      </c>
      <c r="C138" s="28" t="s">
        <v>77</v>
      </c>
      <c r="D138" s="28"/>
      <c r="E138" s="46"/>
      <c r="F138" s="981">
        <v>29.847300000000001</v>
      </c>
      <c r="G138" s="1007"/>
      <c r="H138" s="46"/>
      <c r="I138" s="1236"/>
      <c r="J138" s="46"/>
      <c r="K138" s="46"/>
      <c r="L138" s="46"/>
      <c r="M138" s="46"/>
      <c r="N138" s="46"/>
      <c r="O138" s="46"/>
      <c r="P138" s="46"/>
    </row>
    <row r="139" spans="1:16" s="131" customFormat="1" ht="23.25" customHeight="1">
      <c r="A139" s="861" t="s">
        <v>188</v>
      </c>
      <c r="B139" s="28" t="s">
        <v>25</v>
      </c>
      <c r="C139" s="28" t="s">
        <v>78</v>
      </c>
      <c r="D139" s="28"/>
      <c r="E139" s="46"/>
      <c r="F139" s="981"/>
      <c r="G139" s="1007"/>
      <c r="H139" s="46"/>
      <c r="I139" s="1236"/>
      <c r="J139" s="46"/>
      <c r="K139" s="46"/>
      <c r="L139" s="46"/>
      <c r="M139" s="46"/>
      <c r="N139" s="46"/>
      <c r="O139" s="46"/>
      <c r="P139" s="46"/>
    </row>
    <row r="140" spans="1:16" s="131" customFormat="1" ht="23.25" customHeight="1">
      <c r="A140" s="861" t="s">
        <v>188</v>
      </c>
      <c r="B140" s="28" t="s">
        <v>76</v>
      </c>
      <c r="C140" s="28" t="s">
        <v>75</v>
      </c>
      <c r="D140" s="28"/>
      <c r="E140" s="801">
        <v>29.807700000000001</v>
      </c>
      <c r="F140" s="981"/>
      <c r="G140" s="1007">
        <v>31.173500000000001</v>
      </c>
      <c r="H140" s="1140">
        <v>31.230499999999999</v>
      </c>
      <c r="I140" s="1236">
        <v>31.1248</v>
      </c>
      <c r="J140" s="1284">
        <v>31.7288</v>
      </c>
      <c r="K140" s="898">
        <v>30</v>
      </c>
      <c r="L140" s="898">
        <v>30</v>
      </c>
      <c r="M140" s="898">
        <v>30</v>
      </c>
      <c r="N140" s="898">
        <v>30</v>
      </c>
      <c r="O140" s="898">
        <v>30</v>
      </c>
      <c r="P140" s="898">
        <v>30</v>
      </c>
    </row>
    <row r="141" spans="1:16" s="131" customFormat="1" ht="23.25" customHeight="1">
      <c r="A141" s="861" t="s">
        <v>188</v>
      </c>
      <c r="B141" s="28" t="s">
        <v>76</v>
      </c>
      <c r="C141" s="28" t="s">
        <v>531</v>
      </c>
      <c r="D141" s="28"/>
      <c r="E141" s="46">
        <v>30.0059</v>
      </c>
      <c r="F141" s="981">
        <v>29.981600000000004</v>
      </c>
      <c r="G141" s="1007">
        <v>29.981600000000004</v>
      </c>
      <c r="H141" s="1140">
        <v>30.783600000000003</v>
      </c>
      <c r="I141" s="1238">
        <v>31.332999999999998</v>
      </c>
      <c r="J141" s="1284">
        <v>31.2956</v>
      </c>
      <c r="K141" s="898">
        <v>30</v>
      </c>
      <c r="L141" s="898">
        <v>30</v>
      </c>
      <c r="M141" s="898">
        <v>30</v>
      </c>
      <c r="N141" s="898">
        <v>30</v>
      </c>
      <c r="O141" s="898">
        <v>30</v>
      </c>
      <c r="P141" s="898">
        <v>30</v>
      </c>
    </row>
    <row r="142" spans="1:16" s="131" customFormat="1" ht="23.25" customHeight="1">
      <c r="A142" s="861" t="s">
        <v>188</v>
      </c>
      <c r="B142" s="28"/>
      <c r="C142" s="33" t="s">
        <v>35</v>
      </c>
      <c r="D142" s="28"/>
      <c r="E142" s="28"/>
      <c r="F142" s="979"/>
      <c r="G142" s="1001"/>
      <c r="H142" s="28"/>
      <c r="I142" s="1231"/>
      <c r="J142" s="28"/>
      <c r="K142" s="28"/>
      <c r="L142" s="28"/>
      <c r="M142" s="28"/>
      <c r="N142" s="28"/>
      <c r="O142" s="28"/>
      <c r="P142" s="28"/>
    </row>
    <row r="143" spans="1:16" s="131" customFormat="1" ht="23.25" customHeight="1">
      <c r="A143" s="861" t="s">
        <v>188</v>
      </c>
      <c r="B143" s="28"/>
      <c r="C143" s="33" t="s">
        <v>36</v>
      </c>
      <c r="D143" s="28"/>
      <c r="E143" s="28"/>
      <c r="F143" s="979"/>
      <c r="G143" s="1001"/>
      <c r="H143" s="28"/>
      <c r="I143" s="1231"/>
      <c r="J143" s="28"/>
      <c r="K143" s="28"/>
      <c r="L143" s="28"/>
      <c r="M143" s="28"/>
      <c r="N143" s="28"/>
      <c r="O143" s="28"/>
      <c r="P143" s="28"/>
    </row>
    <row r="144" spans="1:16" s="131" customFormat="1" ht="23.25" customHeight="1">
      <c r="A144" s="861" t="s">
        <v>188</v>
      </c>
      <c r="B144" s="28"/>
      <c r="C144" s="34" t="s">
        <v>37</v>
      </c>
      <c r="D144" s="28"/>
      <c r="E144" s="28"/>
      <c r="F144" s="979"/>
      <c r="G144" s="1001"/>
      <c r="H144" s="28"/>
      <c r="I144" s="1231"/>
      <c r="J144" s="28"/>
      <c r="K144" s="28"/>
      <c r="L144" s="28"/>
      <c r="M144" s="28"/>
      <c r="N144" s="28"/>
      <c r="O144" s="28"/>
      <c r="P144" s="28"/>
    </row>
    <row r="145" spans="1:16" ht="23.25" customHeight="1">
      <c r="A145" s="861" t="s">
        <v>79</v>
      </c>
      <c r="B145" s="28" t="s">
        <v>25</v>
      </c>
      <c r="C145" s="28" t="s">
        <v>80</v>
      </c>
      <c r="D145" s="28"/>
      <c r="E145" s="28"/>
      <c r="F145" s="979"/>
      <c r="G145" s="1001"/>
      <c r="H145" s="28"/>
      <c r="I145" s="1231"/>
      <c r="J145" s="28"/>
      <c r="K145" s="28"/>
      <c r="L145" s="28"/>
      <c r="M145" s="28"/>
      <c r="N145" s="28"/>
      <c r="O145" s="28"/>
      <c r="P145" s="28"/>
    </row>
    <row r="146" spans="1:16" ht="23.25" customHeight="1">
      <c r="A146" s="861" t="s">
        <v>79</v>
      </c>
      <c r="B146" s="28" t="s">
        <v>25</v>
      </c>
      <c r="C146" s="28" t="s">
        <v>81</v>
      </c>
      <c r="D146" s="28"/>
      <c r="E146" s="28">
        <v>30.0059</v>
      </c>
      <c r="F146" s="979">
        <f t="shared" ref="F146:P146" si="22">F$32</f>
        <v>29.9816</v>
      </c>
      <c r="G146" s="1001">
        <f t="shared" si="22"/>
        <v>30.7836</v>
      </c>
      <c r="H146" s="28">
        <f t="shared" si="22"/>
        <v>31.332999999999998</v>
      </c>
      <c r="I146" s="1231">
        <f t="shared" si="22"/>
        <v>31.2956</v>
      </c>
      <c r="J146" s="28">
        <f t="shared" si="22"/>
        <v>31.437000000000001</v>
      </c>
      <c r="K146" s="28">
        <f t="shared" si="22"/>
        <v>30</v>
      </c>
      <c r="L146" s="28">
        <f t="shared" si="22"/>
        <v>30</v>
      </c>
      <c r="M146" s="28">
        <f t="shared" si="22"/>
        <v>30</v>
      </c>
      <c r="N146" s="28">
        <f t="shared" si="22"/>
        <v>30</v>
      </c>
      <c r="O146" s="28">
        <f t="shared" si="22"/>
        <v>30</v>
      </c>
      <c r="P146" s="28">
        <f t="shared" si="22"/>
        <v>30</v>
      </c>
    </row>
    <row r="147" spans="1:16" ht="23.25" customHeight="1">
      <c r="A147" s="861" t="s">
        <v>79</v>
      </c>
      <c r="B147" s="28" t="s">
        <v>25</v>
      </c>
      <c r="C147" s="28" t="s">
        <v>82</v>
      </c>
      <c r="D147" s="28"/>
      <c r="E147" s="28"/>
      <c r="F147" s="979"/>
      <c r="G147" s="1001"/>
      <c r="H147" s="28"/>
      <c r="I147" s="1231"/>
      <c r="J147" s="28"/>
      <c r="K147" s="28"/>
      <c r="L147" s="28"/>
      <c r="M147" s="28"/>
      <c r="N147" s="28"/>
      <c r="O147" s="28"/>
      <c r="P147" s="28"/>
    </row>
    <row r="148" spans="1:16" ht="23.25" customHeight="1">
      <c r="A148" s="861" t="s">
        <v>79</v>
      </c>
      <c r="B148" s="28"/>
      <c r="C148" s="34" t="s">
        <v>37</v>
      </c>
      <c r="D148" s="28"/>
      <c r="E148" s="28"/>
      <c r="F148" s="979"/>
      <c r="G148" s="1001"/>
      <c r="H148" s="28"/>
      <c r="I148" s="1231"/>
      <c r="J148" s="28"/>
      <c r="K148" s="28"/>
      <c r="L148" s="28"/>
      <c r="M148" s="28"/>
      <c r="N148" s="28"/>
      <c r="O148" s="28"/>
      <c r="P148" s="28"/>
    </row>
    <row r="149" spans="1:16" ht="23.25" customHeight="1">
      <c r="A149" s="861" t="s">
        <v>83</v>
      </c>
      <c r="B149" s="28" t="s">
        <v>25</v>
      </c>
      <c r="C149" s="28" t="s">
        <v>84</v>
      </c>
      <c r="D149" s="28"/>
      <c r="E149" s="28"/>
      <c r="F149" s="979"/>
      <c r="G149" s="1001"/>
      <c r="H149" s="28"/>
      <c r="I149" s="1231"/>
      <c r="J149" s="28"/>
      <c r="K149" s="28"/>
      <c r="L149" s="28"/>
      <c r="M149" s="28"/>
      <c r="N149" s="28"/>
      <c r="O149" s="28"/>
      <c r="P149" s="28"/>
    </row>
    <row r="150" spans="1:16" ht="18.649999999999999" customHeight="1">
      <c r="A150" s="861" t="s">
        <v>83</v>
      </c>
      <c r="B150" s="28" t="s">
        <v>25</v>
      </c>
      <c r="C150" s="28" t="s">
        <v>85</v>
      </c>
      <c r="D150" s="28"/>
      <c r="E150" s="28"/>
      <c r="F150" s="899"/>
      <c r="G150" s="1001"/>
      <c r="H150" s="28"/>
      <c r="I150" s="28"/>
      <c r="J150" s="28"/>
      <c r="K150" s="28"/>
      <c r="L150" s="28"/>
      <c r="M150" s="28"/>
      <c r="N150" s="28"/>
      <c r="O150" s="28"/>
      <c r="P150" s="28"/>
    </row>
    <row r="151" spans="1:16" ht="18.649999999999999" customHeight="1">
      <c r="A151" s="861" t="s">
        <v>83</v>
      </c>
      <c r="B151" s="28"/>
      <c r="C151" s="34" t="s">
        <v>37</v>
      </c>
      <c r="D151" s="28"/>
      <c r="E151" s="28"/>
      <c r="F151" s="899"/>
      <c r="G151" s="1001"/>
      <c r="H151" s="28"/>
      <c r="I151" s="28"/>
      <c r="J151" s="28"/>
      <c r="K151" s="28"/>
      <c r="L151" s="28"/>
      <c r="M151" s="28"/>
      <c r="N151" s="28"/>
      <c r="O151" s="28"/>
      <c r="P151" s="28"/>
    </row>
    <row r="152" spans="1:16" ht="18.649999999999999" customHeight="1"/>
    <row r="153" spans="1:16" ht="18.649999999999999" customHeight="1"/>
    <row r="154" spans="1:16" ht="18.649999999999999" customHeight="1"/>
    <row r="155" spans="1:16" ht="18.649999999999999" customHeight="1"/>
    <row r="158" spans="1:16" ht="18" customHeight="1"/>
    <row r="159" spans="1:16" ht="18" customHeight="1"/>
    <row r="160" spans="1:16" ht="18" customHeight="1"/>
    <row r="161" ht="18" customHeight="1"/>
    <row r="164" ht="20.399999999999999" customHeight="1"/>
    <row r="165" ht="20.399999999999999" customHeight="1"/>
    <row r="166" ht="20.399999999999999" customHeight="1"/>
  </sheetData>
  <mergeCells count="1">
    <mergeCell ref="B2:C2"/>
  </mergeCells>
  <conditionalFormatting sqref="E8:P8">
    <cfRule type="cellIs" dxfId="163" priority="1" operator="lessThan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9"/>
  </sheetPr>
  <dimension ref="A1:AX159"/>
  <sheetViews>
    <sheetView topLeftCell="A40" zoomScale="60" zoomScaleNormal="60" workbookViewId="0">
      <pane xSplit="3" topLeftCell="D1" activePane="topRight" state="frozen"/>
      <selection activeCell="B140" sqref="B140"/>
      <selection pane="topRight" activeCell="A26" sqref="A26:XFD37"/>
    </sheetView>
  </sheetViews>
  <sheetFormatPr defaultRowHeight="14.5"/>
  <cols>
    <col min="1" max="1" width="43.81640625" customWidth="1"/>
    <col min="2" max="2" width="35.6328125" customWidth="1"/>
    <col min="3" max="3" width="46.81640625" customWidth="1"/>
    <col min="4" max="4" width="24" customWidth="1"/>
    <col min="5" max="5" width="19.90625" customWidth="1"/>
    <col min="6" max="8" width="18.6328125" customWidth="1"/>
    <col min="9" max="9" width="21.81640625" customWidth="1"/>
    <col min="10" max="17" width="18.6328125" customWidth="1"/>
    <col min="19" max="19" width="19.90625" customWidth="1"/>
    <col min="20" max="20" width="18.36328125" customWidth="1"/>
    <col min="21" max="21" width="16.453125" customWidth="1"/>
    <col min="22" max="29" width="14" bestFit="1" customWidth="1"/>
    <col min="30" max="30" width="14.6328125" bestFit="1" customWidth="1"/>
    <col min="31" max="31" width="14" bestFit="1" customWidth="1"/>
    <col min="32" max="32" width="14.08984375" bestFit="1" customWidth="1"/>
    <col min="33" max="33" width="14" bestFit="1" customWidth="1"/>
    <col min="34" max="34" width="22.6328125" customWidth="1"/>
    <col min="37" max="37" width="16.1796875" customWidth="1"/>
    <col min="38" max="49" width="13.08984375" customWidth="1"/>
  </cols>
  <sheetData>
    <row r="1" spans="2:32">
      <c r="S1" s="149" t="s">
        <v>221</v>
      </c>
    </row>
    <row r="2" spans="2:32" ht="21">
      <c r="B2" s="1342" t="s">
        <v>159</v>
      </c>
      <c r="C2" s="1342"/>
      <c r="D2" s="43">
        <v>242492</v>
      </c>
      <c r="E2" s="43">
        <v>23377</v>
      </c>
      <c r="F2" s="43">
        <v>23408</v>
      </c>
      <c r="G2" s="43">
        <v>23437</v>
      </c>
      <c r="H2" s="43">
        <v>23468</v>
      </c>
      <c r="I2" s="43">
        <v>23498</v>
      </c>
      <c r="J2" s="43">
        <v>23529</v>
      </c>
      <c r="K2" s="43">
        <v>23559</v>
      </c>
      <c r="L2" s="43">
        <v>23590</v>
      </c>
      <c r="M2" s="43">
        <v>23621</v>
      </c>
      <c r="N2" s="43">
        <v>23651</v>
      </c>
      <c r="O2" s="43">
        <v>23682</v>
      </c>
      <c r="P2" s="43">
        <v>23712</v>
      </c>
      <c r="Q2" s="731"/>
      <c r="S2" t="s">
        <v>212</v>
      </c>
      <c r="T2" t="s">
        <v>213</v>
      </c>
      <c r="U2" s="43">
        <v>23377</v>
      </c>
      <c r="V2" s="43">
        <v>23408</v>
      </c>
      <c r="W2" s="43">
        <v>23437</v>
      </c>
      <c r="X2" s="43">
        <v>23468</v>
      </c>
      <c r="Y2" s="43">
        <v>23498</v>
      </c>
      <c r="Z2" s="43">
        <v>23529</v>
      </c>
      <c r="AA2" s="43">
        <v>23559</v>
      </c>
      <c r="AB2" s="43">
        <v>23590</v>
      </c>
      <c r="AC2" s="43">
        <v>23621</v>
      </c>
      <c r="AD2" s="43">
        <v>23651</v>
      </c>
      <c r="AE2" s="43">
        <v>23682</v>
      </c>
      <c r="AF2" s="43">
        <v>23712</v>
      </c>
    </row>
    <row r="3" spans="2:32" ht="17" customHeight="1">
      <c r="B3" s="725" t="s">
        <v>160</v>
      </c>
      <c r="C3" s="726"/>
      <c r="D3" s="227">
        <v>0.64800000000000002</v>
      </c>
      <c r="E3" s="227">
        <v>0.64800000000000002</v>
      </c>
      <c r="F3" s="227">
        <v>0.64800000000000002</v>
      </c>
      <c r="G3" s="227">
        <v>0.64800000000000002</v>
      </c>
      <c r="H3" s="227">
        <v>0.64800000000000002</v>
      </c>
      <c r="I3" s="227">
        <v>0.64800000000000002</v>
      </c>
      <c r="J3" s="227">
        <v>0.64800000000000002</v>
      </c>
      <c r="K3" s="227">
        <v>0.64800000000000002</v>
      </c>
      <c r="L3" s="227">
        <v>0.64800000000000002</v>
      </c>
      <c r="M3" s="227">
        <v>0.64800000000000002</v>
      </c>
      <c r="N3" s="227">
        <v>0.64800000000000002</v>
      </c>
      <c r="O3" s="227">
        <v>0.64800000000000002</v>
      </c>
      <c r="P3" s="227">
        <v>0.64800000000000002</v>
      </c>
      <c r="Q3" s="730"/>
      <c r="T3" t="s">
        <v>38</v>
      </c>
    </row>
    <row r="4" spans="2:32" ht="17" customHeight="1">
      <c r="B4" s="725" t="s">
        <v>161</v>
      </c>
      <c r="C4" s="726"/>
      <c r="D4" s="807">
        <v>0.64897271560509195</v>
      </c>
      <c r="E4" s="821">
        <v>0.64895135404819815</v>
      </c>
      <c r="F4" s="821">
        <v>0.64913675173357233</v>
      </c>
      <c r="G4" s="727">
        <v>0.64890000000000003</v>
      </c>
      <c r="H4" s="821">
        <v>0.64890771913617684</v>
      </c>
      <c r="I4" s="727">
        <v>0.64810000000000001</v>
      </c>
      <c r="J4" s="727">
        <v>0.64810000000000001</v>
      </c>
      <c r="K4" s="727"/>
      <c r="L4" s="727"/>
      <c r="M4" s="727"/>
      <c r="N4" s="727"/>
      <c r="O4" s="727"/>
      <c r="P4" s="727"/>
      <c r="Q4" s="730"/>
      <c r="T4" t="s">
        <v>214</v>
      </c>
    </row>
    <row r="5" spans="2:32" ht="17" customHeight="1">
      <c r="B5" s="725" t="s">
        <v>166</v>
      </c>
      <c r="C5" s="726"/>
      <c r="D5" s="808">
        <v>0.64904151244279973</v>
      </c>
      <c r="E5" s="727"/>
      <c r="F5" s="821"/>
      <c r="G5" s="727"/>
      <c r="H5" s="727"/>
      <c r="I5" s="727"/>
      <c r="J5" s="727"/>
      <c r="K5" s="727"/>
      <c r="L5" s="727"/>
      <c r="M5" s="727"/>
      <c r="N5" s="727"/>
      <c r="O5" s="727"/>
      <c r="P5" s="727"/>
      <c r="Q5" s="730"/>
      <c r="T5" t="s">
        <v>215</v>
      </c>
    </row>
    <row r="6" spans="2:32" ht="17" customHeight="1">
      <c r="B6" s="725" t="s">
        <v>167</v>
      </c>
      <c r="C6" s="726"/>
      <c r="D6" s="808">
        <v>0.64919686172537938</v>
      </c>
      <c r="E6" s="821">
        <v>0.64928510247345672</v>
      </c>
      <c r="F6" s="821">
        <v>0.64952420016795442</v>
      </c>
      <c r="G6" s="821">
        <v>0.64925661655104649</v>
      </c>
      <c r="H6" s="821">
        <v>0.6493205230047141</v>
      </c>
      <c r="I6" s="727">
        <v>0.6482</v>
      </c>
      <c r="J6" s="727">
        <v>0.64810000000000001</v>
      </c>
      <c r="K6" s="727"/>
      <c r="L6" s="727"/>
      <c r="M6" s="727"/>
      <c r="N6" s="727"/>
      <c r="O6" s="727"/>
      <c r="P6" s="727"/>
      <c r="Q6" s="730"/>
      <c r="T6" t="s">
        <v>71</v>
      </c>
    </row>
    <row r="7" spans="2:32" ht="17" customHeight="1">
      <c r="B7" s="725" t="s">
        <v>162</v>
      </c>
      <c r="C7" s="726"/>
      <c r="D7" s="808">
        <v>0.60816418288685248</v>
      </c>
      <c r="E7" s="821">
        <v>0.60866132329438039</v>
      </c>
      <c r="F7" s="821">
        <v>0.60878748051425635</v>
      </c>
      <c r="G7" s="821">
        <v>0.60900869484984832</v>
      </c>
      <c r="H7" s="821">
        <v>0.60840704633485432</v>
      </c>
      <c r="I7" s="727">
        <v>0.60740000000000005</v>
      </c>
      <c r="J7" s="727">
        <v>0.6069</v>
      </c>
      <c r="K7" s="727"/>
      <c r="L7" s="727"/>
      <c r="M7" s="727"/>
      <c r="N7" s="727"/>
      <c r="O7" s="727"/>
      <c r="P7" s="727"/>
      <c r="Q7" s="730"/>
      <c r="T7" t="s">
        <v>79</v>
      </c>
    </row>
    <row r="8" spans="2:32" ht="17" customHeight="1">
      <c r="B8" s="732" t="s">
        <v>543</v>
      </c>
      <c r="C8" s="733"/>
      <c r="D8" s="810">
        <f>((D4*D135)+(D5*D136))/(D135+D136)</f>
        <v>0.648992963387101</v>
      </c>
      <c r="E8" s="973">
        <f t="shared" ref="E8:P8" si="0">SUM(E142:E143)/SUM(E132:E133)</f>
        <v>0.64913393587956947</v>
      </c>
      <c r="F8" s="973">
        <f t="shared" si="0"/>
        <v>0.64933531766196817</v>
      </c>
      <c r="G8" s="973">
        <f t="shared" si="0"/>
        <v>0.64908377755100388</v>
      </c>
      <c r="H8" s="973">
        <f t="shared" si="0"/>
        <v>0.64915428861958779</v>
      </c>
      <c r="I8" s="973">
        <f t="shared" si="0"/>
        <v>0.64814816564290822</v>
      </c>
      <c r="J8" s="973">
        <f t="shared" si="0"/>
        <v>0.64811319118117805</v>
      </c>
      <c r="K8" s="973" t="e">
        <f t="shared" si="0"/>
        <v>#DIV/0!</v>
      </c>
      <c r="L8" s="973" t="e">
        <f t="shared" si="0"/>
        <v>#DIV/0!</v>
      </c>
      <c r="M8" s="973" t="e">
        <f t="shared" si="0"/>
        <v>#DIV/0!</v>
      </c>
      <c r="N8" s="973" t="e">
        <f t="shared" si="0"/>
        <v>#DIV/0!</v>
      </c>
      <c r="O8" s="973" t="e">
        <f t="shared" si="0"/>
        <v>#DIV/0!</v>
      </c>
      <c r="P8" s="973" t="e">
        <f t="shared" si="0"/>
        <v>#DIV/0!</v>
      </c>
      <c r="Q8" s="730"/>
      <c r="T8" t="s">
        <v>177</v>
      </c>
    </row>
    <row r="9" spans="2:32" ht="17" customHeight="1">
      <c r="B9" s="732" t="s">
        <v>544</v>
      </c>
      <c r="C9" s="733"/>
      <c r="D9" s="807">
        <v>0.65383266060511935</v>
      </c>
      <c r="E9" s="821">
        <v>0.65305610677389314</v>
      </c>
      <c r="F9" s="821"/>
      <c r="G9" s="727"/>
      <c r="H9" s="821"/>
      <c r="I9" s="727"/>
      <c r="J9" s="727"/>
      <c r="K9" s="727"/>
      <c r="L9" s="727"/>
      <c r="M9" s="727"/>
      <c r="N9" s="727"/>
      <c r="O9" s="727"/>
      <c r="P9" s="727"/>
      <c r="Q9" s="730"/>
      <c r="S9" t="s">
        <v>216</v>
      </c>
      <c r="T9" t="s">
        <v>213</v>
      </c>
      <c r="U9" s="706">
        <f>E37/1000</f>
        <v>199.660853</v>
      </c>
      <c r="V9" s="706">
        <f t="shared" ref="V9:AF9" si="1">F37/1000</f>
        <v>182.459915</v>
      </c>
      <c r="W9" s="706">
        <f>G37/1000</f>
        <v>200.119777</v>
      </c>
      <c r="X9" s="706">
        <f t="shared" si="1"/>
        <v>169.50650400000001</v>
      </c>
      <c r="Y9" s="706">
        <f t="shared" si="1"/>
        <v>200.04551200000003</v>
      </c>
      <c r="Z9" s="706">
        <f t="shared" si="1"/>
        <v>195.94120100000001</v>
      </c>
      <c r="AA9" s="706">
        <f t="shared" si="1"/>
        <v>150.80000000000001</v>
      </c>
      <c r="AB9" s="706">
        <f t="shared" si="1"/>
        <v>203.2</v>
      </c>
      <c r="AC9" s="706">
        <f t="shared" si="1"/>
        <v>183.7</v>
      </c>
      <c r="AD9" s="706">
        <f t="shared" si="1"/>
        <v>159.5</v>
      </c>
      <c r="AE9" s="706">
        <f t="shared" si="1"/>
        <v>197.9</v>
      </c>
      <c r="AF9" s="706">
        <f t="shared" si="1"/>
        <v>201.50000000000003</v>
      </c>
    </row>
    <row r="10" spans="2:32" ht="17" customHeight="1">
      <c r="B10" s="728" t="s">
        <v>165</v>
      </c>
      <c r="C10" s="729"/>
      <c r="D10" s="809"/>
      <c r="E10" s="973">
        <f t="shared" ref="E10:P10" si="2">E144/E134</f>
        <v>0.64931173195688829</v>
      </c>
      <c r="F10" s="973">
        <f t="shared" si="2"/>
        <v>0.64938732013657641</v>
      </c>
      <c r="G10" s="973">
        <f t="shared" si="2"/>
        <v>0.64930088398905417</v>
      </c>
      <c r="H10" s="973">
        <f t="shared" si="2"/>
        <v>0.64936254271729665</v>
      </c>
      <c r="I10" s="973">
        <f t="shared" si="2"/>
        <v>0.64842864272763789</v>
      </c>
      <c r="J10" s="973">
        <f t="shared" si="2"/>
        <v>0.64830224454278762</v>
      </c>
      <c r="K10" s="973" t="e">
        <f t="shared" si="2"/>
        <v>#DIV/0!</v>
      </c>
      <c r="L10" s="973" t="e">
        <f t="shared" si="2"/>
        <v>#DIV/0!</v>
      </c>
      <c r="M10" s="973" t="e">
        <f t="shared" si="2"/>
        <v>#DIV/0!</v>
      </c>
      <c r="N10" s="973" t="e">
        <f t="shared" si="2"/>
        <v>#DIV/0!</v>
      </c>
      <c r="O10" s="973" t="e">
        <f t="shared" si="2"/>
        <v>#DIV/0!</v>
      </c>
      <c r="P10" s="973" t="e">
        <f t="shared" si="2"/>
        <v>#DIV/0!</v>
      </c>
      <c r="Q10" s="730"/>
      <c r="T10" t="s">
        <v>38</v>
      </c>
      <c r="U10" s="706">
        <f t="shared" ref="U10:AF10" si="3">E52/1000</f>
        <v>81.204012999999989</v>
      </c>
      <c r="V10" s="706">
        <f t="shared" si="3"/>
        <v>83.571866999999997</v>
      </c>
      <c r="W10" s="706">
        <f t="shared" si="3"/>
        <v>105.717125</v>
      </c>
      <c r="X10" s="706">
        <f t="shared" si="3"/>
        <v>67.361736000000008</v>
      </c>
      <c r="Y10" s="706">
        <f t="shared" si="3"/>
        <v>101.903201</v>
      </c>
      <c r="Z10" s="706">
        <f t="shared" si="3"/>
        <v>106.64309599999999</v>
      </c>
      <c r="AA10" s="706">
        <f t="shared" si="3"/>
        <v>72.034999999999997</v>
      </c>
      <c r="AB10" s="706">
        <f t="shared" si="3"/>
        <v>81.436000000000007</v>
      </c>
      <c r="AC10" s="706">
        <f t="shared" si="3"/>
        <v>75.789000000000001</v>
      </c>
      <c r="AD10" s="706">
        <f t="shared" si="3"/>
        <v>57.247</v>
      </c>
      <c r="AE10" s="706">
        <f t="shared" si="3"/>
        <v>85.128</v>
      </c>
      <c r="AF10" s="706">
        <f t="shared" si="3"/>
        <v>95.555999999999997</v>
      </c>
    </row>
    <row r="11" spans="2:32">
      <c r="T11" t="s">
        <v>214</v>
      </c>
      <c r="U11" s="706">
        <f t="shared" ref="U11:AF11" si="4">E69/1000</f>
        <v>32.630183000000002</v>
      </c>
      <c r="V11" s="706">
        <f t="shared" si="4"/>
        <v>38.408505000000005</v>
      </c>
      <c r="W11" s="706">
        <f t="shared" si="4"/>
        <v>36.128064000000002</v>
      </c>
      <c r="X11" s="706">
        <f t="shared" si="4"/>
        <v>50.510569000000004</v>
      </c>
      <c r="Y11" s="706">
        <f t="shared" si="4"/>
        <v>69.287684999999996</v>
      </c>
      <c r="Z11" s="706">
        <f t="shared" si="4"/>
        <v>61.316648999999998</v>
      </c>
      <c r="AA11" s="706">
        <f t="shared" si="4"/>
        <v>69.116</v>
      </c>
      <c r="AB11" s="706">
        <f t="shared" si="4"/>
        <v>36.82</v>
      </c>
      <c r="AC11" s="706">
        <f t="shared" si="4"/>
        <v>36.378999999999998</v>
      </c>
      <c r="AD11" s="706">
        <f t="shared" si="4"/>
        <v>36.776000000000003</v>
      </c>
      <c r="AE11" s="706">
        <f t="shared" si="4"/>
        <v>36</v>
      </c>
      <c r="AF11" s="706">
        <f t="shared" si="4"/>
        <v>37.1</v>
      </c>
    </row>
    <row r="12" spans="2:32" ht="21">
      <c r="B12" s="1343" t="s">
        <v>648</v>
      </c>
      <c r="C12" s="1343"/>
      <c r="D12" s="879">
        <v>242492</v>
      </c>
      <c r="E12" s="43">
        <v>23377</v>
      </c>
      <c r="F12" s="43">
        <v>23408</v>
      </c>
      <c r="G12" s="43">
        <v>23437</v>
      </c>
      <c r="H12" s="43">
        <v>23468</v>
      </c>
      <c r="I12" s="43">
        <v>23498</v>
      </c>
      <c r="J12" s="43">
        <v>23529</v>
      </c>
      <c r="K12" s="43">
        <v>23559</v>
      </c>
      <c r="L12" s="43">
        <v>23590</v>
      </c>
      <c r="M12" s="43">
        <v>23621</v>
      </c>
      <c r="N12" s="43">
        <v>23651</v>
      </c>
      <c r="O12" s="43">
        <v>23682</v>
      </c>
      <c r="P12" s="43">
        <v>23712</v>
      </c>
      <c r="Q12" s="43" t="s">
        <v>177</v>
      </c>
      <c r="T12" t="s">
        <v>215</v>
      </c>
      <c r="U12" s="706">
        <f>(E95+E49)/10^3</f>
        <v>167.70886300000001</v>
      </c>
      <c r="V12" s="706">
        <f t="shared" ref="V12:AF12" si="5">(F95+F49)/10^3</f>
        <v>138.73512299999999</v>
      </c>
      <c r="W12" s="706">
        <f t="shared" si="5"/>
        <v>172.939605</v>
      </c>
      <c r="X12" s="706">
        <f t="shared" si="5"/>
        <v>148.49011899999996</v>
      </c>
      <c r="Y12" s="706">
        <f t="shared" si="5"/>
        <v>154.037915</v>
      </c>
      <c r="Z12" s="706">
        <f t="shared" si="5"/>
        <v>159.69431400000002</v>
      </c>
      <c r="AA12" s="706">
        <f t="shared" si="5"/>
        <v>200.75978031</v>
      </c>
      <c r="AB12" s="706">
        <f t="shared" si="5"/>
        <v>166.86264505</v>
      </c>
      <c r="AC12" s="706">
        <f t="shared" si="5"/>
        <v>165.17745454000001</v>
      </c>
      <c r="AD12" s="706">
        <f t="shared" si="5"/>
        <v>166.18717172999999</v>
      </c>
      <c r="AE12" s="706">
        <f t="shared" si="5"/>
        <v>165.84378416999999</v>
      </c>
      <c r="AF12" s="706">
        <f t="shared" si="5"/>
        <v>167.92278730000001</v>
      </c>
    </row>
    <row r="13" spans="2:32" ht="21">
      <c r="B13" s="28" t="s">
        <v>134</v>
      </c>
      <c r="C13" s="1019"/>
      <c r="D13" s="1022"/>
      <c r="E13" s="1022">
        <v>19445.762999999999</v>
      </c>
      <c r="F13" s="1022">
        <v>14644.682000000001</v>
      </c>
      <c r="G13" s="1024">
        <v>0</v>
      </c>
      <c r="H13" s="1144">
        <v>1891.6790000000001</v>
      </c>
      <c r="I13" s="1020" t="s">
        <v>743</v>
      </c>
      <c r="J13" s="1325">
        <v>0</v>
      </c>
      <c r="K13" s="1020"/>
      <c r="L13" s="1020"/>
      <c r="M13" s="1020"/>
      <c r="N13" s="1020"/>
      <c r="O13" s="1020"/>
      <c r="P13" s="1020"/>
      <c r="Q13" s="1020"/>
      <c r="T13" t="s">
        <v>71</v>
      </c>
      <c r="U13" s="706">
        <f>E144/1000</f>
        <v>56.867225999999995</v>
      </c>
      <c r="V13" s="706">
        <f t="shared" ref="V13:AF13" si="6">F144/1000</f>
        <v>53.256121000000007</v>
      </c>
      <c r="W13" s="706">
        <f t="shared" si="6"/>
        <v>58.227144999999993</v>
      </c>
      <c r="X13" s="706">
        <f t="shared" si="6"/>
        <v>50.113111999999994</v>
      </c>
      <c r="Y13" s="706">
        <f t="shared" si="6"/>
        <v>58.487963999999998</v>
      </c>
      <c r="Z13" s="706">
        <f t="shared" si="6"/>
        <v>56.235891000000002</v>
      </c>
      <c r="AA13" s="706">
        <f t="shared" si="6"/>
        <v>41.781599999999997</v>
      </c>
      <c r="AB13" s="706">
        <f t="shared" si="6"/>
        <v>53.965600000000002</v>
      </c>
      <c r="AC13" s="706">
        <f t="shared" si="6"/>
        <v>48.822400000000002</v>
      </c>
      <c r="AD13" s="706">
        <f t="shared" si="6"/>
        <v>45.989599999999996</v>
      </c>
      <c r="AE13" s="706">
        <f t="shared" si="6"/>
        <v>50.322400000000002</v>
      </c>
      <c r="AF13" s="706">
        <f t="shared" si="6"/>
        <v>52.965600000000002</v>
      </c>
    </row>
    <row r="14" spans="2:32">
      <c r="B14" s="28" t="s">
        <v>132</v>
      </c>
      <c r="C14" s="28"/>
      <c r="D14" s="1023"/>
      <c r="E14" s="1023">
        <v>7872.0450000000001</v>
      </c>
      <c r="F14" s="1023">
        <v>7695.8280000000004</v>
      </c>
      <c r="G14" s="1021">
        <v>6732.88</v>
      </c>
      <c r="H14" s="1145">
        <v>5637.5020000000004</v>
      </c>
      <c r="I14" s="689">
        <v>5489.42</v>
      </c>
      <c r="J14" s="689">
        <v>4846.9219999999996</v>
      </c>
      <c r="K14" s="28"/>
      <c r="L14" s="28"/>
      <c r="M14" s="28"/>
      <c r="N14" s="28"/>
      <c r="O14" s="28"/>
      <c r="P14" s="28"/>
      <c r="Q14" s="28"/>
      <c r="T14" t="s">
        <v>79</v>
      </c>
      <c r="U14" s="706">
        <f>E148/1000</f>
        <v>2.2324760000000001</v>
      </c>
      <c r="V14" s="706">
        <f t="shared" ref="V14:AF14" si="7">F148/1000</f>
        <v>4.0377299999999998</v>
      </c>
      <c r="W14" s="706">
        <f t="shared" si="7"/>
        <v>4.488321</v>
      </c>
      <c r="X14" s="706">
        <f t="shared" si="7"/>
        <v>4.1620110000000006</v>
      </c>
      <c r="Y14" s="706">
        <f t="shared" si="7"/>
        <v>3.977957</v>
      </c>
      <c r="Z14" s="706">
        <f t="shared" si="7"/>
        <v>3.7895529999999997</v>
      </c>
      <c r="AA14" s="706">
        <f t="shared" si="7"/>
        <v>4.4640000000000004</v>
      </c>
      <c r="AB14" s="706">
        <f t="shared" si="7"/>
        <v>4.4640000000000004</v>
      </c>
      <c r="AC14" s="706">
        <f t="shared" si="7"/>
        <v>4.32</v>
      </c>
      <c r="AD14" s="706">
        <f t="shared" si="7"/>
        <v>4.4640000000000004</v>
      </c>
      <c r="AE14" s="706">
        <f t="shared" si="7"/>
        <v>4.32</v>
      </c>
      <c r="AF14" s="706">
        <f t="shared" si="7"/>
        <v>4.4640000000000004</v>
      </c>
    </row>
    <row r="15" spans="2:32">
      <c r="B15" s="28" t="s">
        <v>649</v>
      </c>
      <c r="C15" s="28"/>
      <c r="D15" s="1023"/>
      <c r="E15" s="1023">
        <v>5510.55</v>
      </c>
      <c r="F15" s="1023">
        <v>5219.46</v>
      </c>
      <c r="G15" s="1021">
        <v>5904.72</v>
      </c>
      <c r="H15" s="1145">
        <v>5819.17</v>
      </c>
      <c r="I15" s="689">
        <v>5859.7</v>
      </c>
      <c r="J15" s="689">
        <v>5992.23</v>
      </c>
      <c r="K15" s="28"/>
      <c r="L15" s="28"/>
      <c r="M15" s="28"/>
      <c r="N15" s="28"/>
      <c r="O15" s="28"/>
      <c r="P15" s="28"/>
      <c r="Q15" s="28"/>
      <c r="T15" t="s">
        <v>177</v>
      </c>
      <c r="U15" s="706">
        <f>SUM(U9:U14)</f>
        <v>540.30361400000004</v>
      </c>
      <c r="V15" s="706">
        <f t="shared" ref="V15:AF15" si="8">SUM(V9:V14)</f>
        <v>500.46926100000002</v>
      </c>
      <c r="W15" s="706">
        <f t="shared" si="8"/>
        <v>577.62003700000002</v>
      </c>
      <c r="X15" s="706">
        <f t="shared" si="8"/>
        <v>490.14405099999999</v>
      </c>
      <c r="Y15" s="706">
        <f t="shared" si="8"/>
        <v>587.74023399999999</v>
      </c>
      <c r="Z15" s="706">
        <f t="shared" si="8"/>
        <v>583.62070400000005</v>
      </c>
      <c r="AA15" s="706">
        <f t="shared" si="8"/>
        <v>538.9563803100001</v>
      </c>
      <c r="AB15" s="706">
        <f t="shared" si="8"/>
        <v>546.74824505000004</v>
      </c>
      <c r="AC15" s="706">
        <f t="shared" si="8"/>
        <v>514.1878545400001</v>
      </c>
      <c r="AD15" s="706">
        <f t="shared" si="8"/>
        <v>470.16377173000001</v>
      </c>
      <c r="AE15" s="706">
        <f t="shared" si="8"/>
        <v>539.51418417000002</v>
      </c>
      <c r="AF15" s="706">
        <f t="shared" si="8"/>
        <v>559.50838730000009</v>
      </c>
    </row>
    <row r="16" spans="2:32">
      <c r="B16" s="28"/>
      <c r="C16" s="28" t="s">
        <v>650</v>
      </c>
      <c r="D16" s="1023"/>
      <c r="E16" s="1023">
        <v>4132.9120000000003</v>
      </c>
      <c r="F16" s="1023">
        <v>3914.5949999999998</v>
      </c>
      <c r="G16" s="1021">
        <v>4428.54</v>
      </c>
      <c r="H16" s="1145">
        <v>4364.3774999999996</v>
      </c>
      <c r="I16" s="689">
        <v>4394.78</v>
      </c>
      <c r="J16" s="689">
        <v>4494.1719999999996</v>
      </c>
      <c r="K16" s="28"/>
      <c r="L16" s="28"/>
      <c r="M16" s="28"/>
      <c r="N16" s="28"/>
      <c r="O16" s="28"/>
      <c r="P16" s="28"/>
      <c r="Q16" s="28"/>
    </row>
    <row r="17" spans="1:50">
      <c r="B17" s="28"/>
      <c r="C17" s="28" t="s">
        <v>651</v>
      </c>
      <c r="D17" s="1023"/>
      <c r="E17" s="1023">
        <v>1377.6369999999999</v>
      </c>
      <c r="F17" s="1023">
        <v>1304.865</v>
      </c>
      <c r="G17" s="1021">
        <v>1476.18</v>
      </c>
      <c r="H17" s="1145">
        <v>1454.7925</v>
      </c>
      <c r="I17" s="689">
        <v>1464.93</v>
      </c>
      <c r="J17" s="689">
        <v>1498.057</v>
      </c>
      <c r="K17" s="28"/>
      <c r="L17" s="28"/>
      <c r="M17" s="28"/>
      <c r="N17" s="28"/>
      <c r="O17" s="28"/>
      <c r="P17" s="28"/>
      <c r="Q17" s="28"/>
      <c r="T17" t="s">
        <v>742</v>
      </c>
      <c r="U17" s="910">
        <f>E49/10^3</f>
        <v>0.54725999999999997</v>
      </c>
      <c r="V17" s="910">
        <f t="shared" ref="V17:AF17" si="9">F49/10^3</f>
        <v>0.59272000000000002</v>
      </c>
      <c r="W17" s="910">
        <f t="shared" si="9"/>
        <v>0.68203000000000003</v>
      </c>
      <c r="X17" s="910">
        <f t="shared" si="9"/>
        <v>0.50358000000000003</v>
      </c>
      <c r="Y17" s="910">
        <f t="shared" si="9"/>
        <v>0.64581</v>
      </c>
      <c r="Z17" s="910">
        <f t="shared" si="9"/>
        <v>0.57550000000000001</v>
      </c>
      <c r="AA17" s="910">
        <f t="shared" si="9"/>
        <v>0.6</v>
      </c>
      <c r="AB17" s="910">
        <f t="shared" si="9"/>
        <v>0.6</v>
      </c>
      <c r="AC17" s="910">
        <f t="shared" si="9"/>
        <v>0.6</v>
      </c>
      <c r="AD17" s="910">
        <f t="shared" si="9"/>
        <v>0.6</v>
      </c>
      <c r="AE17" s="910">
        <f t="shared" si="9"/>
        <v>0.6</v>
      </c>
      <c r="AF17" s="910">
        <f t="shared" si="9"/>
        <v>0.6</v>
      </c>
    </row>
    <row r="18" spans="1:50">
      <c r="B18" s="28" t="s">
        <v>133</v>
      </c>
      <c r="C18" s="28"/>
      <c r="D18" s="1023"/>
      <c r="E18" s="1023" cm="1">
        <f t="array" aca="1" ref="E18" ca="1">E18:Q230</f>
        <v>0</v>
      </c>
      <c r="F18" s="1023">
        <v>2436.3040000000001</v>
      </c>
      <c r="G18" s="1021">
        <v>1219.7539999999999</v>
      </c>
      <c r="H18" s="1145">
        <v>1221.6410000000001</v>
      </c>
      <c r="I18" s="689">
        <v>1220.48</v>
      </c>
      <c r="J18" s="689">
        <v>0</v>
      </c>
      <c r="K18" s="28"/>
      <c r="L18" s="28"/>
      <c r="M18" s="28"/>
      <c r="N18" s="28"/>
      <c r="O18" s="28"/>
      <c r="P18" s="28"/>
      <c r="Q18" s="28"/>
      <c r="T18" t="s">
        <v>741</v>
      </c>
      <c r="U18" s="910">
        <f>E140/10^3</f>
        <v>1.200547</v>
      </c>
      <c r="V18" s="910">
        <f t="shared" ref="V18:AF18" si="10">F140/10^3</f>
        <v>0</v>
      </c>
      <c r="W18" s="910">
        <f t="shared" si="10"/>
        <v>1.1999200000000001</v>
      </c>
      <c r="X18" s="910">
        <f t="shared" si="10"/>
        <v>1.2015560000000001</v>
      </c>
      <c r="Y18" s="910">
        <f t="shared" si="10"/>
        <v>1.198232</v>
      </c>
      <c r="Z18" s="910">
        <f t="shared" si="10"/>
        <v>1.2028030000000001</v>
      </c>
      <c r="AA18" s="910">
        <f t="shared" si="10"/>
        <v>1.2312000000000001</v>
      </c>
      <c r="AB18" s="910">
        <f t="shared" si="10"/>
        <v>3.6936</v>
      </c>
      <c r="AC18" s="910">
        <f t="shared" si="10"/>
        <v>2.4624000000000001</v>
      </c>
      <c r="AD18" s="910">
        <f t="shared" si="10"/>
        <v>3.6936</v>
      </c>
      <c r="AE18" s="910">
        <f t="shared" si="10"/>
        <v>2.4624000000000001</v>
      </c>
      <c r="AF18" s="910">
        <f t="shared" si="10"/>
        <v>3.6936</v>
      </c>
    </row>
    <row r="19" spans="1:50">
      <c r="B19" s="1323" t="s">
        <v>177</v>
      </c>
      <c r="E19" s="1280">
        <f>E37+E52+E69+E95+E117+E124+E144+E148</f>
        <v>582185.86400000006</v>
      </c>
      <c r="F19" s="1280">
        <f t="shared" ref="F19:P19" si="11">F37+F52+F69+F95+F117+F124+F144+F148</f>
        <v>566899.91700000002</v>
      </c>
      <c r="G19" s="1280">
        <f t="shared" si="11"/>
        <v>631587.9</v>
      </c>
      <c r="H19" s="1280">
        <f t="shared" si="11"/>
        <v>540725.21300000011</v>
      </c>
      <c r="I19" s="1280">
        <f t="shared" si="11"/>
        <v>631691.45600000012</v>
      </c>
      <c r="J19" s="1280">
        <f t="shared" si="11"/>
        <v>628348.22999999986</v>
      </c>
      <c r="K19" s="1280">
        <f t="shared" si="11"/>
        <v>629639.94281850045</v>
      </c>
      <c r="L19" s="1280">
        <f t="shared" si="11"/>
        <v>600599.97320239886</v>
      </c>
      <c r="M19" s="1280">
        <f t="shared" si="11"/>
        <v>601610.85329144937</v>
      </c>
      <c r="N19" s="1280">
        <f t="shared" si="11"/>
        <v>559033.48295426066</v>
      </c>
      <c r="O19" s="1280">
        <f t="shared" si="11"/>
        <v>583167.6295546086</v>
      </c>
      <c r="P19" s="1280">
        <f t="shared" si="11"/>
        <v>625854.73362488742</v>
      </c>
      <c r="T19" t="s">
        <v>740</v>
      </c>
      <c r="U19" s="1229">
        <f>(SUM(U9:U11,U13:U14)-SUM(U17:U18))/U15</f>
        <v>0.68636769103676587</v>
      </c>
      <c r="V19" s="1229">
        <f t="shared" ref="V19:AF19" si="12">(SUM(V9:V11,V13:V14)-SUM(V17:V18))/V15</f>
        <v>0.72160559327538809</v>
      </c>
      <c r="W19" s="1229">
        <f t="shared" si="12"/>
        <v>0.69734160208850227</v>
      </c>
      <c r="X19" s="1229">
        <f t="shared" si="12"/>
        <v>0.69356915646824835</v>
      </c>
      <c r="Y19" s="1229">
        <f t="shared" si="12"/>
        <v>0.73477746122787979</v>
      </c>
      <c r="Z19" s="1229">
        <f t="shared" si="12"/>
        <v>0.7233260987944663</v>
      </c>
      <c r="AA19" s="1229">
        <f t="shared" si="12"/>
        <v>0.6241050524469669</v>
      </c>
      <c r="AB19" s="1229">
        <f t="shared" si="12"/>
        <v>0.68695602299674885</v>
      </c>
      <c r="AC19" s="1229">
        <f t="shared" si="12"/>
        <v>0.67280468985306952</v>
      </c>
      <c r="AD19" s="1229">
        <f t="shared" si="12"/>
        <v>0.63740130145990559</v>
      </c>
      <c r="AE19" s="1229">
        <f t="shared" si="12"/>
        <v>0.68692911303184945</v>
      </c>
      <c r="AF19" s="1229">
        <f t="shared" si="12"/>
        <v>0.69220052601702964</v>
      </c>
      <c r="AG19" s="152">
        <f>AVERAGE(U19:AF19)</f>
        <v>0.68811535905806842</v>
      </c>
    </row>
    <row r="20" spans="1:50">
      <c r="B20" t="s">
        <v>646</v>
      </c>
      <c r="C20" t="s">
        <v>750</v>
      </c>
      <c r="E20" s="231">
        <f>E71+E72+E73+E77+E79+E79+E82+E85+E87+E89+E93</f>
        <v>133221.34400000001</v>
      </c>
      <c r="F20" s="231">
        <f>F71+F72+F73+F77+F79+F79+F82+F85+F87+F89+F93</f>
        <v>98355.959000000003</v>
      </c>
      <c r="G20" s="231">
        <f t="shared" ref="G20:P20" si="13">G71+G72+G73+G77+G79+G79+G82+G85+G87+G89+G93</f>
        <v>107046.67199999999</v>
      </c>
      <c r="H20" s="231">
        <f t="shared" si="13"/>
        <v>92165.013000000006</v>
      </c>
      <c r="I20" s="231">
        <f t="shared" si="13"/>
        <v>99728.181000000011</v>
      </c>
      <c r="J20" s="231">
        <f t="shared" si="13"/>
        <v>96552.845000000001</v>
      </c>
      <c r="K20" s="231">
        <f t="shared" si="13"/>
        <v>151736.5974</v>
      </c>
      <c r="L20" s="231">
        <f t="shared" si="13"/>
        <v>121592.64504999999</v>
      </c>
      <c r="M20" s="231">
        <f t="shared" si="13"/>
        <v>118197.45453999999</v>
      </c>
      <c r="N20" s="231">
        <f t="shared" si="13"/>
        <v>118707.17173</v>
      </c>
      <c r="O20" s="231">
        <f t="shared" si="13"/>
        <v>118963.78417</v>
      </c>
      <c r="P20" s="231">
        <f t="shared" si="13"/>
        <v>121012.7873</v>
      </c>
      <c r="Q20" s="910">
        <f>SUM(E20:P20)</f>
        <v>1377280.45419</v>
      </c>
      <c r="T20" t="s">
        <v>646</v>
      </c>
      <c r="U20" s="1229">
        <f>SUM(U12,U17:U18)/U15</f>
        <v>0.31363230896323413</v>
      </c>
      <c r="V20" s="1229">
        <f t="shared" ref="V20:AF20" si="14">SUM(V12,V17:V18)/V15</f>
        <v>0.27839440672461202</v>
      </c>
      <c r="W20" s="1229">
        <f t="shared" si="14"/>
        <v>0.30265839791149762</v>
      </c>
      <c r="X20" s="1229">
        <f t="shared" si="14"/>
        <v>0.30643084353175182</v>
      </c>
      <c r="Y20" s="1229">
        <f t="shared" si="14"/>
        <v>0.26522253877212021</v>
      </c>
      <c r="Z20" s="1229">
        <f t="shared" si="14"/>
        <v>0.27667390120553365</v>
      </c>
      <c r="AA20" s="1229">
        <f t="shared" si="14"/>
        <v>0.37589494755303299</v>
      </c>
      <c r="AB20" s="1229">
        <f t="shared" si="14"/>
        <v>0.31304397700325087</v>
      </c>
      <c r="AC20" s="1229">
        <f t="shared" si="14"/>
        <v>0.32719531014693026</v>
      </c>
      <c r="AD20" s="1229">
        <f t="shared" si="14"/>
        <v>0.3625986985400943</v>
      </c>
      <c r="AE20" s="1229">
        <f t="shared" si="14"/>
        <v>0.31307088696815044</v>
      </c>
      <c r="AF20" s="1229">
        <f t="shared" si="14"/>
        <v>0.30779947398297025</v>
      </c>
      <c r="AG20" s="152">
        <f>AVERAGE(U20:AF20)</f>
        <v>0.31188464094193152</v>
      </c>
    </row>
    <row r="21" spans="1:50">
      <c r="B21" t="s">
        <v>646</v>
      </c>
      <c r="C21" t="s">
        <v>751</v>
      </c>
      <c r="E21" s="231">
        <f>E75+E76+E78+E80+E81+E83+E84+E91</f>
        <v>22462.866000000002</v>
      </c>
      <c r="F21" s="231">
        <f>F75+F76+F78+F80+F81+F83+F84+F91</f>
        <v>32600.145</v>
      </c>
      <c r="G21" s="231">
        <f t="shared" ref="G21:P21" si="15">G75+G76+G78+G80+G81+G83+G84+G91</f>
        <v>51312.274000000005</v>
      </c>
      <c r="H21" s="231">
        <f t="shared" si="15"/>
        <v>40641.169000000002</v>
      </c>
      <c r="I21" s="231">
        <f t="shared" si="15"/>
        <v>37556.568999999996</v>
      </c>
      <c r="J21" s="231">
        <f t="shared" si="15"/>
        <v>49468.913</v>
      </c>
      <c r="K21" s="231">
        <f t="shared" si="15"/>
        <v>38213.182910000003</v>
      </c>
      <c r="L21" s="231">
        <f t="shared" si="15"/>
        <v>30580</v>
      </c>
      <c r="M21" s="231">
        <f t="shared" si="15"/>
        <v>30580</v>
      </c>
      <c r="N21" s="231">
        <f t="shared" si="15"/>
        <v>30580</v>
      </c>
      <c r="O21" s="231">
        <f t="shared" si="15"/>
        <v>30580</v>
      </c>
      <c r="P21" s="231">
        <f t="shared" si="15"/>
        <v>30580</v>
      </c>
      <c r="Q21" s="910">
        <f t="shared" ref="Q21:Q23" si="16">SUM(E21:P21)</f>
        <v>425155.11890999996</v>
      </c>
      <c r="T21" s="1344" t="s">
        <v>546</v>
      </c>
      <c r="U21" s="1344"/>
      <c r="V21" s="1344"/>
      <c r="W21" s="1344"/>
      <c r="X21" s="1344"/>
      <c r="Y21" s="1344"/>
      <c r="Z21" s="1344"/>
      <c r="AA21" s="1344"/>
      <c r="AB21" s="1344"/>
      <c r="AC21" s="1344"/>
      <c r="AD21" s="1344"/>
      <c r="AE21" s="1344"/>
      <c r="AF21" s="1344"/>
      <c r="AG21" s="1344"/>
      <c r="AH21" s="1344"/>
    </row>
    <row r="22" spans="1:50">
      <c r="C22" t="s">
        <v>549</v>
      </c>
      <c r="E22" s="1243">
        <f>E37+E52+E69+E95+E144+E148</f>
        <v>539756.35400000005</v>
      </c>
      <c r="F22" s="1243">
        <f>F37+F52+F69+F95+F144+F148</f>
        <v>499876.54099999997</v>
      </c>
      <c r="G22" s="231">
        <f t="shared" ref="G22:P22" si="17">G37+G52+G69+G95+G144</f>
        <v>572449.68599999999</v>
      </c>
      <c r="H22" s="231">
        <f t="shared" si="17"/>
        <v>485478.45999999996</v>
      </c>
      <c r="I22" s="231">
        <f t="shared" si="17"/>
        <v>583116.46700000006</v>
      </c>
      <c r="J22" s="231">
        <f t="shared" si="17"/>
        <v>579255.65100000007</v>
      </c>
      <c r="K22" s="231">
        <f t="shared" si="17"/>
        <v>533892.38031000004</v>
      </c>
      <c r="L22" s="231">
        <f t="shared" si="17"/>
        <v>541684.24505000003</v>
      </c>
      <c r="M22" s="231">
        <f t="shared" si="17"/>
        <v>509267.85454000003</v>
      </c>
      <c r="N22" s="231">
        <f t="shared" si="17"/>
        <v>465099.77172999998</v>
      </c>
      <c r="O22" s="231">
        <f t="shared" si="17"/>
        <v>534594.18417000002</v>
      </c>
      <c r="P22" s="231">
        <f t="shared" si="17"/>
        <v>554444.38729999994</v>
      </c>
      <c r="Q22" s="910">
        <f t="shared" si="16"/>
        <v>6398915.9821000006</v>
      </c>
      <c r="T22" s="1344"/>
      <c r="U22" s="1344"/>
      <c r="V22" s="1344"/>
      <c r="W22" s="1344"/>
      <c r="X22" s="1344"/>
      <c r="Y22" s="1344"/>
      <c r="Z22" s="1344"/>
      <c r="AA22" s="1344"/>
      <c r="AB22" s="1344"/>
      <c r="AC22" s="1344"/>
      <c r="AD22" s="1344"/>
      <c r="AE22" s="1344"/>
      <c r="AF22" s="1344"/>
      <c r="AG22" s="1344"/>
      <c r="AH22" s="1344"/>
    </row>
    <row r="23" spans="1:50">
      <c r="C23" t="s">
        <v>667</v>
      </c>
      <c r="E23" s="231">
        <f>E37+E52+E69+E144+E148</f>
        <v>372594.75100000005</v>
      </c>
      <c r="F23" s="231">
        <f>F37+F52+F69+F144+F148</f>
        <v>361734.13799999998</v>
      </c>
      <c r="G23" s="231">
        <f t="shared" ref="G23:P23" si="18">G37+G52+G69+G144+G148</f>
        <v>404680.43200000003</v>
      </c>
      <c r="H23" s="231">
        <f t="shared" si="18"/>
        <v>341653.93199999997</v>
      </c>
      <c r="I23" s="231">
        <f t="shared" si="18"/>
        <v>433702.31899999996</v>
      </c>
      <c r="J23" s="231">
        <f t="shared" si="18"/>
        <v>423926.39</v>
      </c>
      <c r="K23" s="231">
        <f t="shared" si="18"/>
        <v>338196.6</v>
      </c>
      <c r="L23" s="231">
        <f t="shared" si="18"/>
        <v>379885.6</v>
      </c>
      <c r="M23" s="231">
        <f t="shared" si="18"/>
        <v>349010.4</v>
      </c>
      <c r="N23" s="231">
        <f t="shared" si="18"/>
        <v>303976.59999999998</v>
      </c>
      <c r="O23" s="231">
        <f t="shared" si="18"/>
        <v>373670.40000000002</v>
      </c>
      <c r="P23" s="231">
        <f t="shared" si="18"/>
        <v>391585.6</v>
      </c>
      <c r="Q23" s="910">
        <f t="shared" si="16"/>
        <v>4474617.1619999995</v>
      </c>
    </row>
    <row r="24" spans="1:50" ht="23.5">
      <c r="B24" t="s">
        <v>177</v>
      </c>
      <c r="C24" t="s">
        <v>646</v>
      </c>
      <c r="E24" s="231">
        <f>E49+E95+E117+SUM(E118:E122)</f>
        <v>206811.07700000002</v>
      </c>
      <c r="F24" s="231">
        <f t="shared" ref="F24:P24" si="19">F49+F95+F117+SUM(F118:F122)</f>
        <v>203012.266</v>
      </c>
      <c r="G24" s="231">
        <f t="shared" si="19"/>
        <v>224115.973</v>
      </c>
      <c r="H24" s="231">
        <f t="shared" si="19"/>
        <v>196608.22699999998</v>
      </c>
      <c r="I24" s="231">
        <f>I49+I95+I117+SUM(I118:I122)</f>
        <v>198087.93</v>
      </c>
      <c r="J24" s="231">
        <f t="shared" si="19"/>
        <v>203015.55500000002</v>
      </c>
      <c r="K24" s="231">
        <f t="shared" si="19"/>
        <v>281043.34281850047</v>
      </c>
      <c r="L24" s="231">
        <f t="shared" si="19"/>
        <v>210314.37320239894</v>
      </c>
      <c r="M24" s="231">
        <f t="shared" si="19"/>
        <v>242200.45329144935</v>
      </c>
      <c r="N24" s="231">
        <f t="shared" si="19"/>
        <v>244656.88295426071</v>
      </c>
      <c r="O24" s="231">
        <f t="shared" si="19"/>
        <v>199097.22955460858</v>
      </c>
      <c r="P24" s="231">
        <f t="shared" si="19"/>
        <v>223869.13362488747</v>
      </c>
      <c r="Q24" s="910">
        <f>SUM(E24:P24)</f>
        <v>2632832.4434461053</v>
      </c>
      <c r="T24" s="44" t="s">
        <v>208</v>
      </c>
      <c r="U24" s="702"/>
      <c r="AK24" s="44" t="s">
        <v>208</v>
      </c>
    </row>
    <row r="25" spans="1:50" ht="39" customHeight="1">
      <c r="A25" s="869" t="s">
        <v>0</v>
      </c>
      <c r="B25" s="841" t="s">
        <v>23</v>
      </c>
      <c r="C25" s="841" t="s">
        <v>22</v>
      </c>
      <c r="D25" s="842" t="s">
        <v>578</v>
      </c>
      <c r="E25" s="842" t="s">
        <v>579</v>
      </c>
      <c r="F25" s="842" t="s">
        <v>580</v>
      </c>
      <c r="G25" s="842" t="s">
        <v>581</v>
      </c>
      <c r="H25" s="842" t="s">
        <v>582</v>
      </c>
      <c r="I25" s="842" t="s">
        <v>583</v>
      </c>
      <c r="J25" s="842" t="s">
        <v>584</v>
      </c>
      <c r="K25" s="842" t="s">
        <v>585</v>
      </c>
      <c r="L25" s="842" t="s">
        <v>586</v>
      </c>
      <c r="M25" s="842" t="s">
        <v>587</v>
      </c>
      <c r="N25" s="842" t="s">
        <v>588</v>
      </c>
      <c r="O25" s="842" t="s">
        <v>589</v>
      </c>
      <c r="P25" s="842" t="s">
        <v>590</v>
      </c>
      <c r="Q25" s="847" t="s">
        <v>177</v>
      </c>
      <c r="V25" s="43">
        <v>23377</v>
      </c>
      <c r="W25" s="43">
        <v>23408</v>
      </c>
      <c r="X25" s="43">
        <v>23437</v>
      </c>
      <c r="Y25" s="43">
        <v>23468</v>
      </c>
      <c r="Z25" s="43">
        <v>23498</v>
      </c>
      <c r="AA25" s="43">
        <v>23529</v>
      </c>
      <c r="AB25" s="43">
        <v>23559</v>
      </c>
      <c r="AC25" s="43">
        <v>23590</v>
      </c>
      <c r="AD25" s="43">
        <v>23621</v>
      </c>
      <c r="AE25" s="43">
        <v>23651</v>
      </c>
      <c r="AF25" s="43">
        <v>23682</v>
      </c>
      <c r="AG25" s="43">
        <v>23712</v>
      </c>
      <c r="AH25" s="526" t="s">
        <v>177</v>
      </c>
      <c r="AI25" s="703"/>
      <c r="AK25" t="s">
        <v>222</v>
      </c>
      <c r="AL25" s="43">
        <v>23377</v>
      </c>
      <c r="AM25" s="43">
        <v>23408</v>
      </c>
      <c r="AN25" s="43">
        <v>23437</v>
      </c>
      <c r="AO25" s="43">
        <v>23468</v>
      </c>
      <c r="AP25" s="43">
        <v>23498</v>
      </c>
      <c r="AQ25" s="43">
        <v>23529</v>
      </c>
      <c r="AR25" s="43">
        <v>23559</v>
      </c>
      <c r="AS25" s="43">
        <v>23590</v>
      </c>
      <c r="AT25" s="43">
        <v>23621</v>
      </c>
      <c r="AU25" s="43">
        <v>23651</v>
      </c>
      <c r="AV25" s="43">
        <v>23682</v>
      </c>
      <c r="AW25" s="701">
        <v>23712</v>
      </c>
      <c r="AX25" s="704"/>
    </row>
    <row r="26" spans="1:50" ht="25.25" customHeight="1">
      <c r="A26" s="866" t="str">
        <f>Table3[[#This Row],[Product]]</f>
        <v>Ethane</v>
      </c>
      <c r="B26" s="28" t="s">
        <v>25</v>
      </c>
      <c r="C26" s="27" t="s">
        <v>86</v>
      </c>
      <c r="D26" s="689">
        <v>32790.839999999997</v>
      </c>
      <c r="E26" s="814">
        <v>45954.879999999997</v>
      </c>
      <c r="F26" s="976">
        <v>38127.042000000001</v>
      </c>
      <c r="G26" s="1010">
        <v>38771.525999999998</v>
      </c>
      <c r="H26" s="1139">
        <v>32560.240000000002</v>
      </c>
      <c r="I26" s="1240">
        <v>36981.19</v>
      </c>
      <c r="J26" s="1286">
        <v>36670.271999999997</v>
      </c>
      <c r="K26" s="691">
        <f>'Rolling พี่เตย'!K25*1000</f>
        <v>43800.000000000007</v>
      </c>
      <c r="L26" s="691">
        <f>'Rolling พี่เตย'!L25*1000</f>
        <v>43200</v>
      </c>
      <c r="M26" s="691">
        <f>'Rolling พี่เตย'!M25*1000</f>
        <v>40200</v>
      </c>
      <c r="N26" s="691">
        <f>'Rolling พี่เตย'!N25*1000</f>
        <v>35499.999999999993</v>
      </c>
      <c r="O26" s="691">
        <f>'Rolling พี่เตย'!O25*1000</f>
        <v>40100</v>
      </c>
      <c r="P26" s="691">
        <f>'Rolling พี่เตย'!P25*1000</f>
        <v>41400</v>
      </c>
      <c r="Q26" s="852">
        <f>SUM(E26:P26)</f>
        <v>473265.15</v>
      </c>
      <c r="T26" t="s">
        <v>217</v>
      </c>
      <c r="V26" s="705">
        <f>SUM(E26)</f>
        <v>45954.879999999997</v>
      </c>
      <c r="W26" s="705">
        <f t="shared" ref="W26:AF27" si="20">SUM(F26)</f>
        <v>38127.042000000001</v>
      </c>
      <c r="X26" s="705">
        <f t="shared" si="20"/>
        <v>38771.525999999998</v>
      </c>
      <c r="Y26" s="705">
        <f t="shared" si="20"/>
        <v>32560.240000000002</v>
      </c>
      <c r="Z26" s="705">
        <f t="shared" si="20"/>
        <v>36981.19</v>
      </c>
      <c r="AA26" s="705">
        <f t="shared" si="20"/>
        <v>36670.271999999997</v>
      </c>
      <c r="AB26" s="705">
        <f t="shared" si="20"/>
        <v>43800.000000000007</v>
      </c>
      <c r="AC26" s="705">
        <f t="shared" si="20"/>
        <v>43200</v>
      </c>
      <c r="AD26" s="705">
        <f t="shared" si="20"/>
        <v>40200</v>
      </c>
      <c r="AE26" s="705">
        <f t="shared" si="20"/>
        <v>35499.999999999993</v>
      </c>
      <c r="AF26" s="705">
        <f t="shared" si="20"/>
        <v>40100</v>
      </c>
      <c r="AG26" s="705">
        <f>SUM(P26)</f>
        <v>41400</v>
      </c>
      <c r="AH26" s="705">
        <f>SUM(V26:AG26)</f>
        <v>473265.15</v>
      </c>
      <c r="AI26" s="706"/>
      <c r="AK26" t="s">
        <v>217</v>
      </c>
      <c r="AL26" s="150">
        <f t="shared" ref="AL26:AW26" si="21">E26/E37</f>
        <v>0.23016469833473063</v>
      </c>
      <c r="AM26" s="150">
        <f t="shared" si="21"/>
        <v>0.20896119566864865</v>
      </c>
      <c r="AN26" s="150">
        <f t="shared" si="21"/>
        <v>0.19374160106124844</v>
      </c>
      <c r="AO26" s="150">
        <f t="shared" si="21"/>
        <v>0.19208844045299878</v>
      </c>
      <c r="AP26" s="150">
        <f t="shared" si="21"/>
        <v>0.18486388237492676</v>
      </c>
      <c r="AQ26" s="150">
        <f t="shared" si="21"/>
        <v>0.18714936834545581</v>
      </c>
      <c r="AR26" s="150">
        <f t="shared" si="21"/>
        <v>0.2904509283819629</v>
      </c>
      <c r="AS26" s="150">
        <f t="shared" si="21"/>
        <v>0.2125984251968504</v>
      </c>
      <c r="AT26" s="150">
        <f t="shared" si="21"/>
        <v>0.21883505715841045</v>
      </c>
      <c r="AU26" s="150">
        <f t="shared" si="21"/>
        <v>0.22257053291536047</v>
      </c>
      <c r="AV26" s="150">
        <f t="shared" si="21"/>
        <v>0.2026275896917635</v>
      </c>
      <c r="AW26" s="150">
        <f t="shared" si="21"/>
        <v>0.20545905707196027</v>
      </c>
      <c r="AX26" s="707"/>
    </row>
    <row r="27" spans="1:50" ht="25.25" customHeight="1">
      <c r="A27" s="866" t="str">
        <f>Table3[[#This Row],[Product]]</f>
        <v>Ethane</v>
      </c>
      <c r="B27" s="28" t="s">
        <v>25</v>
      </c>
      <c r="C27" s="27" t="s">
        <v>26</v>
      </c>
      <c r="D27" s="689">
        <v>33943.298000000003</v>
      </c>
      <c r="E27" s="814">
        <v>32305.422999999999</v>
      </c>
      <c r="F27" s="976">
        <v>30116.867999999999</v>
      </c>
      <c r="G27" s="1010">
        <v>31988.321</v>
      </c>
      <c r="H27" s="1139">
        <v>32007.928</v>
      </c>
      <c r="I27" s="1240">
        <v>27675.464</v>
      </c>
      <c r="J27" s="1286">
        <v>31479.054</v>
      </c>
      <c r="K27" s="691">
        <f>'Rolling พี่เตย'!K26*1000</f>
        <v>43424.83738256478</v>
      </c>
      <c r="L27" s="691">
        <f>'Rolling พี่เตย'!L26*1000</f>
        <v>43424.83738256478</v>
      </c>
      <c r="M27" s="691">
        <f>'Rolling พี่เตย'!M26*1000</f>
        <v>43424.83738256478</v>
      </c>
      <c r="N27" s="691">
        <f>'Rolling พี่เตย'!N26*1000</f>
        <v>43424.83738256478</v>
      </c>
      <c r="O27" s="691">
        <f>'Rolling พี่เตย'!O26*1000</f>
        <v>43424.83738256478</v>
      </c>
      <c r="P27" s="691">
        <f>'Rolling พี่เตย'!P26*1000</f>
        <v>43424.83738256478</v>
      </c>
      <c r="Q27" s="852">
        <f t="shared" ref="Q27:Q37" si="22">SUM(E27:P27)</f>
        <v>446122.08229538868</v>
      </c>
      <c r="T27" t="s">
        <v>218</v>
      </c>
      <c r="V27" s="705">
        <f>SUM(E27)</f>
        <v>32305.422999999999</v>
      </c>
      <c r="W27" s="705">
        <f t="shared" si="20"/>
        <v>30116.867999999999</v>
      </c>
      <c r="X27" s="705">
        <f t="shared" si="20"/>
        <v>31988.321</v>
      </c>
      <c r="Y27" s="705">
        <f t="shared" si="20"/>
        <v>32007.928</v>
      </c>
      <c r="Z27" s="705">
        <f t="shared" si="20"/>
        <v>27675.464</v>
      </c>
      <c r="AA27" s="705">
        <f t="shared" si="20"/>
        <v>31479.054</v>
      </c>
      <c r="AB27" s="705">
        <f t="shared" si="20"/>
        <v>43424.83738256478</v>
      </c>
      <c r="AC27" s="705">
        <f t="shared" si="20"/>
        <v>43424.83738256478</v>
      </c>
      <c r="AD27" s="705">
        <f t="shared" si="20"/>
        <v>43424.83738256478</v>
      </c>
      <c r="AE27" s="705">
        <f t="shared" si="20"/>
        <v>43424.83738256478</v>
      </c>
      <c r="AF27" s="705">
        <f t="shared" si="20"/>
        <v>43424.83738256478</v>
      </c>
      <c r="AG27" s="705">
        <f>SUM(P27)</f>
        <v>43424.83738256478</v>
      </c>
      <c r="AH27" s="705">
        <f t="shared" ref="AH27:AH40" si="23">SUM(V27:AG27)</f>
        <v>446122.08229538868</v>
      </c>
      <c r="AI27" s="706"/>
      <c r="AK27" t="s">
        <v>218</v>
      </c>
      <c r="AL27" s="150">
        <f t="shared" ref="AL27:AW27" si="24">E27/E37</f>
        <v>0.16180148744531306</v>
      </c>
      <c r="AM27" s="150">
        <f t="shared" si="24"/>
        <v>0.16506018869952888</v>
      </c>
      <c r="AN27" s="150">
        <f t="shared" si="24"/>
        <v>0.15984587570272976</v>
      </c>
      <c r="AO27" s="150">
        <f t="shared" si="24"/>
        <v>0.18883008760536998</v>
      </c>
      <c r="AP27" s="150">
        <f t="shared" si="24"/>
        <v>0.1383458380210999</v>
      </c>
      <c r="AQ27" s="150">
        <f t="shared" si="24"/>
        <v>0.16065561423194502</v>
      </c>
      <c r="AR27" s="150">
        <f t="shared" si="24"/>
        <v>0.28796311261647733</v>
      </c>
      <c r="AS27" s="150">
        <f t="shared" si="24"/>
        <v>0.21370490837876369</v>
      </c>
      <c r="AT27" s="150">
        <f t="shared" si="24"/>
        <v>0.23638996942060306</v>
      </c>
      <c r="AU27" s="150">
        <f t="shared" si="24"/>
        <v>0.27225603374648766</v>
      </c>
      <c r="AV27" s="150">
        <f t="shared" si="24"/>
        <v>0.21942818283256585</v>
      </c>
      <c r="AW27" s="150">
        <f t="shared" si="24"/>
        <v>0.21550787782910558</v>
      </c>
      <c r="AX27" s="707"/>
    </row>
    <row r="28" spans="1:50" ht="25.25" customHeight="1">
      <c r="A28" s="866" t="str">
        <f>Table3[[#This Row],[Product]]</f>
        <v>Ethane</v>
      </c>
      <c r="B28" s="28" t="s">
        <v>25</v>
      </c>
      <c r="C28" s="221" t="s">
        <v>27</v>
      </c>
      <c r="D28" s="689">
        <v>115428.32</v>
      </c>
      <c r="E28" s="814">
        <v>104818.174</v>
      </c>
      <c r="F28" s="976">
        <v>99128.092000000004</v>
      </c>
      <c r="G28" s="1010">
        <v>111554.139</v>
      </c>
      <c r="H28" s="1139">
        <v>90510.861000000004</v>
      </c>
      <c r="I28" s="1240">
        <v>111735.67600000001</v>
      </c>
      <c r="J28" s="1286">
        <v>105305.227</v>
      </c>
      <c r="K28" s="691">
        <f>'Rolling พี่เตย'!K27*1000</f>
        <v>53514.362617435218</v>
      </c>
      <c r="L28" s="691">
        <f>'Rolling พี่เตย'!L27*1000</f>
        <v>102439.16261743521</v>
      </c>
      <c r="M28" s="691">
        <f>'Rolling พี่เตย'!M27*1000</f>
        <v>87119.08989016249</v>
      </c>
      <c r="N28" s="691">
        <f>'Rolling พี่เตย'!N27*1000</f>
        <v>68898.203300278634</v>
      </c>
      <c r="O28" s="691">
        <f>'Rolling พี่เตย'!O27*1000</f>
        <v>100704.30964702464</v>
      </c>
      <c r="P28" s="691">
        <f>'Rolling พี่เตย'!P27*1000</f>
        <v>102710.9930173129</v>
      </c>
      <c r="Q28" s="852">
        <f t="shared" si="22"/>
        <v>1138438.2900896489</v>
      </c>
      <c r="T28" t="s">
        <v>219</v>
      </c>
      <c r="V28" s="705">
        <f>SUM(E28:E31)</f>
        <v>121400.54999999999</v>
      </c>
      <c r="W28" s="705">
        <f t="shared" ref="W28:AG28" si="25">SUM(F28:F31)</f>
        <v>114216.005</v>
      </c>
      <c r="X28" s="705">
        <f t="shared" si="25"/>
        <v>123523.53599999999</v>
      </c>
      <c r="Y28" s="705">
        <f t="shared" si="25"/>
        <v>99244.031000000003</v>
      </c>
      <c r="Z28" s="705">
        <f t="shared" si="25"/>
        <v>124139.40100000001</v>
      </c>
      <c r="AA28" s="705">
        <f t="shared" si="25"/>
        <v>116645.807</v>
      </c>
      <c r="AB28" s="705">
        <f t="shared" si="25"/>
        <v>56490.362617435218</v>
      </c>
      <c r="AC28" s="705">
        <f t="shared" si="25"/>
        <v>105415.16261743521</v>
      </c>
      <c r="AD28" s="705">
        <f t="shared" si="25"/>
        <v>89999.08989016249</v>
      </c>
      <c r="AE28" s="705">
        <f t="shared" si="25"/>
        <v>71874.203300278634</v>
      </c>
      <c r="AF28" s="705">
        <f t="shared" si="25"/>
        <v>103584.30964702464</v>
      </c>
      <c r="AG28" s="705">
        <f t="shared" si="25"/>
        <v>105686.9930173129</v>
      </c>
      <c r="AH28" s="705">
        <f t="shared" si="23"/>
        <v>1232219.451089649</v>
      </c>
      <c r="AI28" s="706"/>
      <c r="AK28" t="s">
        <v>219</v>
      </c>
      <c r="AL28" s="150">
        <f t="shared" ref="AL28:AW28" si="26">SUM(E28:E31)/E37</f>
        <v>0.60803381421995617</v>
      </c>
      <c r="AM28" s="150">
        <f t="shared" si="26"/>
        <v>0.62597861563182244</v>
      </c>
      <c r="AN28" s="150">
        <f t="shared" si="26"/>
        <v>0.61724801941988972</v>
      </c>
      <c r="AO28" s="150">
        <f t="shared" si="26"/>
        <v>0.58548804121404097</v>
      </c>
      <c r="AP28" s="150">
        <f t="shared" si="26"/>
        <v>0.6205557913241263</v>
      </c>
      <c r="AQ28" s="150">
        <f t="shared" si="26"/>
        <v>0.59531025840757201</v>
      </c>
      <c r="AR28" s="150">
        <f t="shared" si="26"/>
        <v>0.37460452664081711</v>
      </c>
      <c r="AS28" s="150">
        <f t="shared" si="26"/>
        <v>0.51877540658186616</v>
      </c>
      <c r="AT28" s="150">
        <f t="shared" si="26"/>
        <v>0.48992427811737882</v>
      </c>
      <c r="AU28" s="150">
        <f t="shared" si="26"/>
        <v>0.45062196426506979</v>
      </c>
      <c r="AV28" s="150">
        <f t="shared" si="26"/>
        <v>0.5234174312633888</v>
      </c>
      <c r="AW28" s="150">
        <f t="shared" si="26"/>
        <v>0.52450120604125494</v>
      </c>
      <c r="AX28" s="707"/>
    </row>
    <row r="29" spans="1:50" ht="33" customHeight="1">
      <c r="A29" s="866" t="str">
        <f>Table3[[#This Row],[Product]]</f>
        <v>Ethane</v>
      </c>
      <c r="B29" s="28" t="s">
        <v>25</v>
      </c>
      <c r="C29" s="228" t="s">
        <v>28</v>
      </c>
      <c r="D29" s="689">
        <v>0</v>
      </c>
      <c r="E29" s="814">
        <v>369.26400000000001</v>
      </c>
      <c r="F29" s="976">
        <v>536.28</v>
      </c>
      <c r="G29" s="1010">
        <v>56.064</v>
      </c>
      <c r="H29" s="1139">
        <v>365.78399999999999</v>
      </c>
      <c r="I29" s="1240">
        <v>0</v>
      </c>
      <c r="J29" s="1286">
        <v>0</v>
      </c>
      <c r="K29" s="691">
        <f>'Rolling พี่เตย'!K28*1000</f>
        <v>0</v>
      </c>
      <c r="L29" s="691">
        <f>'Rolling พี่เตย'!L28*1000</f>
        <v>0</v>
      </c>
      <c r="M29" s="691">
        <f>'Rolling พี่เตย'!M28*1000</f>
        <v>0</v>
      </c>
      <c r="N29" s="691">
        <f>'Rolling พี่เตย'!N28*1000</f>
        <v>0</v>
      </c>
      <c r="O29" s="691">
        <f>'Rolling พี่เตย'!O28*1000</f>
        <v>0</v>
      </c>
      <c r="P29" s="691">
        <f>'Rolling พี่เตย'!P28*1000</f>
        <v>0</v>
      </c>
      <c r="Q29" s="852">
        <f t="shared" si="22"/>
        <v>1327.3919999999998</v>
      </c>
      <c r="T29" s="148" t="s">
        <v>220</v>
      </c>
      <c r="U29" s="148"/>
      <c r="V29" s="705">
        <f>SUM(E32:E34)</f>
        <v>0</v>
      </c>
      <c r="W29" s="705">
        <f t="shared" ref="W29:AF29" si="27">SUM(F32:F34)</f>
        <v>0</v>
      </c>
      <c r="X29" s="705">
        <f t="shared" si="27"/>
        <v>5836.3940000000002</v>
      </c>
      <c r="Y29" s="705">
        <f t="shared" si="27"/>
        <v>5694.3050000000003</v>
      </c>
      <c r="Z29" s="705">
        <f t="shared" si="27"/>
        <v>11249.457</v>
      </c>
      <c r="AA29" s="705">
        <f t="shared" si="27"/>
        <v>11146.067999999999</v>
      </c>
      <c r="AB29" s="705">
        <f t="shared" si="27"/>
        <v>7084.7999999999993</v>
      </c>
      <c r="AC29" s="705">
        <f t="shared" si="27"/>
        <v>11160.000000000002</v>
      </c>
      <c r="AD29" s="705">
        <f t="shared" si="27"/>
        <v>10076.072727272727</v>
      </c>
      <c r="AE29" s="705">
        <f t="shared" si="27"/>
        <v>8700.9593171565793</v>
      </c>
      <c r="AF29" s="705">
        <f t="shared" si="27"/>
        <v>10790.852970410582</v>
      </c>
      <c r="AG29" s="705">
        <f>SUM(P32:P34)</f>
        <v>10988.169600122337</v>
      </c>
      <c r="AH29" s="705">
        <f t="shared" si="23"/>
        <v>92727.078614962214</v>
      </c>
      <c r="AI29" s="706"/>
      <c r="AK29" s="148" t="s">
        <v>220</v>
      </c>
      <c r="AL29" s="150">
        <f t="shared" ref="AL29:AW29" si="28">SUM(E32:E34)/E37</f>
        <v>0</v>
      </c>
      <c r="AM29" s="150">
        <f t="shared" si="28"/>
        <v>0</v>
      </c>
      <c r="AN29" s="150">
        <f t="shared" si="28"/>
        <v>2.9164503816132076E-2</v>
      </c>
      <c r="AO29" s="150">
        <f t="shared" si="28"/>
        <v>3.3593430727590252E-2</v>
      </c>
      <c r="AP29" s="150">
        <f t="shared" si="28"/>
        <v>5.6234488279847034E-2</v>
      </c>
      <c r="AQ29" s="150">
        <f t="shared" si="28"/>
        <v>5.688475901502716E-2</v>
      </c>
      <c r="AR29" s="150">
        <f t="shared" si="28"/>
        <v>4.6981432360742703E-2</v>
      </c>
      <c r="AS29" s="150">
        <f t="shared" si="28"/>
        <v>5.4921259842519693E-2</v>
      </c>
      <c r="AT29" s="150">
        <f t="shared" si="28"/>
        <v>5.4850695303607658E-2</v>
      </c>
      <c r="AU29" s="150">
        <f t="shared" si="28"/>
        <v>5.4551469073082004E-2</v>
      </c>
      <c r="AV29" s="150">
        <f t="shared" si="28"/>
        <v>5.4526796212281868E-2</v>
      </c>
      <c r="AW29" s="150">
        <f t="shared" si="28"/>
        <v>5.4531859057679086E-2</v>
      </c>
      <c r="AX29" s="707"/>
    </row>
    <row r="30" spans="1:50" ht="32.4" customHeight="1">
      <c r="A30" s="866" t="str">
        <f>Table3[[#This Row],[Product]]</f>
        <v>Ethane</v>
      </c>
      <c r="B30" s="28" t="s">
        <v>25</v>
      </c>
      <c r="C30" s="228" t="s">
        <v>29</v>
      </c>
      <c r="D30" s="689">
        <v>2776.5059999999999</v>
      </c>
      <c r="E30" s="814">
        <v>13237.111999999999</v>
      </c>
      <c r="F30" s="976">
        <v>11863.633</v>
      </c>
      <c r="G30" s="1010">
        <v>8937.3330000000005</v>
      </c>
      <c r="H30" s="1139">
        <v>5679.3860000000004</v>
      </c>
      <c r="I30" s="1240">
        <v>9427.7250000000004</v>
      </c>
      <c r="J30" s="1286">
        <v>8460.58</v>
      </c>
      <c r="K30" s="691">
        <f>'Rolling พี่เตย'!K29*1000</f>
        <v>0</v>
      </c>
      <c r="L30" s="691">
        <f>'Rolling พี่เตย'!L29*1000</f>
        <v>0</v>
      </c>
      <c r="M30" s="691">
        <f>'Rolling พี่เตย'!M29*1000</f>
        <v>0</v>
      </c>
      <c r="N30" s="691">
        <f>'Rolling พี่เตย'!N29*1000</f>
        <v>0</v>
      </c>
      <c r="O30" s="691">
        <f>'Rolling พี่เตย'!O29*1000</f>
        <v>0</v>
      </c>
      <c r="P30" s="691">
        <f>'Rolling พี่เตย'!P29*1000</f>
        <v>0</v>
      </c>
      <c r="Q30" s="852">
        <f t="shared" si="22"/>
        <v>57605.769</v>
      </c>
      <c r="T30" t="s">
        <v>177</v>
      </c>
      <c r="V30" s="705">
        <f>SUM(V26:V29)</f>
        <v>199660.853</v>
      </c>
      <c r="W30" s="705">
        <f t="shared" ref="W30:AF30" si="29">SUM(W26:W29)</f>
        <v>182459.91500000001</v>
      </c>
      <c r="X30" s="705">
        <f t="shared" si="29"/>
        <v>200119.77699999997</v>
      </c>
      <c r="Y30" s="705">
        <f t="shared" si="29"/>
        <v>169506.50400000002</v>
      </c>
      <c r="Z30" s="705">
        <f t="shared" si="29"/>
        <v>200045.51200000002</v>
      </c>
      <c r="AA30" s="705">
        <f t="shared" si="29"/>
        <v>195941.201</v>
      </c>
      <c r="AB30" s="705">
        <f t="shared" si="29"/>
        <v>150800</v>
      </c>
      <c r="AC30" s="705">
        <f t="shared" si="29"/>
        <v>203200</v>
      </c>
      <c r="AD30" s="705">
        <f t="shared" si="29"/>
        <v>183700</v>
      </c>
      <c r="AE30" s="705">
        <f t="shared" si="29"/>
        <v>159500</v>
      </c>
      <c r="AF30" s="705">
        <f t="shared" si="29"/>
        <v>197900</v>
      </c>
      <c r="AG30" s="705">
        <f>SUM(AG26:AG29)</f>
        <v>201500.00000000003</v>
      </c>
      <c r="AH30" s="705">
        <f t="shared" si="23"/>
        <v>2244333.7620000001</v>
      </c>
      <c r="AI30" s="706"/>
      <c r="AK30" t="s">
        <v>177</v>
      </c>
      <c r="AL30" s="150">
        <f>SUM(AL26:AL29)</f>
        <v>0.99999999999999989</v>
      </c>
      <c r="AM30" s="150">
        <f t="shared" ref="AM30:AW30" si="30">SUM(AM26:AM29)</f>
        <v>1</v>
      </c>
      <c r="AN30" s="150">
        <f t="shared" si="30"/>
        <v>1</v>
      </c>
      <c r="AO30" s="150">
        <f t="shared" si="30"/>
        <v>1</v>
      </c>
      <c r="AP30" s="150">
        <f t="shared" si="30"/>
        <v>1</v>
      </c>
      <c r="AQ30" s="150">
        <f t="shared" si="30"/>
        <v>1</v>
      </c>
      <c r="AR30" s="150">
        <f t="shared" si="30"/>
        <v>1</v>
      </c>
      <c r="AS30" s="150">
        <f t="shared" si="30"/>
        <v>1</v>
      </c>
      <c r="AT30" s="150">
        <f t="shared" si="30"/>
        <v>1</v>
      </c>
      <c r="AU30" s="150">
        <f t="shared" si="30"/>
        <v>0.99999999999999978</v>
      </c>
      <c r="AV30" s="150">
        <f t="shared" si="30"/>
        <v>1</v>
      </c>
      <c r="AW30" s="150">
        <f t="shared" si="30"/>
        <v>0.99999999999999989</v>
      </c>
      <c r="AX30" s="707"/>
    </row>
    <row r="31" spans="1:50" ht="37.25" customHeight="1">
      <c r="A31" s="866" t="str">
        <f>Table3[[#This Row],[Product]]</f>
        <v>Ethane</v>
      </c>
      <c r="B31" s="28" t="s">
        <v>25</v>
      </c>
      <c r="C31" s="228" t="s">
        <v>30</v>
      </c>
      <c r="D31" s="689">
        <v>2976</v>
      </c>
      <c r="E31" s="814">
        <v>2976</v>
      </c>
      <c r="F31" s="976">
        <v>2688</v>
      </c>
      <c r="G31" s="1010">
        <v>2976</v>
      </c>
      <c r="H31" s="1139">
        <v>2688</v>
      </c>
      <c r="I31" s="1240">
        <v>2976</v>
      </c>
      <c r="J31" s="1286">
        <v>2880</v>
      </c>
      <c r="K31" s="691">
        <f>'Rolling พี่เตย'!K30*1000</f>
        <v>2976</v>
      </c>
      <c r="L31" s="691">
        <f>'Rolling พี่เตย'!L30*1000</f>
        <v>2976</v>
      </c>
      <c r="M31" s="691">
        <f>'Rolling พี่เตย'!M30*1000</f>
        <v>2880</v>
      </c>
      <c r="N31" s="691">
        <f>'Rolling พี่เตย'!N30*1000</f>
        <v>2976</v>
      </c>
      <c r="O31" s="691">
        <f>'Rolling พี่เตย'!O30*1000</f>
        <v>2880</v>
      </c>
      <c r="P31" s="691">
        <f>'Rolling พี่เตย'!P30*1000</f>
        <v>2976</v>
      </c>
      <c r="Q31" s="852">
        <f t="shared" si="22"/>
        <v>34848</v>
      </c>
      <c r="T31" s="44" t="s">
        <v>38</v>
      </c>
      <c r="U31" s="702"/>
      <c r="V31" s="705"/>
      <c r="W31" s="705"/>
      <c r="X31" s="705"/>
      <c r="Y31" s="705"/>
      <c r="Z31" s="705"/>
      <c r="AA31" s="705"/>
      <c r="AB31" s="705"/>
      <c r="AC31" s="705"/>
      <c r="AD31" s="705"/>
      <c r="AE31" s="705"/>
      <c r="AF31" s="705"/>
      <c r="AG31" s="705"/>
      <c r="AH31" s="705"/>
      <c r="AI31" s="706"/>
      <c r="AK31" s="44" t="s">
        <v>38</v>
      </c>
      <c r="AX31" s="707"/>
    </row>
    <row r="32" spans="1:50" ht="25.25" customHeight="1">
      <c r="A32" s="866" t="str">
        <f>Table3[[#This Row],[Product]]</f>
        <v>Ethane</v>
      </c>
      <c r="B32" s="28" t="s">
        <v>25</v>
      </c>
      <c r="C32" s="227" t="s">
        <v>31</v>
      </c>
      <c r="D32" s="689">
        <v>0</v>
      </c>
      <c r="E32" s="814">
        <v>0</v>
      </c>
      <c r="F32" s="976">
        <v>0</v>
      </c>
      <c r="G32" s="1014">
        <v>5836.3940000000002</v>
      </c>
      <c r="H32" s="1139">
        <v>5694.3050000000003</v>
      </c>
      <c r="I32" s="1240">
        <v>11249.457</v>
      </c>
      <c r="J32" s="1286">
        <v>11146.067999999999</v>
      </c>
      <c r="K32" s="691">
        <f>'Rolling พี่เตย'!K31*1000</f>
        <v>7084.7999999999993</v>
      </c>
      <c r="L32" s="691">
        <f>'Rolling พี่เตย'!L31*1000</f>
        <v>11160.000000000002</v>
      </c>
      <c r="M32" s="691">
        <f>'Rolling พี่เตย'!M31*1000</f>
        <v>10076.072727272727</v>
      </c>
      <c r="N32" s="691">
        <f>'Rolling พี่เตย'!N31*1000</f>
        <v>8700.9593171565793</v>
      </c>
      <c r="O32" s="691">
        <f>'Rolling พี่เตย'!O31*1000</f>
        <v>10790.852970410582</v>
      </c>
      <c r="P32" s="691">
        <f>'Rolling พี่เตย'!P31*1000</f>
        <v>10988.169600122337</v>
      </c>
      <c r="Q32" s="852">
        <f t="shared" si="22"/>
        <v>92727.078614962214</v>
      </c>
      <c r="T32" t="s">
        <v>217</v>
      </c>
      <c r="V32" s="705">
        <f t="shared" ref="V32:AG32" si="31">SUM(E38:E40)</f>
        <v>22014.824000000001</v>
      </c>
      <c r="W32" s="705">
        <f t="shared" si="31"/>
        <v>19178.168000000001</v>
      </c>
      <c r="X32" s="705">
        <f t="shared" si="31"/>
        <v>18728.127</v>
      </c>
      <c r="Y32" s="705">
        <f t="shared" si="31"/>
        <v>11924.915000000001</v>
      </c>
      <c r="Z32" s="705">
        <f t="shared" si="31"/>
        <v>24412.275000000001</v>
      </c>
      <c r="AA32" s="705">
        <f t="shared" si="31"/>
        <v>18877.591</v>
      </c>
      <c r="AB32" s="705">
        <f t="shared" si="31"/>
        <v>22320</v>
      </c>
      <c r="AC32" s="705">
        <f t="shared" si="31"/>
        <v>22320</v>
      </c>
      <c r="AD32" s="705">
        <f t="shared" si="31"/>
        <v>20736</v>
      </c>
      <c r="AE32" s="705">
        <f t="shared" si="31"/>
        <v>22320</v>
      </c>
      <c r="AF32" s="705">
        <f t="shared" si="31"/>
        <v>21600</v>
      </c>
      <c r="AG32" s="705">
        <f t="shared" si="31"/>
        <v>22320</v>
      </c>
      <c r="AH32" s="705">
        <f t="shared" si="23"/>
        <v>246751.90000000002</v>
      </c>
      <c r="AI32" s="706"/>
      <c r="AK32" t="s">
        <v>217</v>
      </c>
      <c r="AL32" s="150">
        <f t="shared" ref="AL32:AW32" si="32">SUM(E38:E40)/E52</f>
        <v>0.27110512383174956</v>
      </c>
      <c r="AM32" s="150">
        <f t="shared" si="32"/>
        <v>0.22948114824334367</v>
      </c>
      <c r="AN32" s="150">
        <f t="shared" si="32"/>
        <v>0.1771532001083079</v>
      </c>
      <c r="AO32" s="150">
        <f t="shared" si="32"/>
        <v>0.17702802374333107</v>
      </c>
      <c r="AP32" s="150">
        <f t="shared" si="32"/>
        <v>0.23956337740558317</v>
      </c>
      <c r="AQ32" s="150">
        <f t="shared" si="32"/>
        <v>0.17701653185312627</v>
      </c>
      <c r="AR32" s="150">
        <f t="shared" si="32"/>
        <v>0.30984937877420698</v>
      </c>
      <c r="AS32" s="150">
        <f t="shared" si="32"/>
        <v>0.27408025934476155</v>
      </c>
      <c r="AT32" s="150">
        <f t="shared" si="32"/>
        <v>0.27360171001068756</v>
      </c>
      <c r="AU32" s="150">
        <f t="shared" si="32"/>
        <v>0.389889426520167</v>
      </c>
      <c r="AV32" s="150">
        <f t="shared" si="32"/>
        <v>0.25373555117000279</v>
      </c>
      <c r="AW32" s="150">
        <f t="shared" si="32"/>
        <v>0.23358030892879569</v>
      </c>
      <c r="AX32" s="707"/>
    </row>
    <row r="33" spans="1:50" ht="25.25" customHeight="1">
      <c r="A33" s="866" t="str">
        <f>Table3[[#This Row],[Product]]</f>
        <v>Ethane</v>
      </c>
      <c r="B33" s="28" t="s">
        <v>25</v>
      </c>
      <c r="C33" s="227" t="s">
        <v>32</v>
      </c>
      <c r="D33" s="689">
        <v>0</v>
      </c>
      <c r="E33" s="814">
        <v>0</v>
      </c>
      <c r="F33" s="976">
        <v>0</v>
      </c>
      <c r="G33" s="1010">
        <v>0</v>
      </c>
      <c r="H33" s="814">
        <v>0</v>
      </c>
      <c r="I33" s="1240">
        <v>0</v>
      </c>
      <c r="J33" s="1286">
        <v>0</v>
      </c>
      <c r="K33" s="691"/>
      <c r="L33" s="691"/>
      <c r="M33" s="691"/>
      <c r="N33" s="691"/>
      <c r="O33" s="691"/>
      <c r="P33" s="691"/>
      <c r="Q33" s="852">
        <f t="shared" si="22"/>
        <v>0</v>
      </c>
      <c r="T33" t="s">
        <v>223</v>
      </c>
      <c r="V33" s="705">
        <f t="shared" ref="V33:AG33" si="33">SUM(E41:E42)</f>
        <v>32359.538</v>
      </c>
      <c r="W33" s="705">
        <f t="shared" si="33"/>
        <v>28515.847000000002</v>
      </c>
      <c r="X33" s="705">
        <f t="shared" si="33"/>
        <v>32456.748</v>
      </c>
      <c r="Y33" s="705">
        <f t="shared" si="33"/>
        <v>24576.89</v>
      </c>
      <c r="Z33" s="705">
        <f t="shared" si="33"/>
        <v>27121.14</v>
      </c>
      <c r="AA33" s="705">
        <f t="shared" si="33"/>
        <v>30199.407999999999</v>
      </c>
      <c r="AB33" s="705">
        <f t="shared" si="33"/>
        <v>24500</v>
      </c>
      <c r="AC33" s="705">
        <f t="shared" si="33"/>
        <v>32240.000000000004</v>
      </c>
      <c r="AD33" s="705">
        <f t="shared" si="33"/>
        <v>22700</v>
      </c>
      <c r="AE33" s="705">
        <f t="shared" si="33"/>
        <v>0</v>
      </c>
      <c r="AF33" s="705">
        <f t="shared" si="33"/>
        <v>31200</v>
      </c>
      <c r="AG33" s="705">
        <f t="shared" si="33"/>
        <v>32240.000000000004</v>
      </c>
      <c r="AH33" s="705">
        <f t="shared" si="23"/>
        <v>318109.571</v>
      </c>
      <c r="AI33" s="706"/>
      <c r="AK33" t="s">
        <v>223</v>
      </c>
      <c r="AL33" s="150">
        <f t="shared" ref="AL33:AW33" si="34">SUM(E40:E41)/E52</f>
        <v>0.39849678365033514</v>
      </c>
      <c r="AM33" s="150">
        <f t="shared" si="34"/>
        <v>0.34121347318948853</v>
      </c>
      <c r="AN33" s="150">
        <f t="shared" si="34"/>
        <v>0.30701504604859431</v>
      </c>
      <c r="AO33" s="150">
        <f t="shared" si="34"/>
        <v>0.36484941540105198</v>
      </c>
      <c r="AP33" s="150">
        <f t="shared" si="34"/>
        <v>0.26614610467437622</v>
      </c>
      <c r="AQ33" s="150">
        <f t="shared" si="34"/>
        <v>0.28318202614822813</v>
      </c>
      <c r="AR33" s="150">
        <f t="shared" si="34"/>
        <v>0.34011244533907131</v>
      </c>
      <c r="AS33" s="150">
        <f t="shared" si="34"/>
        <v>0.39589370794243339</v>
      </c>
      <c r="AT33" s="150">
        <f t="shared" si="34"/>
        <v>0.29951576086239429</v>
      </c>
      <c r="AU33" s="150">
        <f t="shared" si="34"/>
        <v>0</v>
      </c>
      <c r="AV33" s="150">
        <f t="shared" si="34"/>
        <v>0.36650690724555962</v>
      </c>
      <c r="AW33" s="150">
        <f t="shared" si="34"/>
        <v>0.337393779563816</v>
      </c>
      <c r="AX33" s="707"/>
    </row>
    <row r="34" spans="1:50" ht="25.25" customHeight="1">
      <c r="A34" s="866" t="str">
        <f>Table3[[#This Row],[Product]]</f>
        <v>Ethane</v>
      </c>
      <c r="B34" s="32" t="s">
        <v>34</v>
      </c>
      <c r="C34" s="227" t="s">
        <v>33</v>
      </c>
      <c r="D34" s="689">
        <v>0</v>
      </c>
      <c r="E34" s="814">
        <v>0</v>
      </c>
      <c r="F34" s="976">
        <v>0</v>
      </c>
      <c r="G34" s="1010">
        <v>0</v>
      </c>
      <c r="H34" s="814">
        <v>0</v>
      </c>
      <c r="I34" s="1240">
        <v>0</v>
      </c>
      <c r="J34" s="1286">
        <v>0</v>
      </c>
      <c r="K34" s="691">
        <f>'Rolling พี่เตย'!K33*1000</f>
        <v>0</v>
      </c>
      <c r="L34" s="691">
        <f>'Rolling พี่เตย'!L33*1000</f>
        <v>0</v>
      </c>
      <c r="M34" s="691">
        <f>'Rolling พี่เตย'!M33*1000</f>
        <v>0</v>
      </c>
      <c r="N34" s="691">
        <f>'Rolling พี่เตย'!N33*1000</f>
        <v>0</v>
      </c>
      <c r="O34" s="691">
        <f>'Rolling พี่เตย'!O33*1000</f>
        <v>0</v>
      </c>
      <c r="P34" s="691">
        <f>'Rolling พี่เตย'!P33*1000</f>
        <v>0</v>
      </c>
      <c r="Q34" s="852">
        <f t="shared" si="22"/>
        <v>0</v>
      </c>
      <c r="T34" t="s">
        <v>224</v>
      </c>
      <c r="V34" s="705">
        <f t="shared" ref="V34:AG34" si="35">SUM(E43:E44)</f>
        <v>26282.391</v>
      </c>
      <c r="W34" s="705">
        <f t="shared" si="35"/>
        <v>25930.167999999998</v>
      </c>
      <c r="X34" s="705">
        <f t="shared" si="35"/>
        <v>31114.870999999999</v>
      </c>
      <c r="Y34" s="705">
        <f t="shared" si="35"/>
        <v>19793.174999999999</v>
      </c>
      <c r="Z34" s="705">
        <f t="shared" si="35"/>
        <v>22692.291000000001</v>
      </c>
      <c r="AA34" s="705">
        <f t="shared" si="35"/>
        <v>29015.439999999999</v>
      </c>
      <c r="AB34" s="705">
        <f t="shared" si="35"/>
        <v>881</v>
      </c>
      <c r="AC34" s="705">
        <f t="shared" si="35"/>
        <v>21276</v>
      </c>
      <c r="AD34" s="705">
        <f t="shared" si="35"/>
        <v>25884</v>
      </c>
      <c r="AE34" s="705">
        <f t="shared" si="35"/>
        <v>24258</v>
      </c>
      <c r="AF34" s="705">
        <f t="shared" si="35"/>
        <v>26659</v>
      </c>
      <c r="AG34" s="705">
        <f t="shared" si="35"/>
        <v>27556</v>
      </c>
      <c r="AH34" s="705">
        <f t="shared" si="23"/>
        <v>281342.33600000001</v>
      </c>
      <c r="AI34" s="706"/>
      <c r="AK34" t="s">
        <v>224</v>
      </c>
      <c r="AL34" s="150">
        <f t="shared" ref="AL34:AW34" si="36">SUM(E43:E44)/E52</f>
        <v>0.32365877041076779</v>
      </c>
      <c r="AM34" s="150">
        <f t="shared" si="36"/>
        <v>0.31027388678536999</v>
      </c>
      <c r="AN34" s="150">
        <f t="shared" si="36"/>
        <v>0.29432195587990118</v>
      </c>
      <c r="AO34" s="150">
        <f t="shared" si="36"/>
        <v>0.29383409893117951</v>
      </c>
      <c r="AP34" s="150">
        <f t="shared" si="36"/>
        <v>0.22268477120753058</v>
      </c>
      <c r="AQ34" s="150">
        <f t="shared" si="36"/>
        <v>0.27207987284990304</v>
      </c>
      <c r="AR34" s="150">
        <f t="shared" si="36"/>
        <v>1.2230165891580482E-2</v>
      </c>
      <c r="AS34" s="150">
        <f t="shared" si="36"/>
        <v>0.26126037624637755</v>
      </c>
      <c r="AT34" s="150">
        <f t="shared" si="36"/>
        <v>0.34152713454459088</v>
      </c>
      <c r="AU34" s="150">
        <f t="shared" si="36"/>
        <v>0.42374272887662234</v>
      </c>
      <c r="AV34" s="150">
        <f t="shared" si="36"/>
        <v>0.31316370641856967</v>
      </c>
      <c r="AW34" s="150">
        <f t="shared" si="36"/>
        <v>0.28837540290510277</v>
      </c>
      <c r="AX34" s="707"/>
    </row>
    <row r="35" spans="1:50" ht="25.25" customHeight="1">
      <c r="A35" s="866" t="str">
        <f>Table3[[#This Row],[Product]]</f>
        <v>Ethane</v>
      </c>
      <c r="B35" s="845" t="s">
        <v>568</v>
      </c>
      <c r="C35" s="33" t="s">
        <v>35</v>
      </c>
      <c r="D35" s="940">
        <f>SUM(D26:D31)</f>
        <v>187914.96400000001</v>
      </c>
      <c r="E35" s="1276">
        <f t="shared" ref="E35:P35" si="37">SUM(E26:E31)</f>
        <v>199660.853</v>
      </c>
      <c r="F35" s="940">
        <f t="shared" ref="F35" si="38">SUM(F26:F31)</f>
        <v>182459.91500000001</v>
      </c>
      <c r="G35" s="940">
        <f>SUM(G26:G31)</f>
        <v>194283.383</v>
      </c>
      <c r="H35" s="1054">
        <f>SUM(H26:H31)</f>
        <v>163812.19900000002</v>
      </c>
      <c r="I35" s="940">
        <f t="shared" ref="I35" si="39">SUM(I26:I31)</f>
        <v>188796.05500000002</v>
      </c>
      <c r="J35" s="940">
        <f t="shared" si="37"/>
        <v>184795.133</v>
      </c>
      <c r="K35" s="938">
        <f t="shared" si="37"/>
        <v>143715.20000000001</v>
      </c>
      <c r="L35" s="938">
        <f t="shared" si="37"/>
        <v>192040</v>
      </c>
      <c r="M35" s="938">
        <f t="shared" si="37"/>
        <v>173623.92727272728</v>
      </c>
      <c r="N35" s="938">
        <f t="shared" si="37"/>
        <v>150799.04068284342</v>
      </c>
      <c r="O35" s="938">
        <f t="shared" si="37"/>
        <v>187109.14702958943</v>
      </c>
      <c r="P35" s="938">
        <f t="shared" si="37"/>
        <v>190511.83039987768</v>
      </c>
      <c r="Q35" s="939">
        <f t="shared" si="22"/>
        <v>2151606.6833850378</v>
      </c>
      <c r="T35" t="s">
        <v>220</v>
      </c>
      <c r="V35" s="705">
        <f t="shared" ref="V35:AG35" si="40">SUM(E45:E48)</f>
        <v>0</v>
      </c>
      <c r="W35" s="705">
        <f t="shared" si="40"/>
        <v>9354.9639999999999</v>
      </c>
      <c r="X35" s="705">
        <f t="shared" si="40"/>
        <v>22735.349000000002</v>
      </c>
      <c r="Y35" s="705">
        <f t="shared" si="40"/>
        <v>10563.175999999999</v>
      </c>
      <c r="Z35" s="705">
        <f t="shared" si="40"/>
        <v>27031.684999999998</v>
      </c>
      <c r="AA35" s="705">
        <f t="shared" si="40"/>
        <v>27975.156999999999</v>
      </c>
      <c r="AB35" s="705">
        <f t="shared" si="40"/>
        <v>23734</v>
      </c>
      <c r="AC35" s="705">
        <f t="shared" si="40"/>
        <v>5000</v>
      </c>
      <c r="AD35" s="705">
        <f t="shared" si="40"/>
        <v>5869</v>
      </c>
      <c r="AE35" s="705">
        <f t="shared" si="40"/>
        <v>10069</v>
      </c>
      <c r="AF35" s="705">
        <f t="shared" si="40"/>
        <v>5069</v>
      </c>
      <c r="AG35" s="705">
        <f t="shared" si="40"/>
        <v>12840</v>
      </c>
      <c r="AH35" s="705">
        <f t="shared" si="23"/>
        <v>160241.33100000001</v>
      </c>
      <c r="AI35" s="706"/>
      <c r="AK35" t="s">
        <v>220</v>
      </c>
      <c r="AL35" s="150">
        <f t="shared" ref="AL35:AW35" si="41">SUM(E45:E48)/E52</f>
        <v>0</v>
      </c>
      <c r="AM35" s="150">
        <f t="shared" si="41"/>
        <v>0.11193915292092255</v>
      </c>
      <c r="AN35" s="150">
        <f t="shared" si="41"/>
        <v>0.21505833610212161</v>
      </c>
      <c r="AO35" s="150">
        <f t="shared" si="41"/>
        <v>0.15681270447068049</v>
      </c>
      <c r="AP35" s="150">
        <f t="shared" si="41"/>
        <v>0.26526826178895008</v>
      </c>
      <c r="AQ35" s="150">
        <f t="shared" si="41"/>
        <v>0.26232506415605189</v>
      </c>
      <c r="AR35" s="150">
        <f t="shared" si="41"/>
        <v>0.32947872561949054</v>
      </c>
      <c r="AS35" s="150">
        <f t="shared" si="41"/>
        <v>6.1397907559310377E-2</v>
      </c>
      <c r="AT35" s="150">
        <f t="shared" si="41"/>
        <v>7.7438678436184669E-2</v>
      </c>
      <c r="AU35" s="150">
        <f t="shared" si="41"/>
        <v>0.17588694604084057</v>
      </c>
      <c r="AV35" s="150">
        <f t="shared" si="41"/>
        <v>5.9545625411145567E-2</v>
      </c>
      <c r="AW35" s="150">
        <f t="shared" si="41"/>
        <v>0.13437146803968353</v>
      </c>
      <c r="AX35" s="707"/>
    </row>
    <row r="36" spans="1:50" ht="25.25" customHeight="1">
      <c r="A36" s="866" t="str">
        <f>Table3[[#This Row],[Product]]</f>
        <v>Ethane</v>
      </c>
      <c r="B36" s="845" t="s">
        <v>568</v>
      </c>
      <c r="C36" s="33" t="s">
        <v>36</v>
      </c>
      <c r="D36" s="940">
        <f>SUM(D32:D34)</f>
        <v>0</v>
      </c>
      <c r="E36" s="940">
        <v>0</v>
      </c>
      <c r="F36" s="940">
        <f t="shared" ref="F36" si="42">SUM(F32:F34)</f>
        <v>0</v>
      </c>
      <c r="G36" s="940">
        <f>SUM(G32:G34)</f>
        <v>5836.3940000000002</v>
      </c>
      <c r="H36" s="1041">
        <f t="shared" ref="H36:I36" si="43">SUM(H32:H34)</f>
        <v>5694.3050000000003</v>
      </c>
      <c r="I36" s="940">
        <f t="shared" si="43"/>
        <v>11249.457</v>
      </c>
      <c r="J36" s="940">
        <f t="shared" ref="J36:P36" si="44">SUM(J32:J34)</f>
        <v>11146.067999999999</v>
      </c>
      <c r="K36" s="938">
        <f t="shared" si="44"/>
        <v>7084.7999999999993</v>
      </c>
      <c r="L36" s="938">
        <f t="shared" si="44"/>
        <v>11160.000000000002</v>
      </c>
      <c r="M36" s="938">
        <f t="shared" si="44"/>
        <v>10076.072727272727</v>
      </c>
      <c r="N36" s="938">
        <f t="shared" si="44"/>
        <v>8700.9593171565793</v>
      </c>
      <c r="O36" s="938">
        <f t="shared" si="44"/>
        <v>10790.852970410582</v>
      </c>
      <c r="P36" s="938">
        <f t="shared" si="44"/>
        <v>10988.169600122337</v>
      </c>
      <c r="Q36" s="939">
        <f t="shared" si="22"/>
        <v>92727.078614962214</v>
      </c>
      <c r="T36" t="s">
        <v>225</v>
      </c>
      <c r="V36" s="705">
        <f t="shared" ref="V36:AG36" si="45">SUM(E49)</f>
        <v>547.26</v>
      </c>
      <c r="W36" s="705">
        <f t="shared" si="45"/>
        <v>592.72</v>
      </c>
      <c r="X36" s="705">
        <f t="shared" si="45"/>
        <v>682.03</v>
      </c>
      <c r="Y36" s="705">
        <f t="shared" si="45"/>
        <v>503.58</v>
      </c>
      <c r="Z36" s="705">
        <f t="shared" si="45"/>
        <v>645.80999999999995</v>
      </c>
      <c r="AA36" s="705">
        <f t="shared" si="45"/>
        <v>575.5</v>
      </c>
      <c r="AB36" s="705">
        <f t="shared" si="45"/>
        <v>600</v>
      </c>
      <c r="AC36" s="705">
        <f t="shared" si="45"/>
        <v>600</v>
      </c>
      <c r="AD36" s="705">
        <f t="shared" si="45"/>
        <v>600</v>
      </c>
      <c r="AE36" s="705">
        <f t="shared" si="45"/>
        <v>600</v>
      </c>
      <c r="AF36" s="705">
        <f t="shared" si="45"/>
        <v>600</v>
      </c>
      <c r="AG36" s="705">
        <f t="shared" si="45"/>
        <v>600</v>
      </c>
      <c r="AH36" s="705">
        <f t="shared" si="23"/>
        <v>7146.9</v>
      </c>
      <c r="AI36" s="706"/>
      <c r="AK36" t="s">
        <v>225</v>
      </c>
      <c r="AL36" s="150">
        <f t="shared" ref="AL36:AW36" si="46">E49/E52</f>
        <v>6.7393221071475867E-3</v>
      </c>
      <c r="AM36" s="150">
        <f t="shared" si="46"/>
        <v>7.0923388608752757E-3</v>
      </c>
      <c r="AN36" s="150">
        <f t="shared" si="46"/>
        <v>6.4514618610750146E-3</v>
      </c>
      <c r="AO36" s="150">
        <f t="shared" si="46"/>
        <v>7.475757453756832E-3</v>
      </c>
      <c r="AP36" s="150">
        <f t="shared" si="46"/>
        <v>6.3374849235599568E-3</v>
      </c>
      <c r="AQ36" s="150">
        <f t="shared" si="46"/>
        <v>5.3965049926907602E-3</v>
      </c>
      <c r="AR36" s="150">
        <f t="shared" si="46"/>
        <v>8.3292843756507251E-3</v>
      </c>
      <c r="AS36" s="150">
        <f t="shared" si="46"/>
        <v>7.3677489071172454E-3</v>
      </c>
      <c r="AT36" s="150">
        <f t="shared" si="46"/>
        <v>7.9167161461425797E-3</v>
      </c>
      <c r="AU36" s="150">
        <f t="shared" si="46"/>
        <v>1.048089856237008E-2</v>
      </c>
      <c r="AV36" s="150">
        <f t="shared" si="46"/>
        <v>7.0482097547223009E-3</v>
      </c>
      <c r="AW36" s="150">
        <f t="shared" si="46"/>
        <v>6.279040562602034E-3</v>
      </c>
      <c r="AX36" s="707"/>
    </row>
    <row r="37" spans="1:50" ht="25.25" customHeight="1">
      <c r="A37" s="866" t="str">
        <f>Table3[[#This Row],[Product]]</f>
        <v>Ethane</v>
      </c>
      <c r="B37" s="845" t="s">
        <v>568</v>
      </c>
      <c r="C37" s="34" t="s">
        <v>37</v>
      </c>
      <c r="D37" s="940">
        <f>SUM(D26:D34)</f>
        <v>187914.96400000001</v>
      </c>
      <c r="E37" s="940">
        <f>SUM(E26:E34)</f>
        <v>199660.853</v>
      </c>
      <c r="F37" s="940">
        <f t="shared" ref="F37" si="47">SUM(F26:F34)</f>
        <v>182459.91500000001</v>
      </c>
      <c r="G37" s="940">
        <f>SUM(G26:G34)</f>
        <v>200119.777</v>
      </c>
      <c r="H37" s="1041">
        <f t="shared" ref="H37:I37" si="48">SUM(H26:H34)</f>
        <v>169506.50400000002</v>
      </c>
      <c r="I37" s="940">
        <f t="shared" si="48"/>
        <v>200045.51200000002</v>
      </c>
      <c r="J37" s="940">
        <f t="shared" ref="J37:P37" si="49">SUM(J26:J34)</f>
        <v>195941.201</v>
      </c>
      <c r="K37" s="938">
        <f t="shared" si="49"/>
        <v>150800</v>
      </c>
      <c r="L37" s="938">
        <f t="shared" si="49"/>
        <v>203200</v>
      </c>
      <c r="M37" s="938">
        <f t="shared" si="49"/>
        <v>183700</v>
      </c>
      <c r="N37" s="938">
        <f t="shared" si="49"/>
        <v>159500</v>
      </c>
      <c r="O37" s="938">
        <f t="shared" si="49"/>
        <v>197900</v>
      </c>
      <c r="P37" s="938">
        <f t="shared" si="49"/>
        <v>201500.00000000003</v>
      </c>
      <c r="Q37" s="939">
        <f t="shared" si="22"/>
        <v>2244333.7620000001</v>
      </c>
      <c r="T37" t="s">
        <v>177</v>
      </c>
      <c r="V37" s="705">
        <f>SUM(V32:V36)</f>
        <v>81204.012999999992</v>
      </c>
      <c r="W37" s="705">
        <f t="shared" ref="W37:AG37" si="50">SUM(W32:W36)</f>
        <v>83571.866999999998</v>
      </c>
      <c r="X37" s="705">
        <f t="shared" si="50"/>
        <v>105717.125</v>
      </c>
      <c r="Y37" s="705">
        <f t="shared" si="50"/>
        <v>67361.73599999999</v>
      </c>
      <c r="Z37" s="705">
        <f t="shared" si="50"/>
        <v>101903.201</v>
      </c>
      <c r="AA37" s="705">
        <f t="shared" si="50"/>
        <v>106643.09599999999</v>
      </c>
      <c r="AB37" s="705">
        <f t="shared" si="50"/>
        <v>72035</v>
      </c>
      <c r="AC37" s="705">
        <f t="shared" si="50"/>
        <v>81436</v>
      </c>
      <c r="AD37" s="705">
        <f t="shared" si="50"/>
        <v>75789</v>
      </c>
      <c r="AE37" s="705">
        <f t="shared" si="50"/>
        <v>57247</v>
      </c>
      <c r="AF37" s="705">
        <f t="shared" si="50"/>
        <v>85128</v>
      </c>
      <c r="AG37" s="705">
        <f t="shared" si="50"/>
        <v>95556</v>
      </c>
      <c r="AH37" s="705">
        <f t="shared" si="23"/>
        <v>1013592.0379999999</v>
      </c>
      <c r="AI37" s="706"/>
      <c r="AK37" t="s">
        <v>177</v>
      </c>
      <c r="AL37" s="150">
        <f>SUM(AL32:AL36)</f>
        <v>1.0000000000000002</v>
      </c>
      <c r="AM37" s="150">
        <f t="shared" ref="AM37:AW37" si="51">SUM(AM32:AM36)</f>
        <v>1</v>
      </c>
      <c r="AN37" s="150">
        <f t="shared" si="51"/>
        <v>1</v>
      </c>
      <c r="AO37" s="150">
        <f t="shared" si="51"/>
        <v>0.99999999999999989</v>
      </c>
      <c r="AP37" s="150">
        <f t="shared" si="51"/>
        <v>1</v>
      </c>
      <c r="AQ37" s="150">
        <f t="shared" si="51"/>
        <v>1</v>
      </c>
      <c r="AR37" s="150">
        <f t="shared" si="51"/>
        <v>1</v>
      </c>
      <c r="AS37" s="150">
        <f t="shared" si="51"/>
        <v>1.0000000000000002</v>
      </c>
      <c r="AT37" s="150">
        <f t="shared" si="51"/>
        <v>0.99999999999999989</v>
      </c>
      <c r="AU37" s="150">
        <f t="shared" si="51"/>
        <v>1</v>
      </c>
      <c r="AV37" s="150">
        <f t="shared" si="51"/>
        <v>1</v>
      </c>
      <c r="AW37" s="150">
        <f t="shared" si="51"/>
        <v>1</v>
      </c>
      <c r="AX37" s="707"/>
    </row>
    <row r="38" spans="1:50" ht="23.5">
      <c r="A38" s="867" t="str">
        <f>Table3[[#This Row],[Product]]</f>
        <v>Propane</v>
      </c>
      <c r="B38" s="28" t="s">
        <v>25</v>
      </c>
      <c r="C38" s="35" t="s">
        <v>39</v>
      </c>
      <c r="D38" s="689">
        <v>28491.098999999998</v>
      </c>
      <c r="E38" s="815">
        <v>22014.824000000001</v>
      </c>
      <c r="F38" s="977">
        <v>19178.168000000001</v>
      </c>
      <c r="G38" s="1009">
        <v>18728.127</v>
      </c>
      <c r="H38" s="1138">
        <v>11924.915000000001</v>
      </c>
      <c r="I38" s="1235">
        <v>24412.275000000001</v>
      </c>
      <c r="J38" s="1283">
        <v>18877.591</v>
      </c>
      <c r="K38" s="229">
        <f>'Rolling พี่เตย'!K38*1000</f>
        <v>22320</v>
      </c>
      <c r="L38" s="229">
        <f>'Rolling พี่เตย'!L38*1000</f>
        <v>22320</v>
      </c>
      <c r="M38" s="229">
        <f>'Rolling พี่เตย'!M38*1000</f>
        <v>20736</v>
      </c>
      <c r="N38" s="229">
        <f>'Rolling พี่เตย'!N38*1000</f>
        <v>22320</v>
      </c>
      <c r="O38" s="229">
        <f>'Rolling พี่เตย'!O38*1000</f>
        <v>21600</v>
      </c>
      <c r="P38" s="229">
        <f>'Rolling พี่เตย'!P38*1000</f>
        <v>22320</v>
      </c>
      <c r="Q38" s="853">
        <f>SUM(E38:P38)</f>
        <v>246751.90000000002</v>
      </c>
      <c r="T38" s="44" t="s">
        <v>214</v>
      </c>
      <c r="U38" s="702"/>
      <c r="V38" s="705"/>
      <c r="W38" s="705"/>
      <c r="X38" s="705"/>
      <c r="Y38" s="705"/>
      <c r="Z38" s="705"/>
      <c r="AA38" s="705"/>
      <c r="AB38" s="705"/>
      <c r="AC38" s="705"/>
      <c r="AD38" s="705"/>
      <c r="AE38" s="705"/>
      <c r="AF38" s="705"/>
      <c r="AG38" s="705"/>
      <c r="AH38" s="705"/>
      <c r="AI38" s="706"/>
      <c r="AK38" s="44" t="s">
        <v>214</v>
      </c>
      <c r="AX38" s="707"/>
    </row>
    <row r="39" spans="1:50" ht="21.65" customHeight="1">
      <c r="A39" s="867" t="str">
        <f>Table3[[#This Row],[Product]]</f>
        <v>Propane</v>
      </c>
      <c r="B39" s="28" t="s">
        <v>25</v>
      </c>
      <c r="C39" s="35" t="s">
        <v>40</v>
      </c>
      <c r="D39" s="689">
        <v>0</v>
      </c>
      <c r="E39" s="815">
        <v>0</v>
      </c>
      <c r="F39" s="977">
        <v>0</v>
      </c>
      <c r="G39" s="1009">
        <v>0</v>
      </c>
      <c r="H39" s="815">
        <v>0</v>
      </c>
      <c r="I39" s="1235">
        <v>0</v>
      </c>
      <c r="J39" s="1283">
        <v>0</v>
      </c>
      <c r="K39" s="229"/>
      <c r="L39" s="229"/>
      <c r="M39" s="229"/>
      <c r="N39" s="229"/>
      <c r="O39" s="229"/>
      <c r="P39" s="229"/>
      <c r="Q39" s="853">
        <f t="shared" ref="Q39:Q52" si="52">SUM(E39:P39)</f>
        <v>0</v>
      </c>
      <c r="T39" t="s">
        <v>217</v>
      </c>
      <c r="V39" s="705">
        <f t="shared" ref="V39:AG39" si="53">SUM(E53:E55)</f>
        <v>2412.9459999999999</v>
      </c>
      <c r="W39" s="705">
        <f t="shared" si="53"/>
        <v>1869.665</v>
      </c>
      <c r="X39" s="705">
        <f t="shared" si="53"/>
        <v>8330.2610000000004</v>
      </c>
      <c r="Y39" s="705">
        <f t="shared" si="53"/>
        <v>2122.4749999999999</v>
      </c>
      <c r="Z39" s="705">
        <f t="shared" si="53"/>
        <v>9467.3369999999995</v>
      </c>
      <c r="AA39" s="705">
        <f t="shared" si="53"/>
        <v>4372.6880000000001</v>
      </c>
      <c r="AB39" s="705">
        <f t="shared" si="53"/>
        <v>66116</v>
      </c>
      <c r="AC39" s="705">
        <f t="shared" si="53"/>
        <v>33820</v>
      </c>
      <c r="AD39" s="705">
        <f t="shared" si="53"/>
        <v>33379</v>
      </c>
      <c r="AE39" s="705">
        <f t="shared" si="53"/>
        <v>33776</v>
      </c>
      <c r="AF39" s="705">
        <f t="shared" si="53"/>
        <v>33000</v>
      </c>
      <c r="AG39" s="705">
        <f t="shared" si="53"/>
        <v>34100</v>
      </c>
      <c r="AH39" s="705">
        <f t="shared" si="23"/>
        <v>262766.37199999997</v>
      </c>
      <c r="AI39" s="706"/>
      <c r="AK39" t="s">
        <v>217</v>
      </c>
      <c r="AL39" s="150">
        <f>SUM(E53:E55)/(E69+E95)</f>
        <v>1.2077303318165443E-2</v>
      </c>
      <c r="AM39" s="150">
        <f>SUM(F53:F55)/(F69+F95)</f>
        <v>1.058994836775351E-2</v>
      </c>
      <c r="AN39" s="150">
        <f t="shared" ref="AN39:AW39" si="54">SUM(G53:G55)/(G69+G95)</f>
        <v>3.9975216334365536E-2</v>
      </c>
      <c r="AO39" s="150">
        <f t="shared" si="54"/>
        <v>1.069272505471465E-2</v>
      </c>
      <c r="AP39" s="150">
        <f t="shared" si="54"/>
        <v>4.2515474799037667E-2</v>
      </c>
      <c r="AQ39" s="150">
        <f t="shared" si="54"/>
        <v>1.9836590449151096E-2</v>
      </c>
      <c r="AR39" s="150">
        <f t="shared" si="54"/>
        <v>0.24553266515051919</v>
      </c>
      <c r="AS39" s="150">
        <f t="shared" si="54"/>
        <v>0.16653318648510482</v>
      </c>
      <c r="AT39" s="150">
        <f t="shared" si="54"/>
        <v>0.16610066134181309</v>
      </c>
      <c r="AU39" s="150">
        <f t="shared" si="54"/>
        <v>0.16690784054850216</v>
      </c>
      <c r="AV39" s="150">
        <f t="shared" si="54"/>
        <v>0.16398021999091095</v>
      </c>
      <c r="AW39" s="150">
        <f t="shared" si="54"/>
        <v>0.16681114884690745</v>
      </c>
      <c r="AX39" s="707"/>
    </row>
    <row r="40" spans="1:50" ht="20" customHeight="1">
      <c r="A40" s="867" t="str">
        <f>Table3[[#This Row],[Product]]</f>
        <v>Propane</v>
      </c>
      <c r="B40" s="32" t="s">
        <v>34</v>
      </c>
      <c r="C40" s="35" t="s">
        <v>41</v>
      </c>
      <c r="D40" s="689">
        <v>0</v>
      </c>
      <c r="E40" s="815">
        <v>0</v>
      </c>
      <c r="F40" s="977">
        <v>0</v>
      </c>
      <c r="G40" s="1009">
        <v>0</v>
      </c>
      <c r="H40" s="815">
        <v>0</v>
      </c>
      <c r="I40" s="1235">
        <v>0</v>
      </c>
      <c r="J40" s="1283">
        <v>0</v>
      </c>
      <c r="K40" s="229">
        <f>'Rolling พี่เตย'!K39*1000</f>
        <v>0</v>
      </c>
      <c r="L40" s="229">
        <f>'Rolling พี่เตย'!L39*1000</f>
        <v>0</v>
      </c>
      <c r="M40" s="229">
        <f>'Rolling พี่เตย'!M39*1000</f>
        <v>0</v>
      </c>
      <c r="N40" s="229">
        <f>'Rolling พี่เตย'!N39*1000</f>
        <v>0</v>
      </c>
      <c r="O40" s="229">
        <f>'Rolling พี่เตย'!O39*1000</f>
        <v>0</v>
      </c>
      <c r="P40" s="229">
        <f>'Rolling พี่เตย'!P39*1000</f>
        <v>0</v>
      </c>
      <c r="Q40" s="853">
        <f t="shared" si="52"/>
        <v>0</v>
      </c>
      <c r="T40" t="s">
        <v>218</v>
      </c>
      <c r="V40" s="705">
        <f t="shared" ref="V40:AG40" si="55">SUM(E56:E58)</f>
        <v>30217.237000000001</v>
      </c>
      <c r="W40" s="705">
        <f t="shared" si="55"/>
        <v>18641.519</v>
      </c>
      <c r="X40" s="705">
        <f t="shared" si="55"/>
        <v>23338.953000000001</v>
      </c>
      <c r="Y40" s="705">
        <f t="shared" si="55"/>
        <v>19105.034</v>
      </c>
      <c r="Z40" s="705">
        <f t="shared" si="55"/>
        <v>29620.976999999999</v>
      </c>
      <c r="AA40" s="705">
        <f t="shared" si="55"/>
        <v>37702.930999999997</v>
      </c>
      <c r="AB40" s="705">
        <f t="shared" si="55"/>
        <v>0</v>
      </c>
      <c r="AC40" s="705">
        <f t="shared" si="55"/>
        <v>0</v>
      </c>
      <c r="AD40" s="705">
        <f t="shared" si="55"/>
        <v>0</v>
      </c>
      <c r="AE40" s="705">
        <f t="shared" si="55"/>
        <v>0</v>
      </c>
      <c r="AF40" s="705">
        <f t="shared" si="55"/>
        <v>0</v>
      </c>
      <c r="AG40" s="705">
        <f t="shared" si="55"/>
        <v>0</v>
      </c>
      <c r="AH40" s="705">
        <f t="shared" si="23"/>
        <v>158626.65100000001</v>
      </c>
      <c r="AI40" s="706"/>
      <c r="AK40" t="s">
        <v>218</v>
      </c>
      <c r="AL40" s="150">
        <f>SUM(E56:E58)/(E69+E95)</f>
        <v>0.15124364021652023</v>
      </c>
      <c r="AM40" s="150">
        <f>SUM(F56:F58)/(F69+F95)</f>
        <v>0.10558721680434519</v>
      </c>
      <c r="AN40" s="150">
        <f t="shared" ref="AN40:AW40" si="56">SUM(G56:G58)/(G69+G95)</f>
        <v>0.1119988551610315</v>
      </c>
      <c r="AO40" s="150">
        <f t="shared" si="56"/>
        <v>9.6248424939269134E-2</v>
      </c>
      <c r="AP40" s="150">
        <f t="shared" si="56"/>
        <v>0.13302049997442514</v>
      </c>
      <c r="AQ40" s="150">
        <f t="shared" si="56"/>
        <v>0.17103840955028182</v>
      </c>
      <c r="AR40" s="150">
        <f t="shared" si="56"/>
        <v>0</v>
      </c>
      <c r="AS40" s="150">
        <f t="shared" si="56"/>
        <v>0</v>
      </c>
      <c r="AT40" s="150">
        <f t="shared" si="56"/>
        <v>0</v>
      </c>
      <c r="AU40" s="150">
        <f t="shared" si="56"/>
        <v>0</v>
      </c>
      <c r="AV40" s="150">
        <f t="shared" si="56"/>
        <v>0</v>
      </c>
      <c r="AW40" s="150">
        <f t="shared" si="56"/>
        <v>0</v>
      </c>
      <c r="AX40" s="707"/>
    </row>
    <row r="41" spans="1:50" ht="20" customHeight="1">
      <c r="A41" s="867" t="str">
        <f>Table3[[#This Row],[Product]]</f>
        <v>Propane</v>
      </c>
      <c r="B41" s="28" t="s">
        <v>25</v>
      </c>
      <c r="C41" s="36" t="s">
        <v>42</v>
      </c>
      <c r="D41" s="689">
        <v>25688.565999999999</v>
      </c>
      <c r="E41" s="815">
        <v>32359.538</v>
      </c>
      <c r="F41" s="977">
        <v>28515.847000000002</v>
      </c>
      <c r="G41" s="1009">
        <v>32456.748</v>
      </c>
      <c r="H41" s="1138">
        <v>24576.89</v>
      </c>
      <c r="I41" s="1235">
        <v>27121.14</v>
      </c>
      <c r="J41" s="1283">
        <v>30199.407999999999</v>
      </c>
      <c r="K41" s="229">
        <f>'Rolling พี่เตย'!K41*1000</f>
        <v>24500</v>
      </c>
      <c r="L41" s="229">
        <f>'Rolling พี่เตย'!L41*1000</f>
        <v>32240.000000000004</v>
      </c>
      <c r="M41" s="229">
        <f>'Rolling พี่เตย'!M41*1000</f>
        <v>22700</v>
      </c>
      <c r="N41" s="229">
        <f>'Rolling พี่เตย'!N41*1000</f>
        <v>0</v>
      </c>
      <c r="O41" s="229">
        <f>'Rolling พี่เตย'!O41*1000</f>
        <v>31200</v>
      </c>
      <c r="P41" s="229">
        <f>'Rolling พี่เตย'!P41*1000</f>
        <v>32240.000000000004</v>
      </c>
      <c r="Q41" s="853">
        <f t="shared" si="52"/>
        <v>318109.571</v>
      </c>
      <c r="T41" t="s">
        <v>220</v>
      </c>
      <c r="V41" s="705">
        <f t="shared" ref="V41:AG41" si="57">SUM(E59:E66)</f>
        <v>0</v>
      </c>
      <c r="W41" s="705">
        <f t="shared" si="57"/>
        <v>17897.321</v>
      </c>
      <c r="X41" s="705">
        <f t="shared" si="57"/>
        <v>4458.8500000000004</v>
      </c>
      <c r="Y41" s="705">
        <f t="shared" si="57"/>
        <v>29283.06</v>
      </c>
      <c r="Z41" s="705">
        <f t="shared" si="57"/>
        <v>30199.370999999999</v>
      </c>
      <c r="AA41" s="705">
        <f t="shared" si="57"/>
        <v>19241.03</v>
      </c>
      <c r="AB41" s="705">
        <f t="shared" si="57"/>
        <v>3000</v>
      </c>
      <c r="AC41" s="705">
        <f t="shared" si="57"/>
        <v>3000</v>
      </c>
      <c r="AD41" s="705">
        <f t="shared" si="57"/>
        <v>3000</v>
      </c>
      <c r="AE41" s="705">
        <f t="shared" si="57"/>
        <v>3000</v>
      </c>
      <c r="AF41" s="705">
        <f t="shared" si="57"/>
        <v>3000</v>
      </c>
      <c r="AG41" s="705">
        <f t="shared" si="57"/>
        <v>3000</v>
      </c>
      <c r="AH41" s="705">
        <f>SUM(V41:AG41)</f>
        <v>119079.632</v>
      </c>
      <c r="AI41" s="706"/>
      <c r="AK41" t="s">
        <v>220</v>
      </c>
      <c r="AL41" s="150">
        <f>SUM(E59:E66)/(E69+E95)</f>
        <v>0</v>
      </c>
      <c r="AM41" s="150">
        <f t="shared" ref="AM41:AW41" si="58">SUM(F59:F66)/(F69+F95)</f>
        <v>0.10137201333453352</v>
      </c>
      <c r="AN41" s="150">
        <f t="shared" si="58"/>
        <v>2.1397107888034454E-2</v>
      </c>
      <c r="AO41" s="150">
        <f t="shared" si="58"/>
        <v>0.14752386216125626</v>
      </c>
      <c r="AP41" s="150">
        <f t="shared" si="58"/>
        <v>0.13561792473398684</v>
      </c>
      <c r="AQ41" s="150">
        <f t="shared" si="58"/>
        <v>8.7286454448574802E-2</v>
      </c>
      <c r="AR41" s="150">
        <f t="shared" si="58"/>
        <v>1.1140994546729349E-2</v>
      </c>
      <c r="AS41" s="150">
        <f t="shared" si="58"/>
        <v>1.4772311042439814E-2</v>
      </c>
      <c r="AT41" s="150">
        <f t="shared" si="58"/>
        <v>1.4928607328722828E-2</v>
      </c>
      <c r="AU41" s="150">
        <f t="shared" si="58"/>
        <v>1.4824831881972598E-2</v>
      </c>
      <c r="AV41" s="150">
        <f t="shared" si="58"/>
        <v>1.4907292726446449E-2</v>
      </c>
      <c r="AW41" s="150">
        <f t="shared" si="58"/>
        <v>1.4675467640490391E-2</v>
      </c>
      <c r="AX41" s="707"/>
    </row>
    <row r="42" spans="1:50" ht="20" customHeight="1" thickBot="1">
      <c r="A42" s="867" t="str">
        <f>Table3[[#This Row],[Product]]</f>
        <v>Propane</v>
      </c>
      <c r="B42" s="32" t="s">
        <v>34</v>
      </c>
      <c r="C42" s="36" t="s">
        <v>43</v>
      </c>
      <c r="D42" s="689">
        <v>0</v>
      </c>
      <c r="E42" s="815">
        <v>0</v>
      </c>
      <c r="F42" s="977">
        <v>0</v>
      </c>
      <c r="G42" s="1009">
        <v>0</v>
      </c>
      <c r="H42" s="815">
        <v>0</v>
      </c>
      <c r="I42" s="1235">
        <v>0</v>
      </c>
      <c r="J42" s="1283">
        <v>0</v>
      </c>
      <c r="K42" s="229">
        <f>'Rolling พี่เตย'!K42*1000</f>
        <v>0</v>
      </c>
      <c r="L42" s="229">
        <f>'Rolling พี่เตย'!L42*1000</f>
        <v>0</v>
      </c>
      <c r="M42" s="229">
        <f>'Rolling พี่เตย'!M42*1000</f>
        <v>0</v>
      </c>
      <c r="N42" s="229">
        <f>'Rolling พี่เตย'!N42*1000</f>
        <v>0</v>
      </c>
      <c r="O42" s="229">
        <f>'Rolling พี่เตย'!O42*1000</f>
        <v>0</v>
      </c>
      <c r="P42" s="229">
        <f>'Rolling พี่เตย'!P42*1000</f>
        <v>0</v>
      </c>
      <c r="Q42" s="853">
        <f t="shared" si="52"/>
        <v>0</v>
      </c>
      <c r="T42" t="s">
        <v>177</v>
      </c>
      <c r="V42" s="705">
        <f>SUM(V39:V41)</f>
        <v>32630.183000000001</v>
      </c>
      <c r="W42" s="705">
        <f t="shared" ref="W42:AG42" si="59">SUM(W39:W41)</f>
        <v>38408.505000000005</v>
      </c>
      <c r="X42" s="705">
        <f t="shared" si="59"/>
        <v>36128.063999999998</v>
      </c>
      <c r="Y42" s="705">
        <f t="shared" si="59"/>
        <v>50510.569000000003</v>
      </c>
      <c r="Z42" s="705">
        <f t="shared" si="59"/>
        <v>69287.684999999998</v>
      </c>
      <c r="AA42" s="705">
        <f t="shared" si="59"/>
        <v>61316.648999999998</v>
      </c>
      <c r="AB42" s="705">
        <f t="shared" si="59"/>
        <v>69116</v>
      </c>
      <c r="AC42" s="705">
        <f t="shared" si="59"/>
        <v>36820</v>
      </c>
      <c r="AD42" s="705">
        <f t="shared" si="59"/>
        <v>36379</v>
      </c>
      <c r="AE42" s="705">
        <f t="shared" si="59"/>
        <v>36776</v>
      </c>
      <c r="AF42" s="705">
        <f t="shared" si="59"/>
        <v>36000</v>
      </c>
      <c r="AG42" s="705">
        <f t="shared" si="59"/>
        <v>37100</v>
      </c>
      <c r="AH42" s="705">
        <f>SUM(V42:AG42)</f>
        <v>540472.65500000003</v>
      </c>
      <c r="AI42" s="706"/>
      <c r="AK42" s="44" t="s">
        <v>215</v>
      </c>
      <c r="AX42" s="707"/>
    </row>
    <row r="43" spans="1:50" ht="20" customHeight="1">
      <c r="A43" s="867" t="str">
        <f>Table3[[#This Row],[Product]]</f>
        <v>Propane</v>
      </c>
      <c r="B43" s="28" t="s">
        <v>25</v>
      </c>
      <c r="C43" s="36" t="s">
        <v>44</v>
      </c>
      <c r="D43" s="689">
        <v>28619.996999999999</v>
      </c>
      <c r="E43" s="815">
        <v>26282.391</v>
      </c>
      <c r="F43" s="977">
        <v>21276</v>
      </c>
      <c r="G43" s="1009">
        <v>23556</v>
      </c>
      <c r="H43" s="1146">
        <v>15042.813</v>
      </c>
      <c r="I43" s="1235">
        <v>18322</v>
      </c>
      <c r="J43" s="1283">
        <v>22036</v>
      </c>
      <c r="K43" s="229">
        <f>'Rolling พี่เตย'!K44*1000</f>
        <v>881</v>
      </c>
      <c r="L43" s="229">
        <f>'Rolling พี่เตย'!L44*1000</f>
        <v>21276</v>
      </c>
      <c r="M43" s="229">
        <f>'Rolling พี่เตย'!M44*1000</f>
        <v>21884</v>
      </c>
      <c r="N43" s="229">
        <f>'Rolling พี่เตย'!N44*1000</f>
        <v>20258</v>
      </c>
      <c r="O43" s="229">
        <f>'Rolling พี่เตย'!O44*1000</f>
        <v>22659</v>
      </c>
      <c r="P43" s="229">
        <f>'Rolling พี่เตย'!P44*1000</f>
        <v>23556</v>
      </c>
      <c r="Q43" s="853">
        <f t="shared" si="52"/>
        <v>237029.204</v>
      </c>
      <c r="T43" s="750" t="s">
        <v>215</v>
      </c>
      <c r="U43" s="751" t="s">
        <v>567</v>
      </c>
      <c r="V43" s="752">
        <v>23377</v>
      </c>
      <c r="W43" s="752">
        <v>23408</v>
      </c>
      <c r="X43" s="752">
        <v>23437</v>
      </c>
      <c r="Y43" s="752">
        <v>23468</v>
      </c>
      <c r="Z43" s="752">
        <v>23498</v>
      </c>
      <c r="AA43" s="752">
        <v>23529</v>
      </c>
      <c r="AB43" s="752">
        <v>23559</v>
      </c>
      <c r="AC43" s="752">
        <v>23590</v>
      </c>
      <c r="AD43" s="752">
        <v>23621</v>
      </c>
      <c r="AE43" s="752">
        <v>23651</v>
      </c>
      <c r="AF43" s="752">
        <v>23682</v>
      </c>
      <c r="AG43" s="752">
        <v>23712</v>
      </c>
      <c r="AH43" s="757" t="s">
        <v>177</v>
      </c>
      <c r="AI43" s="706"/>
      <c r="AK43" t="s">
        <v>225</v>
      </c>
      <c r="AL43" s="150">
        <f>SUM(E70:E76)/(E69+E95)</f>
        <v>0.6179010682651388</v>
      </c>
      <c r="AM43" s="150">
        <f t="shared" ref="AM43:AW43" si="60">SUM(F70:F76)/(F69+F95)</f>
        <v>0.52937924850547924</v>
      </c>
      <c r="AN43" s="150">
        <f t="shared" si="60"/>
        <v>0.55589369092752106</v>
      </c>
      <c r="AO43" s="150">
        <f t="shared" si="60"/>
        <v>0.51023355463697728</v>
      </c>
      <c r="AP43" s="150">
        <f t="shared" si="60"/>
        <v>0.5317451170579961</v>
      </c>
      <c r="AQ43" s="150">
        <f t="shared" si="60"/>
        <v>0.53536209824822967</v>
      </c>
      <c r="AR43" s="150">
        <f t="shared" si="60"/>
        <v>0.55870824040246192</v>
      </c>
      <c r="AS43" s="150">
        <f t="shared" si="60"/>
        <v>0.74443901896579123</v>
      </c>
      <c r="AT43" s="150">
        <f t="shared" si="60"/>
        <v>0.74392959849041729</v>
      </c>
      <c r="AU43" s="150">
        <f t="shared" si="60"/>
        <v>0.7437478393094763</v>
      </c>
      <c r="AV43" s="150">
        <f t="shared" si="60"/>
        <v>0.74617849584437179</v>
      </c>
      <c r="AW43" s="150">
        <f t="shared" si="60"/>
        <v>0.74474469950640376</v>
      </c>
      <c r="AX43" s="707"/>
    </row>
    <row r="44" spans="1:50" ht="20" customHeight="1">
      <c r="A44" s="867" t="str">
        <f>Table3[[#This Row],[Product]]</f>
        <v>Propane</v>
      </c>
      <c r="B44" s="28" t="s">
        <v>25</v>
      </c>
      <c r="C44" s="36" t="s">
        <v>615</v>
      </c>
      <c r="D44" s="689">
        <v>0</v>
      </c>
      <c r="E44" s="815">
        <v>0</v>
      </c>
      <c r="F44" s="977">
        <v>4654.1679999999997</v>
      </c>
      <c r="G44" s="1009">
        <v>7558.8710000000001</v>
      </c>
      <c r="H44" s="1146">
        <v>4750.3620000000001</v>
      </c>
      <c r="I44" s="1235">
        <v>4370.2910000000002</v>
      </c>
      <c r="J44" s="1283">
        <v>6979.44</v>
      </c>
      <c r="K44" s="229">
        <f>'Rolling พี่เตย'!K45*1000</f>
        <v>0</v>
      </c>
      <c r="L44" s="229">
        <f>'Rolling พี่เตย'!L45*1000</f>
        <v>0</v>
      </c>
      <c r="M44" s="229">
        <f>'Rolling พี่เตย'!M45*1000</f>
        <v>4000</v>
      </c>
      <c r="N44" s="229">
        <f>'Rolling พี่เตย'!N45*1000</f>
        <v>4000</v>
      </c>
      <c r="O44" s="229">
        <f>'Rolling พี่เตย'!O45*1000</f>
        <v>4000</v>
      </c>
      <c r="P44" s="229">
        <f>'Rolling พี่เตย'!P45*1000</f>
        <v>4000</v>
      </c>
      <c r="Q44" s="853">
        <f t="shared" si="52"/>
        <v>44313.131999999998</v>
      </c>
      <c r="T44" s="780" t="s">
        <v>225</v>
      </c>
      <c r="U44" s="781" t="s">
        <v>536</v>
      </c>
      <c r="V44" s="762">
        <f t="shared" ref="V44:AG44" si="61">SUM(E70)</f>
        <v>404.82</v>
      </c>
      <c r="W44" s="762">
        <f t="shared" si="61"/>
        <v>386.61</v>
      </c>
      <c r="X44" s="762">
        <f t="shared" si="61"/>
        <v>464.82</v>
      </c>
      <c r="Y44" s="762">
        <f t="shared" si="61"/>
        <v>343.02</v>
      </c>
      <c r="Z44" s="762">
        <f t="shared" si="61"/>
        <v>716.34</v>
      </c>
      <c r="AA44" s="762">
        <f t="shared" si="61"/>
        <v>731.71</v>
      </c>
      <c r="AB44" s="762">
        <f t="shared" si="61"/>
        <v>800</v>
      </c>
      <c r="AC44" s="762">
        <f t="shared" si="61"/>
        <v>900</v>
      </c>
      <c r="AD44" s="762">
        <f t="shared" si="61"/>
        <v>800</v>
      </c>
      <c r="AE44" s="762">
        <f t="shared" si="61"/>
        <v>800</v>
      </c>
      <c r="AF44" s="762">
        <f t="shared" si="61"/>
        <v>700</v>
      </c>
      <c r="AG44" s="762">
        <f t="shared" si="61"/>
        <v>650</v>
      </c>
      <c r="AH44" s="763">
        <f>SUM(V44:AG44)</f>
        <v>7697.32</v>
      </c>
      <c r="AI44" s="708"/>
      <c r="AK44" t="s">
        <v>226</v>
      </c>
      <c r="AL44" s="150">
        <f>SUM(E77:E78)/(E69+E95)</f>
        <v>0.12608024836416448</v>
      </c>
      <c r="AM44" s="150">
        <f t="shared" ref="AM44:AW44" si="62">SUM(F77:F78)/(F69+F95)</f>
        <v>0.14041484283955083</v>
      </c>
      <c r="AN44" s="150">
        <f t="shared" si="62"/>
        <v>0.1210364213246</v>
      </c>
      <c r="AO44" s="150">
        <f t="shared" si="62"/>
        <v>0.11831121992971304</v>
      </c>
      <c r="AP44" s="150">
        <f t="shared" si="62"/>
        <v>6.5988224616162966E-2</v>
      </c>
      <c r="AQ44" s="150">
        <f t="shared" si="62"/>
        <v>5.2157333686367872E-2</v>
      </c>
      <c r="AR44" s="150">
        <f t="shared" si="62"/>
        <v>0.10026895092056413</v>
      </c>
      <c r="AS44" s="150">
        <f t="shared" si="62"/>
        <v>0</v>
      </c>
      <c r="AT44" s="150">
        <f t="shared" si="62"/>
        <v>0</v>
      </c>
      <c r="AU44" s="150">
        <f t="shared" si="62"/>
        <v>0</v>
      </c>
      <c r="AV44" s="150">
        <f t="shared" si="62"/>
        <v>0</v>
      </c>
      <c r="AW44" s="150">
        <f t="shared" si="62"/>
        <v>0</v>
      </c>
      <c r="AX44" s="707"/>
    </row>
    <row r="45" spans="1:50" ht="20" customHeight="1">
      <c r="A45" s="867" t="str">
        <f>Table3[[#This Row],[Product]]</f>
        <v>Propane</v>
      </c>
      <c r="B45" s="28" t="s">
        <v>25</v>
      </c>
      <c r="C45" s="36" t="s">
        <v>668</v>
      </c>
      <c r="D45" s="689">
        <v>0</v>
      </c>
      <c r="E45" s="815">
        <v>0</v>
      </c>
      <c r="F45" s="977">
        <v>9354.9639999999999</v>
      </c>
      <c r="G45" s="1009">
        <v>10635.588</v>
      </c>
      <c r="H45" s="815">
        <v>10563.175999999999</v>
      </c>
      <c r="I45" s="1235">
        <v>5346.5119999999997</v>
      </c>
      <c r="J45" s="1283">
        <v>9974.5249999999996</v>
      </c>
      <c r="K45" s="229">
        <f>'Rolling พี่เตย'!K47*1000</f>
        <v>0</v>
      </c>
      <c r="L45" s="229">
        <f>'Rolling พี่เตย'!L47*1000</f>
        <v>5000</v>
      </c>
      <c r="M45" s="229">
        <f>'Rolling พี่เตย'!M47*1000</f>
        <v>5869</v>
      </c>
      <c r="N45" s="229">
        <f>'Rolling พี่เตย'!N47*1000</f>
        <v>10069</v>
      </c>
      <c r="O45" s="229">
        <f>'Rolling พี่เตย'!O47*1000</f>
        <v>5069</v>
      </c>
      <c r="P45" s="229">
        <f>'Rolling พี่เตย'!P47*1000</f>
        <v>5849</v>
      </c>
      <c r="Q45" s="853">
        <f t="shared" si="52"/>
        <v>77730.764999999999</v>
      </c>
      <c r="T45" s="780" t="s">
        <v>225</v>
      </c>
      <c r="U45" s="781" t="s">
        <v>76</v>
      </c>
      <c r="V45" s="762">
        <f t="shared" ref="V45:AG45" si="63">SUM(E74)</f>
        <v>11072.573</v>
      </c>
      <c r="W45" s="762">
        <f t="shared" si="63"/>
        <v>6799.6890000000003</v>
      </c>
      <c r="X45" s="762">
        <f t="shared" si="63"/>
        <v>13433.808999999999</v>
      </c>
      <c r="Y45" s="762">
        <f t="shared" si="63"/>
        <v>14837.337</v>
      </c>
      <c r="Z45" s="762">
        <f t="shared" si="63"/>
        <v>15391.014999999999</v>
      </c>
      <c r="AA45" s="762">
        <f t="shared" si="63"/>
        <v>12365.346</v>
      </c>
      <c r="AB45" s="762">
        <f t="shared" si="63"/>
        <v>9410</v>
      </c>
      <c r="AC45" s="762">
        <f t="shared" si="63"/>
        <v>13190</v>
      </c>
      <c r="AD45" s="762">
        <f t="shared" si="63"/>
        <v>15000</v>
      </c>
      <c r="AE45" s="762">
        <f t="shared" si="63"/>
        <v>15500</v>
      </c>
      <c r="AF45" s="762">
        <f t="shared" si="63"/>
        <v>15000</v>
      </c>
      <c r="AG45" s="762">
        <f t="shared" si="63"/>
        <v>15080</v>
      </c>
      <c r="AH45" s="763">
        <f>SUM(V45:AG45)</f>
        <v>157079.769</v>
      </c>
      <c r="AI45" s="706"/>
      <c r="AK45" t="s">
        <v>280</v>
      </c>
      <c r="AL45" s="150">
        <f>SUM(E91:E92)/(E69+E95)</f>
        <v>7.5543350916338473E-2</v>
      </c>
      <c r="AM45" s="150">
        <f t="shared" ref="AM45:AW45" si="64">SUM(F91:F92)/(F69+F95)</f>
        <v>8.2791468849313418E-2</v>
      </c>
      <c r="AN45" s="150">
        <f t="shared" si="64"/>
        <v>7.9900290057895965E-2</v>
      </c>
      <c r="AO45" s="150">
        <f t="shared" si="64"/>
        <v>6.4689496634882965E-2</v>
      </c>
      <c r="AP45" s="150">
        <f t="shared" si="64"/>
        <v>4.0375320993431871E-2</v>
      </c>
      <c r="AQ45" s="150">
        <f t="shared" si="64"/>
        <v>6.0957156426323288E-2</v>
      </c>
      <c r="AR45" s="150">
        <f t="shared" si="64"/>
        <v>2.8347083058165894E-2</v>
      </c>
      <c r="AS45" s="150">
        <f t="shared" si="64"/>
        <v>0</v>
      </c>
      <c r="AT45" s="150">
        <f t="shared" si="64"/>
        <v>0</v>
      </c>
      <c r="AU45" s="150">
        <f t="shared" si="64"/>
        <v>0</v>
      </c>
      <c r="AV45" s="150">
        <f t="shared" si="64"/>
        <v>0</v>
      </c>
      <c r="AW45" s="150">
        <f t="shared" si="64"/>
        <v>0</v>
      </c>
      <c r="AX45" s="707"/>
    </row>
    <row r="46" spans="1:50" ht="20" customHeight="1">
      <c r="A46" s="867" t="str">
        <f>Table3[[#This Row],[Product]]</f>
        <v>Propane</v>
      </c>
      <c r="B46" s="32" t="s">
        <v>34</v>
      </c>
      <c r="C46" s="36" t="s">
        <v>47</v>
      </c>
      <c r="D46" s="689">
        <v>0</v>
      </c>
      <c r="E46" s="815">
        <v>0</v>
      </c>
      <c r="F46" s="977">
        <v>0</v>
      </c>
      <c r="G46" s="1009">
        <v>12099.761</v>
      </c>
      <c r="H46" s="815"/>
      <c r="I46" s="1235">
        <v>16996.249</v>
      </c>
      <c r="J46" s="1283">
        <v>18000.632000000001</v>
      </c>
      <c r="K46" s="229">
        <f>'Rolling พี่เตย'!K48*1000</f>
        <v>23734</v>
      </c>
      <c r="L46" s="229">
        <f>'Rolling พี่เตย'!L48*1000</f>
        <v>0</v>
      </c>
      <c r="M46" s="229">
        <f>'Rolling พี่เตย'!M48*1000</f>
        <v>0</v>
      </c>
      <c r="N46" s="229">
        <f>'Rolling พี่เตย'!N48*1000</f>
        <v>0</v>
      </c>
      <c r="O46" s="229">
        <f>'Rolling พี่เตย'!O48*1000</f>
        <v>0</v>
      </c>
      <c r="P46" s="229">
        <f>'Rolling พี่เตย'!P48*1000</f>
        <v>6991</v>
      </c>
      <c r="Q46" s="853">
        <f t="shared" si="52"/>
        <v>77821.642000000007</v>
      </c>
      <c r="T46" s="780" t="s">
        <v>225</v>
      </c>
      <c r="U46" s="781" t="s">
        <v>537</v>
      </c>
      <c r="V46" s="762">
        <f t="shared" ref="V46:AG46" si="65">SUM(E73)</f>
        <v>60578.483999999997</v>
      </c>
      <c r="W46" s="762">
        <f t="shared" si="65"/>
        <v>55915.62</v>
      </c>
      <c r="X46" s="762">
        <f t="shared" si="65"/>
        <v>61981.756000000001</v>
      </c>
      <c r="Y46" s="762">
        <f t="shared" si="65"/>
        <v>53300.525000000001</v>
      </c>
      <c r="Z46" s="762">
        <f t="shared" si="65"/>
        <v>53672.008000000002</v>
      </c>
      <c r="AA46" s="762">
        <f t="shared" si="65"/>
        <v>54018.411999999997</v>
      </c>
      <c r="AB46" s="762">
        <f t="shared" si="65"/>
        <v>60369.780310000002</v>
      </c>
      <c r="AC46" s="762">
        <f t="shared" si="65"/>
        <v>61214.932699999998</v>
      </c>
      <c r="AD46" s="762">
        <f t="shared" si="65"/>
        <v>59591.262979999992</v>
      </c>
      <c r="AE46" s="762">
        <f t="shared" si="65"/>
        <v>60629.03628</v>
      </c>
      <c r="AF46" s="762">
        <f t="shared" si="65"/>
        <v>59921.856810000005</v>
      </c>
      <c r="AG46" s="762">
        <f t="shared" si="65"/>
        <v>61616.146459999989</v>
      </c>
      <c r="AH46" s="763">
        <f>SUM(V46:AG46)</f>
        <v>702809.82053999999</v>
      </c>
      <c r="AI46" s="706"/>
      <c r="AK46" t="s">
        <v>228</v>
      </c>
      <c r="AL46" s="150">
        <f>SUM(E79:E81)/(E69+E95)</f>
        <v>9.424336393889586E-3</v>
      </c>
      <c r="AM46" s="150">
        <f t="shared" ref="AM46:AW46" si="66">SUM(F79:F81)/(F69+F95)</f>
        <v>1.4511259268063351E-2</v>
      </c>
      <c r="AN46" s="150">
        <f t="shared" si="66"/>
        <v>4.9345497364144168E-2</v>
      </c>
      <c r="AO46" s="150">
        <f t="shared" si="66"/>
        <v>3.0836081500995972E-2</v>
      </c>
      <c r="AP46" s="150">
        <f t="shared" si="66"/>
        <v>3.4514775678565174E-2</v>
      </c>
      <c r="AQ46" s="150">
        <f t="shared" si="66"/>
        <v>5.4097611326721952E-2</v>
      </c>
      <c r="AR46" s="150">
        <f t="shared" si="66"/>
        <v>4.0404673556138436E-2</v>
      </c>
      <c r="AS46" s="150">
        <f t="shared" si="66"/>
        <v>5.3574248047248391E-2</v>
      </c>
      <c r="AT46" s="150">
        <f t="shared" si="66"/>
        <v>5.4141082578834793E-2</v>
      </c>
      <c r="AU46" s="150">
        <f t="shared" si="66"/>
        <v>5.3764723625287288E-2</v>
      </c>
      <c r="AV46" s="150">
        <f t="shared" si="66"/>
        <v>5.4063781621245789E-2</v>
      </c>
      <c r="AW46" s="150">
        <f t="shared" si="66"/>
        <v>5.3223029309511817E-2</v>
      </c>
      <c r="AX46" s="707"/>
    </row>
    <row r="47" spans="1:50" ht="20" customHeight="1">
      <c r="A47" s="867" t="str">
        <f>Table3[[#This Row],[Product]]</f>
        <v>Propane</v>
      </c>
      <c r="B47" s="28" t="s">
        <v>25</v>
      </c>
      <c r="C47" s="36" t="s">
        <v>48</v>
      </c>
      <c r="D47" s="689">
        <v>0</v>
      </c>
      <c r="E47" s="815">
        <v>0</v>
      </c>
      <c r="F47" s="977">
        <v>0</v>
      </c>
      <c r="G47" s="1009">
        <v>0</v>
      </c>
      <c r="H47" s="815">
        <v>0</v>
      </c>
      <c r="I47" s="1235">
        <v>4688.924</v>
      </c>
      <c r="J47" s="1283">
        <v>0</v>
      </c>
      <c r="K47" s="229">
        <f>'Rolling พี่เตย'!K49*1000</f>
        <v>0</v>
      </c>
      <c r="L47" s="229">
        <f>'Rolling พี่เตย'!L49*1000</f>
        <v>0</v>
      </c>
      <c r="M47" s="229">
        <f>'Rolling พี่เตย'!M49*1000</f>
        <v>0</v>
      </c>
      <c r="N47" s="229">
        <f>'Rolling พี่เตย'!N49*1000</f>
        <v>0</v>
      </c>
      <c r="O47" s="229">
        <f>'Rolling พี่เตย'!O49*1000</f>
        <v>0</v>
      </c>
      <c r="P47" s="229">
        <f>'Rolling พี่เตย'!P49*1000</f>
        <v>0</v>
      </c>
      <c r="Q47" s="853">
        <f t="shared" si="52"/>
        <v>4688.924</v>
      </c>
      <c r="T47" s="780" t="s">
        <v>225</v>
      </c>
      <c r="U47" s="781" t="s">
        <v>276</v>
      </c>
      <c r="V47" s="762">
        <f t="shared" ref="V47:AG47" si="67">SUM(E71:E72)</f>
        <v>47453.061999999998</v>
      </c>
      <c r="W47" s="762">
        <f t="shared" si="67"/>
        <v>17649.971000000001</v>
      </c>
      <c r="X47" s="762">
        <f t="shared" si="67"/>
        <v>19842.664000000001</v>
      </c>
      <c r="Y47" s="762">
        <f t="shared" si="67"/>
        <v>15380.053</v>
      </c>
      <c r="Z47" s="762">
        <f t="shared" si="67"/>
        <v>31361.929</v>
      </c>
      <c r="AA47" s="762">
        <f t="shared" si="67"/>
        <v>31037.107</v>
      </c>
      <c r="AB47" s="762">
        <f t="shared" si="67"/>
        <v>64366.817089999997</v>
      </c>
      <c r="AC47" s="762">
        <f t="shared" si="67"/>
        <v>60377.712349999994</v>
      </c>
      <c r="AD47" s="762">
        <f t="shared" si="67"/>
        <v>58606.191559999999</v>
      </c>
      <c r="AE47" s="762">
        <f t="shared" si="67"/>
        <v>58078.135450000002</v>
      </c>
      <c r="AF47" s="762">
        <f t="shared" si="67"/>
        <v>59041.927360000001</v>
      </c>
      <c r="AG47" s="762">
        <f t="shared" si="67"/>
        <v>59396.640840000007</v>
      </c>
      <c r="AH47" s="763">
        <f>SUM(V47:AG47)</f>
        <v>522592.21065000002</v>
      </c>
      <c r="AI47" s="706"/>
      <c r="AK47" t="s">
        <v>229</v>
      </c>
      <c r="AL47" s="150">
        <f>SUM(E82:E84)/(E69+E95)</f>
        <v>7.7300525257830172E-3</v>
      </c>
      <c r="AM47" s="150">
        <f t="shared" ref="AM47:AW47" si="68">SUM(F82:F84)/(F69+F95)</f>
        <v>1.5354002030960951E-2</v>
      </c>
      <c r="AN47" s="150">
        <f t="shared" si="68"/>
        <v>2.0452920942407166E-2</v>
      </c>
      <c r="AO47" s="150">
        <f t="shared" si="68"/>
        <v>2.1464635142190581E-2</v>
      </c>
      <c r="AP47" s="150">
        <f t="shared" si="68"/>
        <v>1.6222662146394156E-2</v>
      </c>
      <c r="AQ47" s="150">
        <f t="shared" si="68"/>
        <v>1.9264345864349421E-2</v>
      </c>
      <c r="AR47" s="150">
        <f t="shared" si="68"/>
        <v>1.5597392365421087E-2</v>
      </c>
      <c r="AS47" s="150">
        <f t="shared" si="68"/>
        <v>2.0681235459415737E-2</v>
      </c>
      <c r="AT47" s="150">
        <f t="shared" si="68"/>
        <v>2.0900050260211959E-2</v>
      </c>
      <c r="AU47" s="150">
        <f t="shared" si="68"/>
        <v>2.0754764634761638E-2</v>
      </c>
      <c r="AV47" s="150">
        <f t="shared" si="68"/>
        <v>2.0870209817025028E-2</v>
      </c>
      <c r="AW47" s="150">
        <f t="shared" si="68"/>
        <v>2.0545654696686549E-2</v>
      </c>
      <c r="AX47" s="707"/>
    </row>
    <row r="48" spans="1:50" ht="20" customHeight="1">
      <c r="A48" s="867" t="str">
        <f>Table3[[#This Row],[Product]]</f>
        <v>Propane</v>
      </c>
      <c r="B48" s="32" t="s">
        <v>34</v>
      </c>
      <c r="C48" s="36" t="s">
        <v>49</v>
      </c>
      <c r="D48" s="689">
        <v>0</v>
      </c>
      <c r="E48" s="815">
        <v>0</v>
      </c>
      <c r="F48" s="977">
        <v>0</v>
      </c>
      <c r="G48" s="1009">
        <v>0</v>
      </c>
      <c r="H48" s="815">
        <v>0</v>
      </c>
      <c r="I48" s="1235">
        <v>0</v>
      </c>
      <c r="J48" s="1283">
        <v>0</v>
      </c>
      <c r="K48" s="229">
        <f>'Rolling พี่เตย'!K50*1000</f>
        <v>0</v>
      </c>
      <c r="L48" s="229">
        <f>'Rolling พี่เตย'!L50*1000</f>
        <v>0</v>
      </c>
      <c r="M48" s="229">
        <f>'Rolling พี่เตย'!M50*1000</f>
        <v>0</v>
      </c>
      <c r="N48" s="229">
        <f>'Rolling พี่เตย'!N50*1000</f>
        <v>0</v>
      </c>
      <c r="O48" s="229">
        <f>'Rolling พี่เตย'!O50*1000</f>
        <v>0</v>
      </c>
      <c r="P48" s="229">
        <f>'Rolling พี่เตย'!P50*1000</f>
        <v>0</v>
      </c>
      <c r="Q48" s="853">
        <f t="shared" si="52"/>
        <v>0</v>
      </c>
      <c r="T48" s="780" t="s">
        <v>225</v>
      </c>
      <c r="U48" s="781" t="s">
        <v>538</v>
      </c>
      <c r="V48" s="762">
        <f t="shared" ref="V48:AG48" si="69">SUM(E75:E76)</f>
        <v>3942.6190000000001</v>
      </c>
      <c r="W48" s="762">
        <f t="shared" si="69"/>
        <v>12710.496999999999</v>
      </c>
      <c r="X48" s="762">
        <f t="shared" si="69"/>
        <v>20117.213</v>
      </c>
      <c r="Y48" s="762">
        <f t="shared" si="69"/>
        <v>17418.95</v>
      </c>
      <c r="Z48" s="762">
        <f t="shared" si="69"/>
        <v>17267.598999999998</v>
      </c>
      <c r="AA48" s="762">
        <f t="shared" si="69"/>
        <v>19860.217000000001</v>
      </c>
      <c r="AB48" s="762">
        <f t="shared" si="69"/>
        <v>15500</v>
      </c>
      <c r="AC48" s="762">
        <f t="shared" si="69"/>
        <v>15500</v>
      </c>
      <c r="AD48" s="762">
        <f t="shared" si="69"/>
        <v>15500</v>
      </c>
      <c r="AE48" s="762">
        <f t="shared" si="69"/>
        <v>15500</v>
      </c>
      <c r="AF48" s="762">
        <f t="shared" si="69"/>
        <v>15500</v>
      </c>
      <c r="AG48" s="762">
        <f t="shared" si="69"/>
        <v>15500</v>
      </c>
      <c r="AH48" s="763">
        <f t="shared" ref="AH48:AH64" si="70">SUM(V48:AG48)</f>
        <v>184317.095</v>
      </c>
      <c r="AI48" s="706"/>
      <c r="AK48" t="s">
        <v>133</v>
      </c>
      <c r="AL48" s="150">
        <f>SUM(E89:E90)/(E69+E95)</f>
        <v>0</v>
      </c>
      <c r="AM48" s="150">
        <f t="shared" ref="AM48:AW48" si="71">SUM(F89:F90)/(F69+F95)</f>
        <v>0</v>
      </c>
      <c r="AN48" s="150">
        <f t="shared" si="71"/>
        <v>0</v>
      </c>
      <c r="AO48" s="150">
        <f t="shared" si="71"/>
        <v>0</v>
      </c>
      <c r="AP48" s="150">
        <f t="shared" si="71"/>
        <v>0</v>
      </c>
      <c r="AQ48" s="150">
        <f t="shared" si="71"/>
        <v>0</v>
      </c>
      <c r="AR48" s="150">
        <f t="shared" si="71"/>
        <v>0</v>
      </c>
      <c r="AS48" s="150">
        <f t="shared" si="71"/>
        <v>0</v>
      </c>
      <c r="AT48" s="150">
        <f t="shared" si="71"/>
        <v>0</v>
      </c>
      <c r="AU48" s="150">
        <f t="shared" si="71"/>
        <v>0</v>
      </c>
      <c r="AV48" s="150">
        <f t="shared" si="71"/>
        <v>0</v>
      </c>
      <c r="AW48" s="150">
        <f t="shared" si="71"/>
        <v>0</v>
      </c>
      <c r="AX48" s="707"/>
    </row>
    <row r="49" spans="1:50" ht="20" customHeight="1">
      <c r="A49" s="867" t="str">
        <f>Table3[[#This Row],[Product]]</f>
        <v>Propane</v>
      </c>
      <c r="B49" s="1302" t="s">
        <v>25</v>
      </c>
      <c r="C49" s="1303" t="s">
        <v>189</v>
      </c>
      <c r="D49" s="1313">
        <v>590.49</v>
      </c>
      <c r="E49" s="1314">
        <v>547.26</v>
      </c>
      <c r="F49" s="1315">
        <v>592.72</v>
      </c>
      <c r="G49" s="1056">
        <v>682.03</v>
      </c>
      <c r="H49" s="1316">
        <v>503.58</v>
      </c>
      <c r="I49" s="1317">
        <v>645.80999999999995</v>
      </c>
      <c r="J49" s="1318">
        <v>575.5</v>
      </c>
      <c r="K49" s="1319">
        <f>'Rolling พี่เตย'!K51*1000</f>
        <v>600</v>
      </c>
      <c r="L49" s="1319">
        <f>'Rolling พี่เตย'!L51*1000</f>
        <v>600</v>
      </c>
      <c r="M49" s="1319">
        <f>'Rolling พี่เตย'!M51*1000</f>
        <v>600</v>
      </c>
      <c r="N49" s="1319">
        <f>'Rolling พี่เตย'!N51*1000</f>
        <v>600</v>
      </c>
      <c r="O49" s="1319">
        <f>'Rolling พี่เตย'!O51*1000</f>
        <v>600</v>
      </c>
      <c r="P49" s="1319">
        <f>'Rolling พี่เตย'!P51*1000</f>
        <v>600</v>
      </c>
      <c r="Q49" s="1320">
        <f t="shared" si="52"/>
        <v>7146.9</v>
      </c>
      <c r="T49" s="780" t="s">
        <v>226</v>
      </c>
      <c r="U49" s="781" t="s">
        <v>276</v>
      </c>
      <c r="V49" s="762">
        <f t="shared" ref="V49:AG50" si="72">SUM(E77)</f>
        <v>25189.797999999999</v>
      </c>
      <c r="W49" s="762">
        <f t="shared" si="72"/>
        <v>24790.367999999999</v>
      </c>
      <c r="X49" s="762">
        <f t="shared" si="72"/>
        <v>25222.252</v>
      </c>
      <c r="Y49" s="762">
        <f t="shared" si="72"/>
        <v>23484.435000000001</v>
      </c>
      <c r="Z49" s="762">
        <f t="shared" si="72"/>
        <v>14694.244000000001</v>
      </c>
      <c r="AA49" s="762">
        <f t="shared" si="72"/>
        <v>11497.325999999999</v>
      </c>
      <c r="AB49" s="762">
        <f t="shared" si="72"/>
        <v>27000</v>
      </c>
      <c r="AC49" s="762">
        <f t="shared" si="72"/>
        <v>0</v>
      </c>
      <c r="AD49" s="762">
        <f t="shared" si="72"/>
        <v>0</v>
      </c>
      <c r="AE49" s="762">
        <f t="shared" si="72"/>
        <v>0</v>
      </c>
      <c r="AF49" s="762">
        <f t="shared" si="72"/>
        <v>0</v>
      </c>
      <c r="AG49" s="762">
        <f t="shared" si="72"/>
        <v>0</v>
      </c>
      <c r="AH49" s="763">
        <f t="shared" si="70"/>
        <v>151878.42300000001</v>
      </c>
      <c r="AI49" s="706"/>
      <c r="AK49" t="s">
        <v>230</v>
      </c>
      <c r="AL49" s="150">
        <f>SUM(E93:E94)/(E69+E95)</f>
        <v>0</v>
      </c>
      <c r="AM49" s="150">
        <f t="shared" ref="AM49:AW49" si="73">SUM(F93:F94)/(F69+F95)</f>
        <v>0</v>
      </c>
      <c r="AN49" s="150">
        <f t="shared" si="73"/>
        <v>0</v>
      </c>
      <c r="AO49" s="150">
        <f t="shared" si="73"/>
        <v>0</v>
      </c>
      <c r="AP49" s="150">
        <f t="shared" si="73"/>
        <v>0</v>
      </c>
      <c r="AQ49" s="150">
        <f t="shared" si="73"/>
        <v>0</v>
      </c>
      <c r="AR49" s="150">
        <f t="shared" si="73"/>
        <v>0</v>
      </c>
      <c r="AS49" s="150">
        <f t="shared" si="73"/>
        <v>0</v>
      </c>
      <c r="AT49" s="150">
        <f t="shared" si="73"/>
        <v>0</v>
      </c>
      <c r="AU49" s="150">
        <f t="shared" si="73"/>
        <v>0</v>
      </c>
      <c r="AV49" s="150">
        <f t="shared" si="73"/>
        <v>0</v>
      </c>
      <c r="AW49" s="150">
        <f t="shared" si="73"/>
        <v>0</v>
      </c>
      <c r="AX49" s="707"/>
    </row>
    <row r="50" spans="1:50" ht="20" customHeight="1">
      <c r="A50" s="867" t="str">
        <f>Table3[[#This Row],[Product]]</f>
        <v>Propane</v>
      </c>
      <c r="B50" s="36"/>
      <c r="C50" s="33" t="s">
        <v>35</v>
      </c>
      <c r="D50" s="689">
        <f t="shared" ref="D50:P50" si="74">SUM(D38:D40)</f>
        <v>28491.098999999998</v>
      </c>
      <c r="E50" s="815">
        <f t="shared" si="74"/>
        <v>22014.824000000001</v>
      </c>
      <c r="F50" s="827">
        <f>SUM(F38:F40)</f>
        <v>19178.168000000001</v>
      </c>
      <c r="G50" s="827">
        <f>SUM(G38:G40)</f>
        <v>18728.127</v>
      </c>
      <c r="H50" s="1042">
        <f>SUM(H38:H40)</f>
        <v>11924.915000000001</v>
      </c>
      <c r="I50" s="827">
        <f t="shared" ref="I50" si="75">SUM(I38:I40)</f>
        <v>24412.275000000001</v>
      </c>
      <c r="J50" s="827">
        <f t="shared" si="74"/>
        <v>18877.591</v>
      </c>
      <c r="K50" s="229">
        <f t="shared" si="74"/>
        <v>22320</v>
      </c>
      <c r="L50" s="229">
        <f t="shared" si="74"/>
        <v>22320</v>
      </c>
      <c r="M50" s="229">
        <f t="shared" si="74"/>
        <v>20736</v>
      </c>
      <c r="N50" s="229">
        <f t="shared" si="74"/>
        <v>22320</v>
      </c>
      <c r="O50" s="229">
        <f t="shared" si="74"/>
        <v>21600</v>
      </c>
      <c r="P50" s="229">
        <f t="shared" si="74"/>
        <v>22320</v>
      </c>
      <c r="Q50" s="853">
        <f t="shared" si="52"/>
        <v>246751.90000000002</v>
      </c>
      <c r="T50" s="780" t="s">
        <v>226</v>
      </c>
      <c r="U50" s="781" t="s">
        <v>538</v>
      </c>
      <c r="V50" s="762">
        <f t="shared" si="72"/>
        <v>0</v>
      </c>
      <c r="W50" s="762">
        <f t="shared" si="72"/>
        <v>0</v>
      </c>
      <c r="X50" s="762">
        <f t="shared" si="72"/>
        <v>0</v>
      </c>
      <c r="Y50" s="762">
        <f t="shared" si="72"/>
        <v>0</v>
      </c>
      <c r="Z50" s="762">
        <f t="shared" si="72"/>
        <v>0</v>
      </c>
      <c r="AA50" s="762">
        <f t="shared" si="72"/>
        <v>0</v>
      </c>
      <c r="AB50" s="762">
        <f t="shared" si="72"/>
        <v>0</v>
      </c>
      <c r="AC50" s="762">
        <f t="shared" si="72"/>
        <v>0</v>
      </c>
      <c r="AD50" s="762">
        <f t="shared" si="72"/>
        <v>0</v>
      </c>
      <c r="AE50" s="762">
        <f t="shared" si="72"/>
        <v>0</v>
      </c>
      <c r="AF50" s="762">
        <f t="shared" si="72"/>
        <v>0</v>
      </c>
      <c r="AG50" s="762">
        <f t="shared" si="72"/>
        <v>0</v>
      </c>
      <c r="AH50" s="763">
        <f t="shared" si="70"/>
        <v>0</v>
      </c>
      <c r="AI50" s="706"/>
      <c r="AK50" t="s">
        <v>231</v>
      </c>
      <c r="AL50" s="150">
        <f>SUM(E85:E86)/(E69+E95)</f>
        <v>0</v>
      </c>
      <c r="AM50" s="150">
        <f t="shared" ref="AM50:AW50" si="76">SUM(F85:F86)/(F69+F95)</f>
        <v>0</v>
      </c>
      <c r="AN50" s="150">
        <f t="shared" si="76"/>
        <v>0</v>
      </c>
      <c r="AO50" s="150">
        <f t="shared" si="76"/>
        <v>0</v>
      </c>
      <c r="AP50" s="150">
        <f t="shared" si="76"/>
        <v>0</v>
      </c>
      <c r="AQ50" s="150">
        <f t="shared" si="76"/>
        <v>0</v>
      </c>
      <c r="AR50" s="150">
        <f t="shared" si="76"/>
        <v>0</v>
      </c>
      <c r="AS50" s="150">
        <f t="shared" si="76"/>
        <v>0</v>
      </c>
      <c r="AT50" s="150">
        <f t="shared" si="76"/>
        <v>0</v>
      </c>
      <c r="AU50" s="150">
        <f t="shared" si="76"/>
        <v>0</v>
      </c>
      <c r="AV50" s="150">
        <f t="shared" si="76"/>
        <v>0</v>
      </c>
      <c r="AW50" s="150">
        <f t="shared" si="76"/>
        <v>0</v>
      </c>
      <c r="AX50" s="707"/>
    </row>
    <row r="51" spans="1:50" ht="20" customHeight="1">
      <c r="A51" s="867" t="str">
        <f>Table3[[#This Row],[Product]]</f>
        <v>Propane</v>
      </c>
      <c r="B51" s="36"/>
      <c r="C51" s="33" t="s">
        <v>36</v>
      </c>
      <c r="D51" s="689">
        <f t="shared" ref="D51:P51" si="77">SUM(D45:D48)</f>
        <v>0</v>
      </c>
      <c r="E51" s="815">
        <f t="shared" si="77"/>
        <v>0</v>
      </c>
      <c r="F51" s="827">
        <f>SUM(F45:F48)</f>
        <v>9354.9639999999999</v>
      </c>
      <c r="G51" s="827">
        <f>SUM(G45:G48)</f>
        <v>22735.349000000002</v>
      </c>
      <c r="H51" s="1042">
        <f>SUM(H45:H48)</f>
        <v>10563.175999999999</v>
      </c>
      <c r="I51" s="827">
        <f t="shared" ref="I51" si="78">SUM(I45:I48)</f>
        <v>27031.684999999998</v>
      </c>
      <c r="J51" s="827">
        <f t="shared" si="77"/>
        <v>27975.156999999999</v>
      </c>
      <c r="K51" s="229">
        <f t="shared" si="77"/>
        <v>23734</v>
      </c>
      <c r="L51" s="229">
        <f t="shared" si="77"/>
        <v>5000</v>
      </c>
      <c r="M51" s="229">
        <f t="shared" si="77"/>
        <v>5869</v>
      </c>
      <c r="N51" s="229">
        <f t="shared" si="77"/>
        <v>10069</v>
      </c>
      <c r="O51" s="229">
        <f t="shared" si="77"/>
        <v>5069</v>
      </c>
      <c r="P51" s="229">
        <f t="shared" si="77"/>
        <v>12840</v>
      </c>
      <c r="Q51" s="853">
        <f t="shared" si="52"/>
        <v>160241.33100000001</v>
      </c>
      <c r="T51" s="780" t="s">
        <v>227</v>
      </c>
      <c r="U51" s="781" t="s">
        <v>276</v>
      </c>
      <c r="V51" s="762">
        <f t="shared" ref="V51:AG52" si="79">SUM(E91)</f>
        <v>15092.941000000001</v>
      </c>
      <c r="W51" s="762">
        <f t="shared" si="79"/>
        <v>14616.909</v>
      </c>
      <c r="X51" s="762">
        <f t="shared" si="79"/>
        <v>16650.073</v>
      </c>
      <c r="Y51" s="762">
        <f t="shared" si="79"/>
        <v>12840.678</v>
      </c>
      <c r="Z51" s="762">
        <f t="shared" si="79"/>
        <v>8990.768</v>
      </c>
      <c r="AA51" s="762">
        <f t="shared" si="79"/>
        <v>13437.119000000001</v>
      </c>
      <c r="AB51" s="762">
        <f t="shared" si="79"/>
        <v>7633.1829100000023</v>
      </c>
      <c r="AC51" s="762">
        <f t="shared" si="79"/>
        <v>0</v>
      </c>
      <c r="AD51" s="762">
        <f t="shared" si="79"/>
        <v>0</v>
      </c>
      <c r="AE51" s="762">
        <f t="shared" si="79"/>
        <v>0</v>
      </c>
      <c r="AF51" s="762">
        <f t="shared" si="79"/>
        <v>0</v>
      </c>
      <c r="AG51" s="762">
        <f t="shared" si="79"/>
        <v>0</v>
      </c>
      <c r="AH51" s="763">
        <f t="shared" si="70"/>
        <v>89261.670910000001</v>
      </c>
      <c r="AI51" s="706"/>
      <c r="AK51" t="s">
        <v>232</v>
      </c>
      <c r="AL51" s="150">
        <f>SUM(E87:E88)/(E69+E95)</f>
        <v>0</v>
      </c>
      <c r="AM51" s="150">
        <f t="shared" ref="AM51:AW51" si="80">SUM(F87:F88)/(F69+F95)</f>
        <v>0</v>
      </c>
      <c r="AN51" s="150">
        <f t="shared" si="80"/>
        <v>0</v>
      </c>
      <c r="AO51" s="150">
        <f t="shared" si="80"/>
        <v>0</v>
      </c>
      <c r="AP51" s="150">
        <f t="shared" si="80"/>
        <v>0</v>
      </c>
      <c r="AQ51" s="150">
        <f t="shared" si="80"/>
        <v>0</v>
      </c>
      <c r="AR51" s="150">
        <f t="shared" si="80"/>
        <v>0</v>
      </c>
      <c r="AS51" s="150">
        <f t="shared" si="80"/>
        <v>0</v>
      </c>
      <c r="AT51" s="150">
        <f t="shared" si="80"/>
        <v>0</v>
      </c>
      <c r="AU51" s="150">
        <f t="shared" si="80"/>
        <v>0</v>
      </c>
      <c r="AV51" s="150">
        <f t="shared" si="80"/>
        <v>0</v>
      </c>
      <c r="AW51" s="150">
        <f t="shared" si="80"/>
        <v>0</v>
      </c>
      <c r="AX51" s="707"/>
    </row>
    <row r="52" spans="1:50" ht="20" customHeight="1">
      <c r="A52" s="867" t="str">
        <f>Table3[[#This Row],[Product]]</f>
        <v>Propane</v>
      </c>
      <c r="B52" s="28"/>
      <c r="C52" s="34" t="s">
        <v>37</v>
      </c>
      <c r="D52" s="961">
        <f>SUM(D38:D49)</f>
        <v>83390.152000000002</v>
      </c>
      <c r="E52" s="1278">
        <f t="shared" ref="E52:P52" si="81">SUM(E38:E49)</f>
        <v>81204.012999999992</v>
      </c>
      <c r="F52" s="827">
        <f>SUM(F38:F49)</f>
        <v>83571.866999999998</v>
      </c>
      <c r="G52" s="827">
        <f>SUM(G38:G49)</f>
        <v>105717.125</v>
      </c>
      <c r="H52" s="1055">
        <f>SUM(H38:H49)</f>
        <v>67361.736000000004</v>
      </c>
      <c r="I52" s="827">
        <f t="shared" ref="I52" si="82">SUM(I38:I49)</f>
        <v>101903.201</v>
      </c>
      <c r="J52" s="827">
        <f t="shared" si="81"/>
        <v>106643.09599999999</v>
      </c>
      <c r="K52" s="804">
        <f t="shared" si="81"/>
        <v>72035</v>
      </c>
      <c r="L52" s="804">
        <f t="shared" si="81"/>
        <v>81436</v>
      </c>
      <c r="M52" s="804">
        <f t="shared" si="81"/>
        <v>75789</v>
      </c>
      <c r="N52" s="804">
        <f t="shared" si="81"/>
        <v>57247</v>
      </c>
      <c r="O52" s="804">
        <f t="shared" si="81"/>
        <v>85128</v>
      </c>
      <c r="P52" s="804">
        <f t="shared" si="81"/>
        <v>95556</v>
      </c>
      <c r="Q52" s="854">
        <f t="shared" si="52"/>
        <v>1013592.0380000001</v>
      </c>
      <c r="T52" s="780" t="s">
        <v>227</v>
      </c>
      <c r="U52" s="781" t="s">
        <v>538</v>
      </c>
      <c r="V52" s="762">
        <f t="shared" si="79"/>
        <v>0</v>
      </c>
      <c r="W52" s="762">
        <f t="shared" si="79"/>
        <v>0</v>
      </c>
      <c r="X52" s="762">
        <f t="shared" si="79"/>
        <v>0</v>
      </c>
      <c r="Y52" s="762">
        <f t="shared" si="79"/>
        <v>0</v>
      </c>
      <c r="Z52" s="762">
        <f t="shared" si="79"/>
        <v>0</v>
      </c>
      <c r="AA52" s="762">
        <f t="shared" si="79"/>
        <v>0</v>
      </c>
      <c r="AB52" s="762">
        <f t="shared" si="79"/>
        <v>0</v>
      </c>
      <c r="AC52" s="762">
        <f t="shared" si="79"/>
        <v>0</v>
      </c>
      <c r="AD52" s="762">
        <f t="shared" si="79"/>
        <v>0</v>
      </c>
      <c r="AE52" s="762">
        <f t="shared" si="79"/>
        <v>0</v>
      </c>
      <c r="AF52" s="762">
        <f t="shared" si="79"/>
        <v>0</v>
      </c>
      <c r="AG52" s="762">
        <f t="shared" si="79"/>
        <v>0</v>
      </c>
      <c r="AH52" s="763">
        <f t="shared" si="70"/>
        <v>0</v>
      </c>
      <c r="AI52" s="706"/>
      <c r="AK52" t="s">
        <v>177</v>
      </c>
      <c r="AL52" s="150">
        <f>SUM(AL39:AL51)</f>
        <v>1.0000000000000002</v>
      </c>
      <c r="AM52" s="150">
        <f>SUM(AM39:AM51)</f>
        <v>1.0000000000000002</v>
      </c>
      <c r="AN52" s="150">
        <f t="shared" ref="AN52:AW52" si="83">SUM(AN39:AN51)</f>
        <v>0.99999999999999989</v>
      </c>
      <c r="AO52" s="150">
        <f t="shared" si="83"/>
        <v>0.99999999999999978</v>
      </c>
      <c r="AP52" s="150">
        <f t="shared" si="83"/>
        <v>0.99999999999999989</v>
      </c>
      <c r="AQ52" s="150">
        <f t="shared" si="83"/>
        <v>1</v>
      </c>
      <c r="AR52" s="150">
        <f t="shared" si="83"/>
        <v>1</v>
      </c>
      <c r="AS52" s="150">
        <f t="shared" si="83"/>
        <v>1</v>
      </c>
      <c r="AT52" s="150">
        <f t="shared" si="83"/>
        <v>0.99999999999999989</v>
      </c>
      <c r="AU52" s="150">
        <f t="shared" si="83"/>
        <v>1</v>
      </c>
      <c r="AV52" s="150">
        <f t="shared" si="83"/>
        <v>1</v>
      </c>
      <c r="AW52" s="150">
        <f t="shared" si="83"/>
        <v>1</v>
      </c>
      <c r="AX52" s="707"/>
    </row>
    <row r="53" spans="1:50" ht="20" customHeight="1">
      <c r="A53" s="866" t="str">
        <f>Table3[[#This Row],[Product]]</f>
        <v>LPG-P</v>
      </c>
      <c r="B53" s="28" t="s">
        <v>25</v>
      </c>
      <c r="C53" s="37" t="s">
        <v>51</v>
      </c>
      <c r="D53" s="689">
        <v>2338.9609999999998</v>
      </c>
      <c r="E53" s="815">
        <v>2412.9459999999999</v>
      </c>
      <c r="F53" s="977">
        <v>1869.665</v>
      </c>
      <c r="G53" s="1009">
        <v>8330.2610000000004</v>
      </c>
      <c r="H53" s="1138">
        <v>2122.4749999999999</v>
      </c>
      <c r="I53" s="1235">
        <v>9467.3369999999995</v>
      </c>
      <c r="J53" s="1283">
        <v>4372.6880000000001</v>
      </c>
      <c r="K53" s="229">
        <f>'Rolling พี่เตย'!K56*1000</f>
        <v>66116</v>
      </c>
      <c r="L53" s="229">
        <f>'Rolling พี่เตย'!L56*1000</f>
        <v>33820</v>
      </c>
      <c r="M53" s="229">
        <f>'Rolling พี่เตย'!M56*1000</f>
        <v>33379</v>
      </c>
      <c r="N53" s="229">
        <f>'Rolling พี่เตย'!N56*1000</f>
        <v>33776</v>
      </c>
      <c r="O53" s="229">
        <f>'Rolling พี่เตย'!O56*1000</f>
        <v>33000</v>
      </c>
      <c r="P53" s="229">
        <f>'Rolling พี่เตย'!P56*1000</f>
        <v>34100</v>
      </c>
      <c r="Q53" s="853">
        <f>SUM(E53:P53)</f>
        <v>262766.37199999997</v>
      </c>
      <c r="T53" s="780" t="s">
        <v>228</v>
      </c>
      <c r="U53" s="781" t="s">
        <v>276</v>
      </c>
      <c r="V53" s="762">
        <f t="shared" ref="V53:AG54" si="84">SUM(E79)</f>
        <v>0</v>
      </c>
      <c r="W53" s="762">
        <f t="shared" si="84"/>
        <v>0</v>
      </c>
      <c r="X53" s="762">
        <f t="shared" si="84"/>
        <v>0</v>
      </c>
      <c r="Y53" s="762">
        <f t="shared" si="84"/>
        <v>0</v>
      </c>
      <c r="Z53" s="762">
        <f t="shared" si="84"/>
        <v>0</v>
      </c>
      <c r="AA53" s="762">
        <f t="shared" si="84"/>
        <v>0</v>
      </c>
      <c r="AB53" s="762">
        <f t="shared" si="84"/>
        <v>0</v>
      </c>
      <c r="AC53" s="762">
        <f t="shared" si="84"/>
        <v>0</v>
      </c>
      <c r="AD53" s="762">
        <f t="shared" si="84"/>
        <v>0</v>
      </c>
      <c r="AE53" s="762">
        <f t="shared" si="84"/>
        <v>0</v>
      </c>
      <c r="AF53" s="762">
        <f t="shared" si="84"/>
        <v>0</v>
      </c>
      <c r="AG53" s="762">
        <f t="shared" si="84"/>
        <v>0</v>
      </c>
      <c r="AH53" s="763">
        <f t="shared" si="70"/>
        <v>0</v>
      </c>
      <c r="AI53" s="706"/>
      <c r="AK53" s="44" t="s">
        <v>71</v>
      </c>
      <c r="AX53" s="707"/>
    </row>
    <row r="54" spans="1:50" ht="20" customHeight="1">
      <c r="A54" s="866" t="str">
        <f>Table3[[#This Row],[Product]]</f>
        <v>LPG-P</v>
      </c>
      <c r="B54" s="28" t="s">
        <v>25</v>
      </c>
      <c r="C54" s="37" t="s">
        <v>52</v>
      </c>
      <c r="D54" s="689">
        <v>0</v>
      </c>
      <c r="E54" s="815">
        <v>0</v>
      </c>
      <c r="F54" s="977">
        <v>0</v>
      </c>
      <c r="G54" s="1009">
        <v>0</v>
      </c>
      <c r="H54" s="815">
        <v>0</v>
      </c>
      <c r="I54" s="1235">
        <v>0</v>
      </c>
      <c r="J54" s="1283">
        <v>0</v>
      </c>
      <c r="K54" s="229"/>
      <c r="L54" s="229"/>
      <c r="M54" s="229"/>
      <c r="N54" s="229"/>
      <c r="O54" s="229"/>
      <c r="P54" s="229"/>
      <c r="Q54" s="853">
        <f t="shared" ref="Q54:Q69" si="85">SUM(E54:P54)</f>
        <v>0</v>
      </c>
      <c r="T54" s="780" t="s">
        <v>228</v>
      </c>
      <c r="U54" s="781" t="s">
        <v>538</v>
      </c>
      <c r="V54" s="762">
        <f t="shared" si="84"/>
        <v>1882.905</v>
      </c>
      <c r="W54" s="762">
        <f t="shared" si="84"/>
        <v>0</v>
      </c>
      <c r="X54" s="762">
        <f t="shared" si="84"/>
        <v>10282.893</v>
      </c>
      <c r="Y54" s="762">
        <f t="shared" si="84"/>
        <v>6120.8729999999996</v>
      </c>
      <c r="Z54" s="762">
        <f t="shared" si="84"/>
        <v>7685.7430000000004</v>
      </c>
      <c r="AA54" s="762">
        <f t="shared" si="84"/>
        <v>11925.031999999999</v>
      </c>
      <c r="AB54" s="762">
        <f t="shared" si="84"/>
        <v>10880</v>
      </c>
      <c r="AC54" s="762">
        <f t="shared" si="84"/>
        <v>10880</v>
      </c>
      <c r="AD54" s="762">
        <f t="shared" si="84"/>
        <v>10880</v>
      </c>
      <c r="AE54" s="762">
        <f t="shared" si="84"/>
        <v>10880</v>
      </c>
      <c r="AF54" s="762">
        <f t="shared" si="84"/>
        <v>10880</v>
      </c>
      <c r="AG54" s="762">
        <f t="shared" si="84"/>
        <v>10880</v>
      </c>
      <c r="AH54" s="763">
        <f t="shared" si="70"/>
        <v>103177.446</v>
      </c>
      <c r="AI54" s="706"/>
      <c r="AK54" s="147" t="s">
        <v>218</v>
      </c>
      <c r="AL54" s="150">
        <f t="shared" ref="AL54:AW54" si="86">E135/E144</f>
        <v>0.43367105685795188</v>
      </c>
      <c r="AM54" s="150">
        <f t="shared" si="86"/>
        <v>0.46510879002997602</v>
      </c>
      <c r="AN54" s="150">
        <f t="shared" si="86"/>
        <v>0.45324375770098302</v>
      </c>
      <c r="AO54" s="150">
        <f t="shared" si="86"/>
        <v>0.38322684889335951</v>
      </c>
      <c r="AP54" s="150">
        <f t="shared" si="86"/>
        <v>0.4530867239625575</v>
      </c>
      <c r="AQ54" s="150">
        <f t="shared" si="86"/>
        <v>0.47123144185623372</v>
      </c>
      <c r="AR54" s="150">
        <f t="shared" si="86"/>
        <v>0.43081164914699294</v>
      </c>
      <c r="AS54" s="150">
        <f t="shared" si="86"/>
        <v>0.40766710645299969</v>
      </c>
      <c r="AT54" s="150">
        <f t="shared" si="86"/>
        <v>0.38916562889165629</v>
      </c>
      <c r="AU54" s="150">
        <f t="shared" si="86"/>
        <v>0.36964879016125385</v>
      </c>
      <c r="AV54" s="150">
        <f t="shared" si="86"/>
        <v>0.40737325723733364</v>
      </c>
      <c r="AW54" s="150">
        <f t="shared" si="86"/>
        <v>0.39648375549413206</v>
      </c>
      <c r="AX54" s="707"/>
    </row>
    <row r="55" spans="1:50" ht="15.5">
      <c r="A55" s="866" t="str">
        <f>Table3[[#This Row],[Product]]</f>
        <v>LPG-P</v>
      </c>
      <c r="B55" s="32" t="s">
        <v>34</v>
      </c>
      <c r="C55" s="37" t="s">
        <v>53</v>
      </c>
      <c r="D55" s="689">
        <v>0</v>
      </c>
      <c r="E55" s="815">
        <v>0</v>
      </c>
      <c r="F55" s="977">
        <v>0</v>
      </c>
      <c r="G55" s="1009">
        <v>0</v>
      </c>
      <c r="H55" s="815">
        <v>0</v>
      </c>
      <c r="I55" s="1235">
        <v>0</v>
      </c>
      <c r="J55" s="1283">
        <v>0</v>
      </c>
      <c r="K55" s="229">
        <f>'Rolling พี่เตย'!K57*1000</f>
        <v>0</v>
      </c>
      <c r="L55" s="229">
        <f>'Rolling พี่เตย'!L57*1000</f>
        <v>0</v>
      </c>
      <c r="M55" s="229">
        <f>'Rolling พี่เตย'!M57*1000</f>
        <v>0</v>
      </c>
      <c r="N55" s="229">
        <f>'Rolling พี่เตย'!N57*1000</f>
        <v>0</v>
      </c>
      <c r="O55" s="229">
        <f>'Rolling พี่เตย'!O57*1000</f>
        <v>0</v>
      </c>
      <c r="P55" s="229">
        <f>'Rolling พี่เตย'!P57*1000</f>
        <v>0</v>
      </c>
      <c r="Q55" s="853">
        <f t="shared" si="85"/>
        <v>0</v>
      </c>
      <c r="T55" s="780" t="s">
        <v>229</v>
      </c>
      <c r="U55" s="781" t="s">
        <v>276</v>
      </c>
      <c r="V55" s="762">
        <f t="shared" ref="V55:AG55" si="87">SUM(E82)</f>
        <v>0</v>
      </c>
      <c r="W55" s="762">
        <f t="shared" si="87"/>
        <v>0</v>
      </c>
      <c r="X55" s="762">
        <f t="shared" si="87"/>
        <v>0</v>
      </c>
      <c r="Y55" s="762">
        <f t="shared" si="87"/>
        <v>0</v>
      </c>
      <c r="Z55" s="762">
        <f t="shared" si="87"/>
        <v>0</v>
      </c>
      <c r="AA55" s="762">
        <f t="shared" si="87"/>
        <v>0</v>
      </c>
      <c r="AB55" s="762">
        <f t="shared" si="87"/>
        <v>0</v>
      </c>
      <c r="AC55" s="762">
        <f t="shared" si="87"/>
        <v>0</v>
      </c>
      <c r="AD55" s="762">
        <f t="shared" si="87"/>
        <v>0</v>
      </c>
      <c r="AE55" s="762">
        <f t="shared" si="87"/>
        <v>0</v>
      </c>
      <c r="AF55" s="762">
        <f t="shared" si="87"/>
        <v>0</v>
      </c>
      <c r="AG55" s="762">
        <f t="shared" si="87"/>
        <v>0</v>
      </c>
      <c r="AH55" s="763">
        <f t="shared" si="70"/>
        <v>0</v>
      </c>
      <c r="AI55" s="706"/>
      <c r="AK55" s="147" t="s">
        <v>220</v>
      </c>
      <c r="AL55" s="150">
        <f t="shared" ref="AL55:AW55" si="88">SUM(E136:E137)/E144</f>
        <v>0.52406537290916921</v>
      </c>
      <c r="AM55" s="150">
        <f t="shared" si="88"/>
        <v>0.48924532073975119</v>
      </c>
      <c r="AN55" s="150">
        <f t="shared" si="88"/>
        <v>0.48495994436958922</v>
      </c>
      <c r="AO55" s="150">
        <f t="shared" si="88"/>
        <v>0.5687882045720889</v>
      </c>
      <c r="AP55" s="150">
        <f t="shared" si="88"/>
        <v>0.48533062289533618</v>
      </c>
      <c r="AQ55" s="150">
        <f t="shared" si="88"/>
        <v>0.48607959283511659</v>
      </c>
      <c r="AR55" s="150">
        <f t="shared" si="88"/>
        <v>0.51180423918662765</v>
      </c>
      <c r="AS55" s="150">
        <f t="shared" si="88"/>
        <v>0.52388929243814575</v>
      </c>
      <c r="AT55" s="150">
        <f t="shared" si="88"/>
        <v>0.56039850560398508</v>
      </c>
      <c r="AU55" s="150">
        <f t="shared" si="88"/>
        <v>0.55003739975994581</v>
      </c>
      <c r="AV55" s="150">
        <f t="shared" si="88"/>
        <v>0.54369425941529015</v>
      </c>
      <c r="AW55" s="150">
        <f t="shared" si="88"/>
        <v>0.53378041596810011</v>
      </c>
      <c r="AX55" s="707"/>
    </row>
    <row r="56" spans="1:50" ht="22.25" customHeight="1">
      <c r="A56" s="866" t="str">
        <f>Table3[[#This Row],[Product]]</f>
        <v>LPG-P</v>
      </c>
      <c r="B56" s="28" t="s">
        <v>25</v>
      </c>
      <c r="C56" s="37" t="s">
        <v>54</v>
      </c>
      <c r="D56" s="689">
        <v>27517.117999999999</v>
      </c>
      <c r="E56" s="815">
        <v>30217.237000000001</v>
      </c>
      <c r="F56" s="977">
        <v>18641.519</v>
      </c>
      <c r="G56" s="1009">
        <v>23338.953000000001</v>
      </c>
      <c r="H56" s="1138">
        <v>19105.034</v>
      </c>
      <c r="I56" s="1235">
        <v>29620.976999999999</v>
      </c>
      <c r="J56" s="1283">
        <v>37702.930999999997</v>
      </c>
      <c r="K56" s="229"/>
      <c r="L56" s="229"/>
      <c r="M56" s="229"/>
      <c r="N56" s="229"/>
      <c r="O56" s="229"/>
      <c r="P56" s="229"/>
      <c r="Q56" s="853">
        <f t="shared" si="85"/>
        <v>158626.65100000001</v>
      </c>
      <c r="T56" s="780" t="s">
        <v>229</v>
      </c>
      <c r="U56" s="781" t="s">
        <v>538</v>
      </c>
      <c r="V56" s="762">
        <f t="shared" ref="V56:AG56" si="89">SUM(E83:E84)</f>
        <v>1544.4010000000001</v>
      </c>
      <c r="W56" s="762">
        <f t="shared" si="89"/>
        <v>2710.7629999999999</v>
      </c>
      <c r="X56" s="762">
        <f t="shared" si="89"/>
        <v>4262.0950000000003</v>
      </c>
      <c r="Y56" s="762">
        <f t="shared" si="89"/>
        <v>4260.6679999999997</v>
      </c>
      <c r="Z56" s="762">
        <f t="shared" si="89"/>
        <v>3612.4589999999998</v>
      </c>
      <c r="AA56" s="762">
        <f t="shared" si="89"/>
        <v>4246.5450000000001</v>
      </c>
      <c r="AB56" s="762">
        <f t="shared" si="89"/>
        <v>4200</v>
      </c>
      <c r="AC56" s="762">
        <f t="shared" si="89"/>
        <v>4200</v>
      </c>
      <c r="AD56" s="762">
        <f t="shared" si="89"/>
        <v>4200</v>
      </c>
      <c r="AE56" s="762">
        <f t="shared" si="89"/>
        <v>4200</v>
      </c>
      <c r="AF56" s="762">
        <f t="shared" si="89"/>
        <v>4200</v>
      </c>
      <c r="AG56" s="762">
        <f t="shared" si="89"/>
        <v>4200</v>
      </c>
      <c r="AH56" s="763">
        <f t="shared" si="70"/>
        <v>45836.930999999997</v>
      </c>
      <c r="AI56" s="706"/>
      <c r="AK56" s="147" t="s">
        <v>233</v>
      </c>
      <c r="AL56" s="150">
        <f t="shared" ref="AL56:AW56" si="90">SUM(E138:E140)/E144</f>
        <v>2.1111404308696194E-2</v>
      </c>
      <c r="AM56" s="150">
        <f t="shared" si="90"/>
        <v>2.3071432483789046E-2</v>
      </c>
      <c r="AN56" s="150">
        <f t="shared" si="90"/>
        <v>2.0607570575545138E-2</v>
      </c>
      <c r="AO56" s="150">
        <f t="shared" si="90"/>
        <v>2.3976878546277475E-2</v>
      </c>
      <c r="AP56" s="150">
        <f t="shared" si="90"/>
        <v>2.0486813321113382E-2</v>
      </c>
      <c r="AQ56" s="150">
        <f t="shared" si="90"/>
        <v>2.1388529257943118E-2</v>
      </c>
      <c r="AR56" s="150">
        <f t="shared" si="90"/>
        <v>5.7384111666379467E-2</v>
      </c>
      <c r="AS56" s="150">
        <f t="shared" si="90"/>
        <v>6.8443601108854529E-2</v>
      </c>
      <c r="AT56" s="150">
        <f t="shared" si="90"/>
        <v>5.0435865504358655E-2</v>
      </c>
      <c r="AU56" s="150">
        <f t="shared" si="90"/>
        <v>8.0313810078800424E-2</v>
      </c>
      <c r="AV56" s="150">
        <f t="shared" si="90"/>
        <v>4.893248334737612E-2</v>
      </c>
      <c r="AW56" s="150">
        <f t="shared" si="90"/>
        <v>6.9735828537767913E-2</v>
      </c>
      <c r="AX56" s="707"/>
    </row>
    <row r="57" spans="1:50" ht="21.65" customHeight="1">
      <c r="A57" s="866" t="str">
        <f>Table3[[#This Row],[Product]]</f>
        <v>LPG-P</v>
      </c>
      <c r="B57" s="28" t="s">
        <v>25</v>
      </c>
      <c r="C57" s="37" t="s">
        <v>55</v>
      </c>
      <c r="D57" s="689">
        <v>0</v>
      </c>
      <c r="E57" s="815">
        <v>0</v>
      </c>
      <c r="F57" s="977">
        <v>0</v>
      </c>
      <c r="G57" s="1009">
        <v>0</v>
      </c>
      <c r="H57" s="815">
        <v>0</v>
      </c>
      <c r="I57" s="1235">
        <v>0</v>
      </c>
      <c r="J57" s="1283">
        <v>0</v>
      </c>
      <c r="K57" s="229"/>
      <c r="L57" s="229"/>
      <c r="M57" s="229"/>
      <c r="N57" s="229"/>
      <c r="O57" s="229"/>
      <c r="P57" s="229"/>
      <c r="Q57" s="853">
        <f t="shared" si="85"/>
        <v>0</v>
      </c>
      <c r="T57" s="780" t="s">
        <v>133</v>
      </c>
      <c r="U57" s="781" t="s">
        <v>276</v>
      </c>
      <c r="V57" s="762">
        <f t="shared" ref="V57:AG58" si="91">SUM(E89)</f>
        <v>0</v>
      </c>
      <c r="W57" s="762">
        <f t="shared" si="91"/>
        <v>0</v>
      </c>
      <c r="X57" s="762">
        <f t="shared" si="91"/>
        <v>0</v>
      </c>
      <c r="Y57" s="762">
        <f t="shared" si="91"/>
        <v>0</v>
      </c>
      <c r="Z57" s="762">
        <f t="shared" si="91"/>
        <v>0</v>
      </c>
      <c r="AA57" s="762">
        <f t="shared" si="91"/>
        <v>0</v>
      </c>
      <c r="AB57" s="762">
        <f t="shared" si="91"/>
        <v>0</v>
      </c>
      <c r="AC57" s="762">
        <f t="shared" si="91"/>
        <v>0</v>
      </c>
      <c r="AD57" s="762">
        <f t="shared" si="91"/>
        <v>0</v>
      </c>
      <c r="AE57" s="762">
        <f t="shared" si="91"/>
        <v>0</v>
      </c>
      <c r="AF57" s="762">
        <f t="shared" si="91"/>
        <v>0</v>
      </c>
      <c r="AG57" s="762">
        <f t="shared" si="91"/>
        <v>0</v>
      </c>
      <c r="AH57" s="763">
        <f t="shared" si="70"/>
        <v>0</v>
      </c>
      <c r="AI57" s="706"/>
      <c r="AK57" s="147" t="s">
        <v>133</v>
      </c>
      <c r="AL57" s="150">
        <f t="shared" ref="AL57:AW57" si="92">E141/E144</f>
        <v>2.1152165924182766E-2</v>
      </c>
      <c r="AM57" s="150">
        <f t="shared" si="92"/>
        <v>2.2574456746483656E-2</v>
      </c>
      <c r="AN57" s="150">
        <f t="shared" si="92"/>
        <v>4.1188727353882799E-2</v>
      </c>
      <c r="AO57" s="150">
        <f t="shared" si="92"/>
        <v>2.4008067988274207E-2</v>
      </c>
      <c r="AP57" s="150">
        <f t="shared" si="92"/>
        <v>4.1095839820992915E-2</v>
      </c>
      <c r="AQ57" s="150">
        <f t="shared" si="92"/>
        <v>2.1300436050706476E-2</v>
      </c>
      <c r="AR57" s="150">
        <f t="shared" si="92"/>
        <v>0</v>
      </c>
      <c r="AS57" s="150">
        <f t="shared" si="92"/>
        <v>0</v>
      </c>
      <c r="AT57" s="150">
        <f t="shared" si="92"/>
        <v>0</v>
      </c>
      <c r="AU57" s="150">
        <f t="shared" si="92"/>
        <v>0</v>
      </c>
      <c r="AV57" s="150">
        <f t="shared" si="92"/>
        <v>0</v>
      </c>
      <c r="AW57" s="150">
        <f t="shared" si="92"/>
        <v>0</v>
      </c>
      <c r="AX57" s="707"/>
    </row>
    <row r="58" spans="1:50" ht="21.65" customHeight="1">
      <c r="A58" s="866" t="str">
        <f>Table3[[#This Row],[Product]]</f>
        <v>LPG-P</v>
      </c>
      <c r="B58" s="32" t="s">
        <v>34</v>
      </c>
      <c r="C58" s="37" t="s">
        <v>56</v>
      </c>
      <c r="D58" s="689">
        <v>0</v>
      </c>
      <c r="E58" s="815">
        <v>0</v>
      </c>
      <c r="F58" s="977">
        <v>0</v>
      </c>
      <c r="G58" s="1009">
        <v>0</v>
      </c>
      <c r="H58" s="815">
        <v>0</v>
      </c>
      <c r="I58" s="1235">
        <v>0</v>
      </c>
      <c r="J58" s="1283">
        <v>0</v>
      </c>
      <c r="K58" s="229"/>
      <c r="L58" s="229"/>
      <c r="M58" s="229"/>
      <c r="N58" s="229"/>
      <c r="O58" s="229"/>
      <c r="P58" s="229"/>
      <c r="Q58" s="853">
        <f t="shared" si="85"/>
        <v>0</v>
      </c>
      <c r="T58" s="780" t="s">
        <v>133</v>
      </c>
      <c r="U58" s="781" t="s">
        <v>538</v>
      </c>
      <c r="V58" s="762">
        <f t="shared" si="91"/>
        <v>0</v>
      </c>
      <c r="W58" s="762">
        <f t="shared" si="91"/>
        <v>0</v>
      </c>
      <c r="X58" s="762">
        <f t="shared" si="91"/>
        <v>0</v>
      </c>
      <c r="Y58" s="762">
        <f t="shared" si="91"/>
        <v>0</v>
      </c>
      <c r="Z58" s="762">
        <f t="shared" si="91"/>
        <v>0</v>
      </c>
      <c r="AA58" s="762">
        <f t="shared" si="91"/>
        <v>0</v>
      </c>
      <c r="AB58" s="762">
        <f t="shared" si="91"/>
        <v>0</v>
      </c>
      <c r="AC58" s="762">
        <f t="shared" si="91"/>
        <v>0</v>
      </c>
      <c r="AD58" s="762">
        <f t="shared" si="91"/>
        <v>0</v>
      </c>
      <c r="AE58" s="762">
        <f t="shared" si="91"/>
        <v>0</v>
      </c>
      <c r="AF58" s="762">
        <f t="shared" si="91"/>
        <v>0</v>
      </c>
      <c r="AG58" s="762">
        <f t="shared" si="91"/>
        <v>0</v>
      </c>
      <c r="AH58" s="763">
        <f t="shared" si="70"/>
        <v>0</v>
      </c>
      <c r="AI58" s="706"/>
      <c r="AK58" s="147" t="s">
        <v>177</v>
      </c>
      <c r="AL58" s="150">
        <f>SUM(AL54:AL57)</f>
        <v>1</v>
      </c>
      <c r="AM58" s="150">
        <f t="shared" ref="AM58:AW58" si="93">SUM(AM54:AM57)</f>
        <v>0.99999999999999989</v>
      </c>
      <c r="AN58" s="150">
        <f t="shared" si="93"/>
        <v>1.0000000000000002</v>
      </c>
      <c r="AO58" s="150">
        <f t="shared" si="93"/>
        <v>1</v>
      </c>
      <c r="AP58" s="150">
        <f t="shared" si="93"/>
        <v>1</v>
      </c>
      <c r="AQ58" s="150">
        <f t="shared" si="93"/>
        <v>0.99999999999999989</v>
      </c>
      <c r="AR58" s="150">
        <f t="shared" si="93"/>
        <v>1</v>
      </c>
      <c r="AS58" s="150">
        <f t="shared" si="93"/>
        <v>1</v>
      </c>
      <c r="AT58" s="150">
        <f t="shared" si="93"/>
        <v>1</v>
      </c>
      <c r="AU58" s="150">
        <f t="shared" si="93"/>
        <v>1</v>
      </c>
      <c r="AV58" s="150">
        <f t="shared" si="93"/>
        <v>0.99999999999999989</v>
      </c>
      <c r="AW58" s="150">
        <f t="shared" si="93"/>
        <v>1</v>
      </c>
      <c r="AX58" s="707"/>
    </row>
    <row r="59" spans="1:50" ht="21.65" customHeight="1">
      <c r="A59" s="866" t="str">
        <f>Table3[[#This Row],[Product]]</f>
        <v>LPG-P</v>
      </c>
      <c r="B59" s="28" t="s">
        <v>25</v>
      </c>
      <c r="C59" s="28" t="s">
        <v>57</v>
      </c>
      <c r="D59" s="689">
        <v>0</v>
      </c>
      <c r="E59" s="815">
        <v>0</v>
      </c>
      <c r="F59" s="977">
        <v>0</v>
      </c>
      <c r="G59" s="1009">
        <v>4458.8500000000004</v>
      </c>
      <c r="H59" s="1138">
        <v>23283.06</v>
      </c>
      <c r="I59" s="1235">
        <v>22199.370999999999</v>
      </c>
      <c r="J59" s="1283">
        <v>19241.03</v>
      </c>
      <c r="K59" s="229">
        <f>'Rolling พี่เตย'!K59*1000</f>
        <v>3000</v>
      </c>
      <c r="L59" s="229">
        <f>'Rolling พี่เตย'!L59*1000</f>
        <v>3000</v>
      </c>
      <c r="M59" s="229">
        <f>'Rolling พี่เตย'!M59*1000</f>
        <v>3000</v>
      </c>
      <c r="N59" s="229">
        <f>'Rolling พี่เตย'!N59*1000</f>
        <v>3000</v>
      </c>
      <c r="O59" s="229">
        <f>'Rolling พี่เตย'!O59*1000</f>
        <v>3000</v>
      </c>
      <c r="P59" s="229">
        <f>'Rolling พี่เตย'!P59*1000</f>
        <v>3000</v>
      </c>
      <c r="Q59" s="853">
        <f t="shared" si="85"/>
        <v>87182.311000000002</v>
      </c>
      <c r="T59" s="780" t="s">
        <v>230</v>
      </c>
      <c r="U59" s="781" t="s">
        <v>276</v>
      </c>
      <c r="V59" s="762">
        <f t="shared" ref="V59:AG60" si="94">SUM(E93)</f>
        <v>0</v>
      </c>
      <c r="W59" s="762">
        <f t="shared" si="94"/>
        <v>0</v>
      </c>
      <c r="X59" s="762">
        <f t="shared" si="94"/>
        <v>0</v>
      </c>
      <c r="Y59" s="762">
        <f t="shared" si="94"/>
        <v>0</v>
      </c>
      <c r="Z59" s="762">
        <f t="shared" si="94"/>
        <v>0</v>
      </c>
      <c r="AA59" s="762">
        <f t="shared" si="94"/>
        <v>0</v>
      </c>
      <c r="AB59" s="762">
        <f t="shared" si="94"/>
        <v>0</v>
      </c>
      <c r="AC59" s="762">
        <f t="shared" si="94"/>
        <v>0</v>
      </c>
      <c r="AD59" s="762">
        <f t="shared" si="94"/>
        <v>0</v>
      </c>
      <c r="AE59" s="762">
        <f t="shared" si="94"/>
        <v>0</v>
      </c>
      <c r="AF59" s="762">
        <f t="shared" si="94"/>
        <v>0</v>
      </c>
      <c r="AG59" s="762">
        <f t="shared" si="94"/>
        <v>0</v>
      </c>
      <c r="AH59" s="763">
        <f t="shared" si="70"/>
        <v>0</v>
      </c>
      <c r="AI59" s="706"/>
      <c r="AK59" s="44" t="s">
        <v>79</v>
      </c>
      <c r="AX59" s="707"/>
    </row>
    <row r="60" spans="1:50" ht="21.65" customHeight="1">
      <c r="A60" s="901" t="str">
        <f>Table3[[#This Row],[Product]]</f>
        <v>LPG-P</v>
      </c>
      <c r="B60" s="28" t="s">
        <v>25</v>
      </c>
      <c r="C60" s="28" t="s">
        <v>58</v>
      </c>
      <c r="D60" s="902"/>
      <c r="E60" s="903"/>
      <c r="F60" s="977">
        <v>0</v>
      </c>
      <c r="G60" s="1009">
        <v>0</v>
      </c>
      <c r="H60" s="815">
        <v>0</v>
      </c>
      <c r="I60" s="1235">
        <v>0</v>
      </c>
      <c r="J60" s="1283">
        <v>0</v>
      </c>
      <c r="K60" s="904"/>
      <c r="L60" s="904"/>
      <c r="M60" s="904"/>
      <c r="N60" s="904"/>
      <c r="O60" s="904"/>
      <c r="P60" s="904"/>
      <c r="Q60" s="905">
        <f>SUM(E60:P60)</f>
        <v>0</v>
      </c>
      <c r="T60" s="780" t="s">
        <v>230</v>
      </c>
      <c r="U60" s="781" t="s">
        <v>538</v>
      </c>
      <c r="V60" s="762">
        <f t="shared" si="94"/>
        <v>0</v>
      </c>
      <c r="W60" s="762">
        <f t="shared" si="94"/>
        <v>0</v>
      </c>
      <c r="X60" s="762">
        <f t="shared" si="94"/>
        <v>0</v>
      </c>
      <c r="Y60" s="762">
        <f t="shared" si="94"/>
        <v>0</v>
      </c>
      <c r="Z60" s="762">
        <f t="shared" si="94"/>
        <v>0</v>
      </c>
      <c r="AA60" s="762">
        <f t="shared" si="94"/>
        <v>0</v>
      </c>
      <c r="AB60" s="762">
        <f t="shared" si="94"/>
        <v>0</v>
      </c>
      <c r="AC60" s="762">
        <f t="shared" si="94"/>
        <v>0</v>
      </c>
      <c r="AD60" s="762">
        <f t="shared" si="94"/>
        <v>0</v>
      </c>
      <c r="AE60" s="762">
        <f t="shared" si="94"/>
        <v>0</v>
      </c>
      <c r="AF60" s="762">
        <f t="shared" si="94"/>
        <v>0</v>
      </c>
      <c r="AG60" s="762">
        <f t="shared" si="94"/>
        <v>0</v>
      </c>
      <c r="AH60" s="763">
        <f t="shared" si="70"/>
        <v>0</v>
      </c>
      <c r="AI60" s="706"/>
      <c r="AK60" s="147" t="s">
        <v>220</v>
      </c>
      <c r="AL60" s="152">
        <v>1</v>
      </c>
      <c r="AM60" s="152">
        <v>1</v>
      </c>
      <c r="AN60" s="152">
        <v>1</v>
      </c>
      <c r="AO60" s="152">
        <v>1</v>
      </c>
      <c r="AP60" s="152">
        <v>1</v>
      </c>
      <c r="AQ60" s="152">
        <v>1</v>
      </c>
      <c r="AR60" s="152">
        <v>1</v>
      </c>
      <c r="AS60" s="152">
        <v>1</v>
      </c>
      <c r="AT60" s="152">
        <v>1</v>
      </c>
      <c r="AU60" s="152">
        <v>1</v>
      </c>
      <c r="AV60" s="152">
        <v>1</v>
      </c>
      <c r="AW60" s="152">
        <v>1</v>
      </c>
    </row>
    <row r="61" spans="1:50" ht="21.65" customHeight="1">
      <c r="A61" s="901" t="str">
        <f>Table3[[#This Row],[Product]]</f>
        <v>LPG-P</v>
      </c>
      <c r="B61" s="28" t="s">
        <v>25</v>
      </c>
      <c r="C61" s="28" t="s">
        <v>59</v>
      </c>
      <c r="D61" s="902"/>
      <c r="E61" s="903"/>
      <c r="F61" s="977">
        <v>0</v>
      </c>
      <c r="G61" s="1009">
        <v>0</v>
      </c>
      <c r="H61" s="815">
        <v>0</v>
      </c>
      <c r="I61" s="1235">
        <v>0</v>
      </c>
      <c r="J61" s="1283">
        <v>0</v>
      </c>
      <c r="K61" s="904"/>
      <c r="L61" s="904"/>
      <c r="M61" s="904"/>
      <c r="N61" s="904"/>
      <c r="O61" s="904"/>
      <c r="P61" s="904"/>
      <c r="Q61" s="905">
        <f>SUM(E61:P61)</f>
        <v>0</v>
      </c>
      <c r="T61" s="780" t="s">
        <v>231</v>
      </c>
      <c r="U61" s="781" t="s">
        <v>276</v>
      </c>
      <c r="V61" s="762">
        <f t="shared" ref="V61:AG64" si="95">SUM(E85)</f>
        <v>0</v>
      </c>
      <c r="W61" s="762">
        <f t="shared" si="95"/>
        <v>0</v>
      </c>
      <c r="X61" s="762">
        <f t="shared" si="95"/>
        <v>0</v>
      </c>
      <c r="Y61" s="762">
        <f t="shared" si="95"/>
        <v>0</v>
      </c>
      <c r="Z61" s="762">
        <f t="shared" si="95"/>
        <v>0</v>
      </c>
      <c r="AA61" s="762">
        <f t="shared" si="95"/>
        <v>0</v>
      </c>
      <c r="AB61" s="762">
        <f t="shared" si="95"/>
        <v>0</v>
      </c>
      <c r="AC61" s="762">
        <f t="shared" si="95"/>
        <v>0</v>
      </c>
      <c r="AD61" s="762">
        <f t="shared" si="95"/>
        <v>0</v>
      </c>
      <c r="AE61" s="762">
        <f t="shared" si="95"/>
        <v>0</v>
      </c>
      <c r="AF61" s="762">
        <f t="shared" si="95"/>
        <v>0</v>
      </c>
      <c r="AG61" s="762">
        <f t="shared" si="95"/>
        <v>0</v>
      </c>
      <c r="AH61" s="763">
        <f t="shared" si="70"/>
        <v>0</v>
      </c>
      <c r="AI61" s="706"/>
    </row>
    <row r="62" spans="1:50" ht="21.65" customHeight="1">
      <c r="A62" s="901" t="str">
        <f>Table3[[#This Row],[Product]]</f>
        <v>LPG-P</v>
      </c>
      <c r="B62" s="28" t="s">
        <v>25</v>
      </c>
      <c r="C62" s="28" t="s">
        <v>60</v>
      </c>
      <c r="D62" s="902"/>
      <c r="E62" s="903"/>
      <c r="F62" s="977">
        <v>17897.321</v>
      </c>
      <c r="G62" s="1009">
        <v>0</v>
      </c>
      <c r="H62" s="1138">
        <v>6000</v>
      </c>
      <c r="I62" s="1235">
        <v>8000</v>
      </c>
      <c r="J62" s="1283">
        <v>0</v>
      </c>
      <c r="K62" s="904"/>
      <c r="L62" s="904"/>
      <c r="M62" s="904"/>
      <c r="N62" s="904"/>
      <c r="O62" s="904"/>
      <c r="P62" s="904"/>
      <c r="Q62" s="905">
        <f>SUM(E62:P62)</f>
        <v>31897.321</v>
      </c>
      <c r="T62" s="780" t="s">
        <v>231</v>
      </c>
      <c r="U62" s="781" t="s">
        <v>538</v>
      </c>
      <c r="V62" s="762">
        <f t="shared" si="95"/>
        <v>0</v>
      </c>
      <c r="W62" s="762">
        <f t="shared" si="95"/>
        <v>0</v>
      </c>
      <c r="X62" s="762">
        <f t="shared" si="95"/>
        <v>0</v>
      </c>
      <c r="Y62" s="762">
        <f t="shared" si="95"/>
        <v>0</v>
      </c>
      <c r="Z62" s="762">
        <f t="shared" si="95"/>
        <v>0</v>
      </c>
      <c r="AA62" s="762">
        <f t="shared" si="95"/>
        <v>0</v>
      </c>
      <c r="AB62" s="762">
        <f t="shared" si="95"/>
        <v>0</v>
      </c>
      <c r="AC62" s="762">
        <f t="shared" si="95"/>
        <v>0</v>
      </c>
      <c r="AD62" s="762">
        <f t="shared" si="95"/>
        <v>0</v>
      </c>
      <c r="AE62" s="762">
        <f t="shared" si="95"/>
        <v>0</v>
      </c>
      <c r="AF62" s="762">
        <f t="shared" si="95"/>
        <v>0</v>
      </c>
      <c r="AG62" s="762">
        <f t="shared" si="95"/>
        <v>0</v>
      </c>
      <c r="AH62" s="763">
        <f t="shared" si="70"/>
        <v>0</v>
      </c>
      <c r="AI62" s="706"/>
    </row>
    <row r="63" spans="1:50" ht="21.65" customHeight="1">
      <c r="A63" s="866" t="str">
        <f>Table3[[#This Row],[Product]]</f>
        <v>LPG-P</v>
      </c>
      <c r="B63" s="28" t="s">
        <v>25</v>
      </c>
      <c r="C63" s="28" t="s">
        <v>61</v>
      </c>
      <c r="D63" s="689">
        <v>0</v>
      </c>
      <c r="E63" s="815">
        <v>0</v>
      </c>
      <c r="F63" s="977">
        <v>0</v>
      </c>
      <c r="G63" s="1009">
        <v>0</v>
      </c>
      <c r="H63" s="815">
        <v>0</v>
      </c>
      <c r="I63" s="1235">
        <v>0</v>
      </c>
      <c r="J63" s="1283">
        <v>0</v>
      </c>
      <c r="K63" s="229"/>
      <c r="L63" s="229"/>
      <c r="M63" s="229"/>
      <c r="N63" s="229"/>
      <c r="O63" s="229"/>
      <c r="P63" s="229"/>
      <c r="Q63" s="853">
        <f t="shared" si="85"/>
        <v>0</v>
      </c>
      <c r="T63" s="780" t="s">
        <v>232</v>
      </c>
      <c r="U63" s="781" t="s">
        <v>276</v>
      </c>
      <c r="V63" s="762">
        <f t="shared" si="95"/>
        <v>0</v>
      </c>
      <c r="W63" s="762">
        <f t="shared" si="95"/>
        <v>0</v>
      </c>
      <c r="X63" s="762">
        <f t="shared" si="95"/>
        <v>0</v>
      </c>
      <c r="Y63" s="762">
        <f t="shared" si="95"/>
        <v>0</v>
      </c>
      <c r="Z63" s="762">
        <f t="shared" si="95"/>
        <v>0</v>
      </c>
      <c r="AA63" s="762">
        <f t="shared" si="95"/>
        <v>0</v>
      </c>
      <c r="AB63" s="762">
        <f t="shared" si="95"/>
        <v>0</v>
      </c>
      <c r="AC63" s="762">
        <f t="shared" si="95"/>
        <v>0</v>
      </c>
      <c r="AD63" s="762">
        <f t="shared" si="95"/>
        <v>0</v>
      </c>
      <c r="AE63" s="762">
        <f t="shared" si="95"/>
        <v>0</v>
      </c>
      <c r="AF63" s="762">
        <f t="shared" si="95"/>
        <v>0</v>
      </c>
      <c r="AG63" s="762">
        <f t="shared" si="95"/>
        <v>0</v>
      </c>
      <c r="AH63" s="763">
        <f t="shared" si="70"/>
        <v>0</v>
      </c>
      <c r="AI63" s="706"/>
    </row>
    <row r="64" spans="1:50" ht="21.65" customHeight="1">
      <c r="A64" s="866" t="str">
        <f>Table3[[#This Row],[Product]]</f>
        <v>LPG-P</v>
      </c>
      <c r="B64" s="32" t="s">
        <v>25</v>
      </c>
      <c r="C64" s="28" t="s">
        <v>62</v>
      </c>
      <c r="D64" s="689">
        <v>0</v>
      </c>
      <c r="E64" s="815">
        <v>0</v>
      </c>
      <c r="F64" s="977">
        <v>0</v>
      </c>
      <c r="G64" s="1009">
        <v>0</v>
      </c>
      <c r="H64" s="815">
        <v>0</v>
      </c>
      <c r="I64" s="1235">
        <v>0</v>
      </c>
      <c r="J64" s="1283">
        <v>0</v>
      </c>
      <c r="K64" s="229"/>
      <c r="L64" s="229"/>
      <c r="M64" s="229"/>
      <c r="N64" s="229"/>
      <c r="O64" s="229"/>
      <c r="P64" s="229"/>
      <c r="Q64" s="853">
        <f t="shared" si="85"/>
        <v>0</v>
      </c>
      <c r="T64" s="780" t="s">
        <v>232</v>
      </c>
      <c r="U64" s="781" t="s">
        <v>538</v>
      </c>
      <c r="V64" s="762">
        <f t="shared" si="95"/>
        <v>0</v>
      </c>
      <c r="W64" s="762">
        <f t="shared" si="95"/>
        <v>0</v>
      </c>
      <c r="X64" s="762">
        <f t="shared" si="95"/>
        <v>0</v>
      </c>
      <c r="Y64" s="762">
        <f t="shared" si="95"/>
        <v>0</v>
      </c>
      <c r="Z64" s="762">
        <f t="shared" si="95"/>
        <v>0</v>
      </c>
      <c r="AA64" s="762">
        <f t="shared" si="95"/>
        <v>0</v>
      </c>
      <c r="AB64" s="762">
        <f t="shared" si="95"/>
        <v>0</v>
      </c>
      <c r="AC64" s="762">
        <f t="shared" si="95"/>
        <v>0</v>
      </c>
      <c r="AD64" s="762">
        <f t="shared" si="95"/>
        <v>0</v>
      </c>
      <c r="AE64" s="762">
        <f t="shared" si="95"/>
        <v>0</v>
      </c>
      <c r="AF64" s="762">
        <f t="shared" si="95"/>
        <v>0</v>
      </c>
      <c r="AG64" s="762">
        <f t="shared" si="95"/>
        <v>0</v>
      </c>
      <c r="AH64" s="763">
        <f t="shared" si="70"/>
        <v>0</v>
      </c>
      <c r="AI64" s="706"/>
    </row>
    <row r="65" spans="1:36" ht="21.65" customHeight="1" thickBot="1">
      <c r="A65" s="866" t="str">
        <f>Table3[[#This Row],[Product]]</f>
        <v>LPG-P</v>
      </c>
      <c r="B65" s="28" t="s">
        <v>25</v>
      </c>
      <c r="C65" s="28" t="s">
        <v>63</v>
      </c>
      <c r="D65" s="689">
        <v>0</v>
      </c>
      <c r="E65" s="815">
        <v>0</v>
      </c>
      <c r="F65" s="977">
        <v>0</v>
      </c>
      <c r="G65" s="1009">
        <v>0</v>
      </c>
      <c r="H65" s="815">
        <v>0</v>
      </c>
      <c r="I65" s="1235">
        <v>0</v>
      </c>
      <c r="J65" s="1283">
        <v>0</v>
      </c>
      <c r="K65" s="229"/>
      <c r="L65" s="229"/>
      <c r="M65" s="229"/>
      <c r="N65" s="229"/>
      <c r="O65" s="229"/>
      <c r="P65" s="229"/>
      <c r="Q65" s="853">
        <f t="shared" si="85"/>
        <v>0</v>
      </c>
      <c r="T65" s="782" t="s">
        <v>177</v>
      </c>
      <c r="U65" s="783" t="s">
        <v>568</v>
      </c>
      <c r="V65" s="766">
        <f>SUM(V44:V64)</f>
        <v>167161.603</v>
      </c>
      <c r="W65" s="766">
        <f t="shared" ref="W65:AG65" si="96">SUM(W44:W64)</f>
        <v>135580.427</v>
      </c>
      <c r="X65" s="766">
        <f t="shared" si="96"/>
        <v>172257.57500000001</v>
      </c>
      <c r="Y65" s="766">
        <f t="shared" si="96"/>
        <v>147986.53899999999</v>
      </c>
      <c r="Z65" s="766">
        <f t="shared" si="96"/>
        <v>153392.10500000001</v>
      </c>
      <c r="AA65" s="766">
        <f t="shared" si="96"/>
        <v>159118.81400000001</v>
      </c>
      <c r="AB65" s="766">
        <f t="shared" si="96"/>
        <v>200159.78031</v>
      </c>
      <c r="AC65" s="766">
        <f t="shared" si="96"/>
        <v>166262.64504999999</v>
      </c>
      <c r="AD65" s="766">
        <f t="shared" si="96"/>
        <v>164577.45454000001</v>
      </c>
      <c r="AE65" s="766">
        <f t="shared" si="96"/>
        <v>165587.17173</v>
      </c>
      <c r="AF65" s="766">
        <f t="shared" si="96"/>
        <v>165243.78417</v>
      </c>
      <c r="AG65" s="766">
        <f t="shared" si="96"/>
        <v>167322.7873</v>
      </c>
      <c r="AH65" s="767">
        <f>SUM(V65:AG65)</f>
        <v>1964650.6861</v>
      </c>
      <c r="AI65" s="706"/>
      <c r="AJ65" s="705"/>
    </row>
    <row r="66" spans="1:36" ht="21.65" customHeight="1">
      <c r="A66" s="866" t="str">
        <f>Table3[[#This Row],[Product]]</f>
        <v>LPG-P</v>
      </c>
      <c r="B66" s="32" t="s">
        <v>34</v>
      </c>
      <c r="C66" s="28" t="s">
        <v>64</v>
      </c>
      <c r="D66" s="689">
        <v>0</v>
      </c>
      <c r="E66" s="815">
        <v>0</v>
      </c>
      <c r="F66" s="977">
        <v>0</v>
      </c>
      <c r="G66" s="1009">
        <v>0</v>
      </c>
      <c r="H66" s="815">
        <v>0</v>
      </c>
      <c r="I66" s="1235">
        <v>0</v>
      </c>
      <c r="J66" s="1283">
        <v>0</v>
      </c>
      <c r="K66" s="229"/>
      <c r="L66" s="229"/>
      <c r="M66" s="229"/>
      <c r="N66" s="229"/>
      <c r="O66" s="229"/>
      <c r="P66" s="229"/>
      <c r="Q66" s="853">
        <f t="shared" si="85"/>
        <v>0</v>
      </c>
      <c r="T66" s="749" t="s">
        <v>71</v>
      </c>
      <c r="U66" s="702"/>
      <c r="V66" s="705"/>
      <c r="W66" s="705"/>
      <c r="X66" s="705"/>
      <c r="Y66" s="705"/>
      <c r="Z66" s="705"/>
      <c r="AA66" s="705"/>
      <c r="AB66" s="705"/>
      <c r="AC66" s="705"/>
      <c r="AD66" s="705"/>
      <c r="AE66" s="705"/>
      <c r="AF66" s="705"/>
      <c r="AG66" s="705"/>
      <c r="AH66" s="705"/>
      <c r="AI66" s="706"/>
    </row>
    <row r="67" spans="1:36" ht="21.65" customHeight="1">
      <c r="A67" s="866" t="str">
        <f>Table3[[#This Row],[Product]]</f>
        <v>LPG-P</v>
      </c>
      <c r="B67" s="32"/>
      <c r="C67" s="33" t="s">
        <v>35</v>
      </c>
      <c r="D67" s="961">
        <f t="shared" ref="D67:P67" si="97">SUM(D53:D58)</f>
        <v>29856.078999999998</v>
      </c>
      <c r="E67" s="961">
        <f t="shared" si="97"/>
        <v>32630.183000000001</v>
      </c>
      <c r="F67" s="827">
        <f t="shared" si="97"/>
        <v>20511.184000000001</v>
      </c>
      <c r="G67" s="827">
        <f>SUM(G53:G58)</f>
        <v>31669.214</v>
      </c>
      <c r="H67" s="1042">
        <f t="shared" ref="H67:I67" si="98">SUM(H53:H58)</f>
        <v>21227.508999999998</v>
      </c>
      <c r="I67" s="827">
        <f t="shared" si="98"/>
        <v>39088.313999999998</v>
      </c>
      <c r="J67" s="827">
        <f t="shared" si="97"/>
        <v>42075.618999999999</v>
      </c>
      <c r="K67" s="804">
        <f t="shared" si="97"/>
        <v>66116</v>
      </c>
      <c r="L67" s="804">
        <f t="shared" si="97"/>
        <v>33820</v>
      </c>
      <c r="M67" s="804">
        <f t="shared" si="97"/>
        <v>33379</v>
      </c>
      <c r="N67" s="804">
        <f t="shared" si="97"/>
        <v>33776</v>
      </c>
      <c r="O67" s="804">
        <f t="shared" si="97"/>
        <v>33000</v>
      </c>
      <c r="P67" s="804">
        <f t="shared" si="97"/>
        <v>34100</v>
      </c>
      <c r="Q67" s="854">
        <f t="shared" si="85"/>
        <v>421393.02299999999</v>
      </c>
      <c r="T67" s="147" t="s">
        <v>218</v>
      </c>
      <c r="U67" s="147"/>
      <c r="V67" s="705">
        <f t="shared" ref="V67:AG67" si="99">E135</f>
        <v>24661.67</v>
      </c>
      <c r="W67" s="705">
        <f t="shared" si="99"/>
        <v>24769.89</v>
      </c>
      <c r="X67" s="705">
        <f t="shared" si="99"/>
        <v>26391.09</v>
      </c>
      <c r="Y67" s="705">
        <f t="shared" si="99"/>
        <v>19204.689999999999</v>
      </c>
      <c r="Z67" s="705">
        <f t="shared" si="99"/>
        <v>26500.12</v>
      </c>
      <c r="AA67" s="705">
        <f t="shared" si="99"/>
        <v>26500.12</v>
      </c>
      <c r="AB67" s="705">
        <f t="shared" si="99"/>
        <v>18000</v>
      </c>
      <c r="AC67" s="705">
        <f t="shared" si="99"/>
        <v>22000</v>
      </c>
      <c r="AD67" s="705">
        <f t="shared" si="99"/>
        <v>19000</v>
      </c>
      <c r="AE67" s="705">
        <f t="shared" si="99"/>
        <v>17000</v>
      </c>
      <c r="AF67" s="705">
        <f t="shared" si="99"/>
        <v>20500</v>
      </c>
      <c r="AG67" s="705">
        <f t="shared" si="99"/>
        <v>21000</v>
      </c>
      <c r="AH67" s="705">
        <f>SUM(V67:AG67)</f>
        <v>265527.57999999996</v>
      </c>
      <c r="AI67" s="706"/>
    </row>
    <row r="68" spans="1:36" ht="21.65" customHeight="1">
      <c r="A68" s="866" t="str">
        <f>Table3[[#This Row],[Product]]</f>
        <v>LPG-P</v>
      </c>
      <c r="B68" s="32"/>
      <c r="C68" s="33" t="s">
        <v>36</v>
      </c>
      <c r="D68" s="961">
        <f t="shared" ref="D68:P68" si="100">SUM(D59:D66)</f>
        <v>0</v>
      </c>
      <c r="E68" s="961">
        <f t="shared" si="100"/>
        <v>0</v>
      </c>
      <c r="F68" s="827">
        <f t="shared" si="100"/>
        <v>17897.321</v>
      </c>
      <c r="G68" s="827">
        <f t="shared" si="100"/>
        <v>4458.8500000000004</v>
      </c>
      <c r="H68" s="1042">
        <f t="shared" si="100"/>
        <v>29283.06</v>
      </c>
      <c r="I68" s="827">
        <f t="shared" ref="I68" si="101">SUM(I59:I66)</f>
        <v>30199.370999999999</v>
      </c>
      <c r="J68" s="827">
        <f t="shared" si="100"/>
        <v>19241.03</v>
      </c>
      <c r="K68" s="804">
        <f t="shared" si="100"/>
        <v>3000</v>
      </c>
      <c r="L68" s="804">
        <f t="shared" si="100"/>
        <v>3000</v>
      </c>
      <c r="M68" s="804">
        <f t="shared" si="100"/>
        <v>3000</v>
      </c>
      <c r="N68" s="804">
        <f t="shared" si="100"/>
        <v>3000</v>
      </c>
      <c r="O68" s="804">
        <f t="shared" si="100"/>
        <v>3000</v>
      </c>
      <c r="P68" s="804">
        <f t="shared" si="100"/>
        <v>3000</v>
      </c>
      <c r="Q68" s="854">
        <f t="shared" si="85"/>
        <v>119079.632</v>
      </c>
      <c r="T68" s="147" t="s">
        <v>220</v>
      </c>
      <c r="U68" s="147"/>
      <c r="V68" s="705">
        <f t="shared" ref="V68:AG68" si="102">SUM(E136:E137)</f>
        <v>29802.144</v>
      </c>
      <c r="W68" s="705">
        <f t="shared" si="102"/>
        <v>26055.308000000001</v>
      </c>
      <c r="X68" s="705">
        <f t="shared" si="102"/>
        <v>28237.832999999999</v>
      </c>
      <c r="Y68" s="705">
        <f t="shared" si="102"/>
        <v>28503.746999999999</v>
      </c>
      <c r="Z68" s="705">
        <f t="shared" si="102"/>
        <v>28386</v>
      </c>
      <c r="AA68" s="705">
        <f t="shared" si="102"/>
        <v>27335.118999999999</v>
      </c>
      <c r="AB68" s="705">
        <f t="shared" si="102"/>
        <v>21384</v>
      </c>
      <c r="AC68" s="705">
        <f t="shared" si="102"/>
        <v>28272</v>
      </c>
      <c r="AD68" s="705">
        <f t="shared" si="102"/>
        <v>27360</v>
      </c>
      <c r="AE68" s="705">
        <f t="shared" si="102"/>
        <v>25296.000000000004</v>
      </c>
      <c r="AF68" s="705">
        <f t="shared" si="102"/>
        <v>27360</v>
      </c>
      <c r="AG68" s="705">
        <f t="shared" si="102"/>
        <v>28272</v>
      </c>
      <c r="AH68" s="705">
        <f>SUM(V68:AG68)</f>
        <v>326264.15100000001</v>
      </c>
      <c r="AI68" s="706"/>
    </row>
    <row r="69" spans="1:36" ht="21.65" customHeight="1">
      <c r="A69" s="866" t="str">
        <f>Table3[[#This Row],[Product]]</f>
        <v>LPG-P</v>
      </c>
      <c r="B69" s="28"/>
      <c r="C69" s="33" t="s">
        <v>37</v>
      </c>
      <c r="D69" s="961">
        <f t="shared" ref="D69:P69" si="103">SUM(D53:D66)</f>
        <v>29856.078999999998</v>
      </c>
      <c r="E69" s="1277">
        <f t="shared" si="103"/>
        <v>32630.183000000001</v>
      </c>
      <c r="F69" s="827">
        <f t="shared" si="103"/>
        <v>38408.505000000005</v>
      </c>
      <c r="G69" s="827">
        <f t="shared" si="103"/>
        <v>36128.063999999998</v>
      </c>
      <c r="H69" s="1055">
        <f>SUM(H53:H66)</f>
        <v>50510.569000000003</v>
      </c>
      <c r="I69" s="827">
        <f t="shared" ref="I69" si="104">SUM(I53:I66)</f>
        <v>69287.684999999998</v>
      </c>
      <c r="J69" s="827">
        <f t="shared" si="103"/>
        <v>61316.648999999998</v>
      </c>
      <c r="K69" s="804">
        <f t="shared" si="103"/>
        <v>69116</v>
      </c>
      <c r="L69" s="804">
        <f t="shared" si="103"/>
        <v>36820</v>
      </c>
      <c r="M69" s="804">
        <f t="shared" si="103"/>
        <v>36379</v>
      </c>
      <c r="N69" s="804">
        <f t="shared" si="103"/>
        <v>36776</v>
      </c>
      <c r="O69" s="804">
        <f t="shared" si="103"/>
        <v>36000</v>
      </c>
      <c r="P69" s="804">
        <f t="shared" si="103"/>
        <v>37100</v>
      </c>
      <c r="Q69" s="854">
        <f t="shared" si="85"/>
        <v>540472.65500000003</v>
      </c>
      <c r="T69" s="147" t="s">
        <v>233</v>
      </c>
      <c r="U69" s="147"/>
      <c r="V69" s="705">
        <f t="shared" ref="V69:AG69" si="105">SUM(E138:E140)</f>
        <v>1200.547</v>
      </c>
      <c r="W69" s="705">
        <f t="shared" si="105"/>
        <v>1228.6950000000002</v>
      </c>
      <c r="X69" s="705">
        <f t="shared" si="105"/>
        <v>1199.92</v>
      </c>
      <c r="Y69" s="705">
        <f t="shared" si="105"/>
        <v>1201.556</v>
      </c>
      <c r="Z69" s="705">
        <f t="shared" si="105"/>
        <v>1198.232</v>
      </c>
      <c r="AA69" s="705">
        <f t="shared" si="105"/>
        <v>1202.8030000000001</v>
      </c>
      <c r="AB69" s="705">
        <f t="shared" si="105"/>
        <v>2397.6000000000004</v>
      </c>
      <c r="AC69" s="705">
        <f t="shared" si="105"/>
        <v>3693.6</v>
      </c>
      <c r="AD69" s="705">
        <f t="shared" si="105"/>
        <v>2462.4</v>
      </c>
      <c r="AE69" s="705">
        <f t="shared" si="105"/>
        <v>3693.6</v>
      </c>
      <c r="AF69" s="705">
        <f t="shared" si="105"/>
        <v>2462.4</v>
      </c>
      <c r="AG69" s="705">
        <f t="shared" si="105"/>
        <v>3693.6</v>
      </c>
      <c r="AH69" s="705">
        <f>SUM(V69:AG69)</f>
        <v>25634.953000000001</v>
      </c>
      <c r="AI69" s="706"/>
    </row>
    <row r="70" spans="1:36" ht="21.65" customHeight="1">
      <c r="A70" s="867" t="str">
        <f>Table3[[#This Row],[Product]]</f>
        <v>LPG-D</v>
      </c>
      <c r="B70" s="225" t="s">
        <v>25</v>
      </c>
      <c r="C70" s="35" t="s">
        <v>87</v>
      </c>
      <c r="D70" s="689">
        <v>315.47000000000003</v>
      </c>
      <c r="E70" s="689">
        <v>404.82</v>
      </c>
      <c r="F70" s="977">
        <v>386.61</v>
      </c>
      <c r="G70" s="1012">
        <v>464.82</v>
      </c>
      <c r="H70" s="1131">
        <v>343.02</v>
      </c>
      <c r="I70" s="1245">
        <v>716.34</v>
      </c>
      <c r="J70" s="1300">
        <v>731.71</v>
      </c>
      <c r="K70" s="229">
        <f>'Rolling พี่เตย'!K63*1000</f>
        <v>800</v>
      </c>
      <c r="L70" s="229">
        <f>'Rolling พี่เตย'!L63*1000</f>
        <v>900</v>
      </c>
      <c r="M70" s="229">
        <f>'Rolling พี่เตย'!M63*1000</f>
        <v>800</v>
      </c>
      <c r="N70" s="229">
        <f>'Rolling พี่เตย'!N63*1000</f>
        <v>800</v>
      </c>
      <c r="O70" s="229">
        <f>'Rolling พี่เตย'!O63*1000</f>
        <v>700</v>
      </c>
      <c r="P70" s="229">
        <f>'Rolling พี่เตย'!P63*1000</f>
        <v>650</v>
      </c>
      <c r="Q70" s="853">
        <f>SUM(E70:P70)</f>
        <v>7697.32</v>
      </c>
      <c r="T70" s="147" t="s">
        <v>177</v>
      </c>
      <c r="U70" s="147"/>
      <c r="V70" s="705">
        <f>SUM(V67:V69)</f>
        <v>55664.360999999997</v>
      </c>
      <c r="W70" s="705">
        <f t="shared" ref="W70:AG70" si="106">SUM(W67:W69)</f>
        <v>52053.893000000004</v>
      </c>
      <c r="X70" s="705">
        <f t="shared" si="106"/>
        <v>55828.842999999993</v>
      </c>
      <c r="Y70" s="705">
        <f t="shared" si="106"/>
        <v>48909.992999999995</v>
      </c>
      <c r="Z70" s="705">
        <f t="shared" si="106"/>
        <v>56084.351999999999</v>
      </c>
      <c r="AA70" s="705">
        <f t="shared" si="106"/>
        <v>55038.042000000001</v>
      </c>
      <c r="AB70" s="705">
        <f t="shared" si="106"/>
        <v>41781.599999999999</v>
      </c>
      <c r="AC70" s="705">
        <f t="shared" si="106"/>
        <v>53965.599999999999</v>
      </c>
      <c r="AD70" s="705">
        <f t="shared" si="106"/>
        <v>48822.400000000001</v>
      </c>
      <c r="AE70" s="705">
        <f t="shared" si="106"/>
        <v>45989.599999999999</v>
      </c>
      <c r="AF70" s="705">
        <f t="shared" si="106"/>
        <v>50322.400000000001</v>
      </c>
      <c r="AG70" s="705">
        <f t="shared" si="106"/>
        <v>52965.599999999999</v>
      </c>
      <c r="AH70" s="705">
        <f>SUM(V70:AG70)</f>
        <v>617426.68399999989</v>
      </c>
      <c r="AI70" s="706"/>
    </row>
    <row r="71" spans="1:36" ht="21.65" customHeight="1">
      <c r="A71" s="867" t="str">
        <f>Table3[[#This Row],[Product]]</f>
        <v>LPG-D</v>
      </c>
      <c r="B71" s="28" t="s">
        <v>25</v>
      </c>
      <c r="C71" s="35" t="s">
        <v>88</v>
      </c>
      <c r="D71" s="689">
        <v>34743.309000000001</v>
      </c>
      <c r="E71" s="689">
        <v>47453.061999999998</v>
      </c>
      <c r="F71" s="977">
        <v>17649.971000000001</v>
      </c>
      <c r="G71" s="1012">
        <v>19842.664000000001</v>
      </c>
      <c r="H71" s="1131">
        <v>15380.053</v>
      </c>
      <c r="I71" s="1245">
        <v>31361.929</v>
      </c>
      <c r="J71" s="1300">
        <v>31037.107</v>
      </c>
      <c r="K71" s="229">
        <f>'Rolling พี่เตย'!K66*1000</f>
        <v>0</v>
      </c>
      <c r="L71" s="229">
        <f>'Rolling พี่เตย'!L66*1000</f>
        <v>32377.712349999994</v>
      </c>
      <c r="M71" s="229">
        <f>'Rolling พี่เตย'!M66*1000</f>
        <v>18606.191559999999</v>
      </c>
      <c r="N71" s="229">
        <f>'Rolling พี่เตย'!N66*1000</f>
        <v>19078.135450000005</v>
      </c>
      <c r="O71" s="229">
        <f>'Rolling พี่เตย'!O66*1000</f>
        <v>17041.927360000001</v>
      </c>
      <c r="P71" s="229">
        <f>'Rolling พี่เตย'!P66*1000</f>
        <v>24396.640840000004</v>
      </c>
      <c r="Q71" s="853">
        <f t="shared" ref="Q71:Q94" si="107">SUM(E71:P71)</f>
        <v>274225.39356</v>
      </c>
      <c r="T71" s="44" t="s">
        <v>79</v>
      </c>
      <c r="U71" s="702"/>
      <c r="V71" s="705"/>
      <c r="W71" s="705"/>
      <c r="X71" s="705"/>
      <c r="Y71" s="705"/>
      <c r="Z71" s="705"/>
      <c r="AA71" s="705"/>
      <c r="AB71" s="705"/>
      <c r="AC71" s="705"/>
      <c r="AD71" s="705"/>
      <c r="AE71" s="705"/>
      <c r="AF71" s="705"/>
      <c r="AG71" s="705"/>
      <c r="AH71" s="705"/>
      <c r="AI71" s="706"/>
    </row>
    <row r="72" spans="1:36" ht="21.65" customHeight="1">
      <c r="A72" s="867" t="str">
        <f>Table3[[#This Row],[Product]]</f>
        <v>LPG-D</v>
      </c>
      <c r="B72" s="28" t="s">
        <v>25</v>
      </c>
      <c r="C72" s="35" t="s">
        <v>89</v>
      </c>
      <c r="D72" s="689">
        <v>0</v>
      </c>
      <c r="E72" s="689">
        <v>0</v>
      </c>
      <c r="F72" s="977">
        <v>0</v>
      </c>
      <c r="G72" s="1012">
        <v>0</v>
      </c>
      <c r="H72" s="1131">
        <v>0</v>
      </c>
      <c r="I72" s="1245">
        <v>0</v>
      </c>
      <c r="J72" s="1300">
        <v>0</v>
      </c>
      <c r="K72" s="229">
        <f>'Rolling พี่เตย'!K65*1000</f>
        <v>64366.817089999997</v>
      </c>
      <c r="L72" s="229">
        <f>'Rolling พี่เตย'!L65*1000</f>
        <v>28000</v>
      </c>
      <c r="M72" s="229">
        <f>'Rolling พี่เตย'!M65*1000</f>
        <v>40000</v>
      </c>
      <c r="N72" s="229">
        <f>'Rolling พี่เตย'!N65*1000</f>
        <v>39000</v>
      </c>
      <c r="O72" s="229">
        <f>'Rolling พี่เตย'!O65*1000</f>
        <v>42000</v>
      </c>
      <c r="P72" s="229">
        <f>'Rolling พี่เตย'!P65*1000</f>
        <v>35000</v>
      </c>
      <c r="Q72" s="853">
        <f t="shared" si="107"/>
        <v>248366.81709</v>
      </c>
      <c r="T72" s="147" t="s">
        <v>220</v>
      </c>
      <c r="U72" s="147"/>
      <c r="V72" s="705">
        <f t="shared" ref="V72:AG72" si="108">SUM(E145:E147)</f>
        <v>2232.4760000000001</v>
      </c>
      <c r="W72" s="705">
        <f t="shared" si="108"/>
        <v>4037.73</v>
      </c>
      <c r="X72" s="705">
        <f t="shared" si="108"/>
        <v>4488.3209999999999</v>
      </c>
      <c r="Y72" s="705">
        <f t="shared" si="108"/>
        <v>4162.0110000000004</v>
      </c>
      <c r="Z72" s="705">
        <f t="shared" si="108"/>
        <v>3977.9569999999999</v>
      </c>
      <c r="AA72" s="705">
        <f t="shared" si="108"/>
        <v>3789.5529999999999</v>
      </c>
      <c r="AB72" s="705">
        <f t="shared" si="108"/>
        <v>4464</v>
      </c>
      <c r="AC72" s="705">
        <f t="shared" si="108"/>
        <v>4464</v>
      </c>
      <c r="AD72" s="705">
        <f t="shared" si="108"/>
        <v>4320</v>
      </c>
      <c r="AE72" s="705">
        <f t="shared" si="108"/>
        <v>4464</v>
      </c>
      <c r="AF72" s="705">
        <f t="shared" si="108"/>
        <v>4320</v>
      </c>
      <c r="AG72" s="705">
        <f t="shared" si="108"/>
        <v>4464</v>
      </c>
      <c r="AH72" s="705">
        <f>SUM(V72:AG72)</f>
        <v>49184.047999999995</v>
      </c>
    </row>
    <row r="73" spans="1:36" ht="21.65" customHeight="1">
      <c r="A73" s="867" t="str">
        <f>Table3[[#This Row],[Product]]</f>
        <v>LPG-D</v>
      </c>
      <c r="B73" s="28" t="s">
        <v>25</v>
      </c>
      <c r="C73" s="35" t="s">
        <v>90</v>
      </c>
      <c r="D73" s="689">
        <v>62073.292000000001</v>
      </c>
      <c r="E73" s="689">
        <v>60578.483999999997</v>
      </c>
      <c r="F73" s="977">
        <v>55915.62</v>
      </c>
      <c r="G73" s="1012">
        <v>61981.756000000001</v>
      </c>
      <c r="H73" s="1131">
        <v>53300.525000000001</v>
      </c>
      <c r="I73" s="1245">
        <v>53672.008000000002</v>
      </c>
      <c r="J73" s="1300">
        <v>54018.411999999997</v>
      </c>
      <c r="K73" s="229">
        <f>'Rolling พี่เตย'!K67*1000</f>
        <v>60369.780310000002</v>
      </c>
      <c r="L73" s="229">
        <f>'Rolling พี่เตย'!L67*1000</f>
        <v>61214.932699999998</v>
      </c>
      <c r="M73" s="229">
        <f>'Rolling พี่เตย'!M67*1000</f>
        <v>59591.262979999992</v>
      </c>
      <c r="N73" s="229">
        <f>'Rolling พี่เตย'!N67*1000</f>
        <v>60629.03628</v>
      </c>
      <c r="O73" s="229">
        <f>'Rolling พี่เตย'!O67*1000</f>
        <v>59921.856810000005</v>
      </c>
      <c r="P73" s="229">
        <f>'Rolling พี่เตย'!P67*1000</f>
        <v>61616.146459999989</v>
      </c>
      <c r="Q73" s="853">
        <f t="shared" si="107"/>
        <v>702809.82053999999</v>
      </c>
    </row>
    <row r="74" spans="1:36" ht="23.5">
      <c r="A74" s="867" t="str">
        <f>Table3[[#This Row],[Product]]</f>
        <v>LPG-D</v>
      </c>
      <c r="B74" s="28" t="s">
        <v>76</v>
      </c>
      <c r="C74" s="35" t="s">
        <v>91</v>
      </c>
      <c r="D74" s="689">
        <v>15287.896000000001</v>
      </c>
      <c r="E74" s="689">
        <v>11072.573</v>
      </c>
      <c r="F74" s="977">
        <v>6799.6890000000003</v>
      </c>
      <c r="G74" s="1012">
        <v>13433.808999999999</v>
      </c>
      <c r="H74" s="1131">
        <v>14837.337</v>
      </c>
      <c r="I74" s="1245">
        <v>15391.014999999999</v>
      </c>
      <c r="J74" s="1300">
        <v>12365.346</v>
      </c>
      <c r="K74" s="229">
        <f>'Rolling พี่เตย'!K114*1000</f>
        <v>9410</v>
      </c>
      <c r="L74" s="229">
        <f>'Rolling พี่เตย'!L114*1000</f>
        <v>13190</v>
      </c>
      <c r="M74" s="229">
        <f>'Rolling พี่เตย'!M114*1000</f>
        <v>15000</v>
      </c>
      <c r="N74" s="229">
        <f>'Rolling พี่เตย'!N114*1000</f>
        <v>15500</v>
      </c>
      <c r="O74" s="229">
        <f>'Rolling พี่เตย'!O114*1000</f>
        <v>15000</v>
      </c>
      <c r="P74" s="229">
        <f>'Rolling พี่เตย'!P114*1000</f>
        <v>15080</v>
      </c>
      <c r="Q74" s="853">
        <f t="shared" si="107"/>
        <v>157079.769</v>
      </c>
      <c r="T74" s="712" t="s">
        <v>66</v>
      </c>
      <c r="U74" s="702"/>
    </row>
    <row r="75" spans="1:36" ht="23.4" customHeight="1">
      <c r="A75" s="867" t="str">
        <f>Table3[[#This Row],[Product]]</f>
        <v>LPG-D</v>
      </c>
      <c r="B75" s="28" t="s">
        <v>25</v>
      </c>
      <c r="C75" s="35" t="s">
        <v>92</v>
      </c>
      <c r="D75" s="689">
        <v>529.65</v>
      </c>
      <c r="E75" s="689">
        <v>252.79</v>
      </c>
      <c r="F75" s="977">
        <v>378.67</v>
      </c>
      <c r="G75" s="1012">
        <v>498.78</v>
      </c>
      <c r="H75" s="1131">
        <v>499.29</v>
      </c>
      <c r="I75" s="1245">
        <v>397.05</v>
      </c>
      <c r="J75" s="1300">
        <v>549.02</v>
      </c>
      <c r="K75" s="229">
        <f>'Rolling พี่เตย'!K69*1000</f>
        <v>500</v>
      </c>
      <c r="L75" s="229">
        <f>'Rolling พี่เตย'!L69*1000</f>
        <v>500</v>
      </c>
      <c r="M75" s="229">
        <f>'Rolling พี่เตย'!M69*1000</f>
        <v>500</v>
      </c>
      <c r="N75" s="229">
        <f>'Rolling พี่เตย'!N69*1000</f>
        <v>500</v>
      </c>
      <c r="O75" s="229">
        <f>'Rolling พี่เตย'!O69*1000</f>
        <v>500</v>
      </c>
      <c r="P75" s="229">
        <f>'Rolling พี่เตย'!P69*1000</f>
        <v>500</v>
      </c>
      <c r="Q75" s="853">
        <f t="shared" si="107"/>
        <v>5575.6</v>
      </c>
      <c r="V75" s="43">
        <v>23377</v>
      </c>
      <c r="W75" s="43">
        <v>23408</v>
      </c>
      <c r="X75" s="43">
        <v>23437</v>
      </c>
      <c r="Y75" s="43">
        <v>23468</v>
      </c>
      <c r="Z75" s="43">
        <v>23498</v>
      </c>
      <c r="AA75" s="43">
        <v>23529</v>
      </c>
      <c r="AB75" s="43">
        <v>23559</v>
      </c>
      <c r="AC75" s="43">
        <v>23590</v>
      </c>
      <c r="AD75" s="43">
        <v>23621</v>
      </c>
      <c r="AE75" s="43">
        <v>23651</v>
      </c>
      <c r="AF75" s="43">
        <v>23682</v>
      </c>
      <c r="AG75" s="43">
        <v>23712</v>
      </c>
      <c r="AH75" s="526" t="s">
        <v>177</v>
      </c>
    </row>
    <row r="76" spans="1:36" ht="20.399999999999999" customHeight="1">
      <c r="A76" s="867" t="str">
        <f>Table3[[#This Row],[Product]]</f>
        <v>LPG-D</v>
      </c>
      <c r="B76" s="28" t="s">
        <v>25</v>
      </c>
      <c r="C76" s="35" t="s">
        <v>93</v>
      </c>
      <c r="D76" s="689">
        <v>6935.7240000000002</v>
      </c>
      <c r="E76" s="689">
        <v>3689.8290000000002</v>
      </c>
      <c r="F76" s="977">
        <v>12331.826999999999</v>
      </c>
      <c r="G76" s="1012">
        <v>19618.433000000001</v>
      </c>
      <c r="H76" s="1131">
        <v>16919.66</v>
      </c>
      <c r="I76" s="1245">
        <v>16870.548999999999</v>
      </c>
      <c r="J76" s="1300">
        <v>19311.197</v>
      </c>
      <c r="K76" s="229">
        <f>'Rolling พี่เตย'!K68*1000</f>
        <v>15000</v>
      </c>
      <c r="L76" s="229">
        <f>'Rolling พี่เตย'!L68*1000</f>
        <v>15000</v>
      </c>
      <c r="M76" s="229">
        <f>'Rolling พี่เตย'!M68*1000</f>
        <v>15000</v>
      </c>
      <c r="N76" s="229">
        <f>'Rolling พี่เตย'!N68*1000</f>
        <v>15000</v>
      </c>
      <c r="O76" s="229">
        <f>'Rolling พี่เตย'!O68*1000</f>
        <v>15000</v>
      </c>
      <c r="P76" s="229">
        <f>'Rolling พี่เตย'!P68*1000</f>
        <v>15000</v>
      </c>
      <c r="Q76" s="853">
        <f t="shared" si="107"/>
        <v>178741.495</v>
      </c>
      <c r="S76" s="709"/>
      <c r="T76" s="713" t="s">
        <v>134</v>
      </c>
      <c r="V76" s="705">
        <f t="shared" ref="V76:AG76" si="109">SUM(E97:E99,E101,E103:E105,E108:E115)</f>
        <v>19440.349999999999</v>
      </c>
      <c r="W76" s="705">
        <f t="shared" si="109"/>
        <v>15194.012999999999</v>
      </c>
      <c r="X76" s="705">
        <f t="shared" si="109"/>
        <v>0</v>
      </c>
      <c r="Y76" s="705">
        <f t="shared" si="109"/>
        <v>1890.8109999999999</v>
      </c>
      <c r="Z76" s="705">
        <f t="shared" si="109"/>
        <v>0</v>
      </c>
      <c r="AA76" s="705">
        <f t="shared" si="109"/>
        <v>0</v>
      </c>
      <c r="AB76" s="705">
        <f t="shared" si="109"/>
        <v>4120</v>
      </c>
      <c r="AC76" s="705">
        <f t="shared" si="109"/>
        <v>4120</v>
      </c>
      <c r="AD76" s="705">
        <f t="shared" si="109"/>
        <v>4120</v>
      </c>
      <c r="AE76" s="705">
        <f t="shared" si="109"/>
        <v>4120</v>
      </c>
      <c r="AF76" s="705">
        <f t="shared" si="109"/>
        <v>4120</v>
      </c>
      <c r="AG76" s="705">
        <f t="shared" si="109"/>
        <v>4120</v>
      </c>
      <c r="AH76" s="705">
        <f>SUM(V76:AG76)</f>
        <v>61245.173999999999</v>
      </c>
    </row>
    <row r="77" spans="1:36" ht="20.399999999999999" customHeight="1">
      <c r="A77" s="867" t="str">
        <f>Table3[[#This Row],[Product]]</f>
        <v>LPG-D</v>
      </c>
      <c r="B77" s="28" t="s">
        <v>25</v>
      </c>
      <c r="C77" s="35" t="s">
        <v>95</v>
      </c>
      <c r="D77" s="689">
        <v>25533.948</v>
      </c>
      <c r="E77" s="689">
        <v>25189.797999999999</v>
      </c>
      <c r="F77" s="977">
        <v>24790.367999999999</v>
      </c>
      <c r="G77" s="1012">
        <v>25222.252</v>
      </c>
      <c r="H77" s="1131">
        <v>23484.435000000001</v>
      </c>
      <c r="I77" s="1245">
        <v>14694.244000000001</v>
      </c>
      <c r="J77" s="1300">
        <v>11497.325999999999</v>
      </c>
      <c r="K77" s="229">
        <f>'Rolling พี่เตย'!K70*1000</f>
        <v>27000</v>
      </c>
      <c r="L77" s="229">
        <f>'Rolling พี่เตย'!L70*1000</f>
        <v>0</v>
      </c>
      <c r="M77" s="229">
        <f>'Rolling พี่เตย'!M70*1000</f>
        <v>0</v>
      </c>
      <c r="N77" s="229">
        <f>'Rolling พี่เตย'!N70*1000</f>
        <v>0</v>
      </c>
      <c r="O77" s="229">
        <f>'Rolling พี่เตย'!O70*1000</f>
        <v>0</v>
      </c>
      <c r="P77" s="229">
        <f>'Rolling พี่เตย'!P70*1000</f>
        <v>0</v>
      </c>
      <c r="Q77" s="853">
        <f t="shared" si="107"/>
        <v>151878.42300000001</v>
      </c>
      <c r="S77" s="709"/>
      <c r="T77" s="713" t="s">
        <v>132</v>
      </c>
      <c r="V77" s="705">
        <f t="shared" ref="V77:AG77" si="110">SUM(E100,E106,E116)</f>
        <v>7872.0450000000001</v>
      </c>
      <c r="W77" s="705">
        <f t="shared" si="110"/>
        <v>7124.9719999999998</v>
      </c>
      <c r="X77" s="705">
        <f t="shared" si="110"/>
        <v>6732.880000000001</v>
      </c>
      <c r="Y77" s="705">
        <f t="shared" si="110"/>
        <v>5637.5020000000004</v>
      </c>
      <c r="Z77" s="705">
        <f t="shared" si="110"/>
        <v>5489.4180000000006</v>
      </c>
      <c r="AA77" s="705">
        <f t="shared" si="110"/>
        <v>4846.9219999999996</v>
      </c>
      <c r="AB77" s="705">
        <f t="shared" si="110"/>
        <v>0</v>
      </c>
      <c r="AC77" s="705">
        <f t="shared" si="110"/>
        <v>0</v>
      </c>
      <c r="AD77" s="705">
        <f t="shared" si="110"/>
        <v>0</v>
      </c>
      <c r="AE77" s="705">
        <f t="shared" si="110"/>
        <v>0</v>
      </c>
      <c r="AF77" s="705">
        <f t="shared" si="110"/>
        <v>0</v>
      </c>
      <c r="AG77" s="705">
        <f t="shared" si="110"/>
        <v>0</v>
      </c>
      <c r="AH77" s="705">
        <f t="shared" ref="AH77:AH80" si="111">SUM(V77:AG77)</f>
        <v>37703.739000000001</v>
      </c>
    </row>
    <row r="78" spans="1:36" ht="20.399999999999999" customHeight="1">
      <c r="A78" s="867" t="str">
        <f>Table3[[#This Row],[Product]]</f>
        <v>LPG-D</v>
      </c>
      <c r="B78" s="28" t="s">
        <v>25</v>
      </c>
      <c r="C78" s="35" t="s">
        <v>96</v>
      </c>
      <c r="D78" s="689">
        <v>0</v>
      </c>
      <c r="E78" s="689">
        <v>0</v>
      </c>
      <c r="F78" s="977">
        <v>0</v>
      </c>
      <c r="G78" s="1012">
        <v>0</v>
      </c>
      <c r="H78" s="1131">
        <v>0</v>
      </c>
      <c r="I78" s="1245">
        <v>0</v>
      </c>
      <c r="J78" s="1300">
        <v>0</v>
      </c>
      <c r="K78" s="229"/>
      <c r="L78" s="229"/>
      <c r="M78" s="229"/>
      <c r="N78" s="229"/>
      <c r="O78" s="229"/>
      <c r="P78" s="229"/>
      <c r="Q78" s="853">
        <f t="shared" si="107"/>
        <v>0</v>
      </c>
      <c r="T78" s="713" t="s">
        <v>131</v>
      </c>
      <c r="V78" s="705">
        <f t="shared" ref="V78:AG78" si="112">SUM(E96)</f>
        <v>5510.55</v>
      </c>
      <c r="W78" s="705">
        <f t="shared" si="112"/>
        <v>5219.46</v>
      </c>
      <c r="X78" s="705">
        <f t="shared" si="112"/>
        <v>5904.72</v>
      </c>
      <c r="Y78" s="705">
        <f t="shared" si="112"/>
        <v>5819.17</v>
      </c>
      <c r="Z78" s="705">
        <f t="shared" si="112"/>
        <v>5859.7</v>
      </c>
      <c r="AA78" s="705">
        <f t="shared" si="112"/>
        <v>5992.23</v>
      </c>
      <c r="AB78" s="705">
        <f t="shared" si="112"/>
        <v>5826</v>
      </c>
      <c r="AC78" s="705">
        <f t="shared" si="112"/>
        <v>5826</v>
      </c>
      <c r="AD78" s="705">
        <f t="shared" si="112"/>
        <v>5826</v>
      </c>
      <c r="AE78" s="705">
        <f t="shared" si="112"/>
        <v>5826</v>
      </c>
      <c r="AF78" s="705">
        <f t="shared" si="112"/>
        <v>5826</v>
      </c>
      <c r="AG78" s="705">
        <f t="shared" si="112"/>
        <v>5826</v>
      </c>
      <c r="AH78" s="705">
        <f t="shared" si="111"/>
        <v>69261.83</v>
      </c>
    </row>
    <row r="79" spans="1:36" ht="20.399999999999999" customHeight="1">
      <c r="A79" s="867" t="str">
        <f>Table3[[#This Row],[Product]]</f>
        <v>LPG-D</v>
      </c>
      <c r="B79" s="28" t="s">
        <v>25</v>
      </c>
      <c r="C79" s="35" t="s">
        <v>98</v>
      </c>
      <c r="D79" s="689">
        <v>0</v>
      </c>
      <c r="E79" s="689">
        <v>0</v>
      </c>
      <c r="F79" s="977">
        <v>0</v>
      </c>
      <c r="G79" s="1012">
        <v>0</v>
      </c>
      <c r="H79" s="1131">
        <v>0</v>
      </c>
      <c r="I79" s="1245">
        <v>0</v>
      </c>
      <c r="J79" s="1300">
        <v>0</v>
      </c>
      <c r="K79" s="229">
        <f>'Rolling พี่เตย'!K79*1000</f>
        <v>0</v>
      </c>
      <c r="L79" s="229">
        <f>'Rolling พี่เตย'!L79*1000</f>
        <v>0</v>
      </c>
      <c r="M79" s="229">
        <f>'Rolling พี่เตย'!M79*1000</f>
        <v>0</v>
      </c>
      <c r="N79" s="229">
        <f>'Rolling พี่เตย'!N79*1000</f>
        <v>0</v>
      </c>
      <c r="O79" s="229">
        <f>'Rolling พี่เตย'!O79*1000</f>
        <v>0</v>
      </c>
      <c r="P79" s="229">
        <f>'Rolling พี่เตย'!P79*1000</f>
        <v>0</v>
      </c>
      <c r="Q79" s="853">
        <f t="shared" si="107"/>
        <v>0</v>
      </c>
      <c r="T79" s="713" t="s">
        <v>133</v>
      </c>
      <c r="V79" s="705">
        <f t="shared" ref="V79:AG79" si="113">SUM(E102,E107)</f>
        <v>0</v>
      </c>
      <c r="W79" s="705">
        <f t="shared" si="113"/>
        <v>2436.3040000000001</v>
      </c>
      <c r="X79" s="705">
        <f t="shared" si="113"/>
        <v>1219.7539999999999</v>
      </c>
      <c r="Y79" s="705">
        <f t="shared" si="113"/>
        <v>1221.6410000000001</v>
      </c>
      <c r="Z79" s="705">
        <f t="shared" si="113"/>
        <v>1220.4829999999999</v>
      </c>
      <c r="AA79" s="705">
        <f t="shared" si="113"/>
        <v>0</v>
      </c>
      <c r="AB79" s="705">
        <f t="shared" si="113"/>
        <v>1200</v>
      </c>
      <c r="AC79" s="705">
        <f t="shared" si="113"/>
        <v>1200</v>
      </c>
      <c r="AD79" s="705">
        <f t="shared" si="113"/>
        <v>1200</v>
      </c>
      <c r="AE79" s="705">
        <f t="shared" si="113"/>
        <v>1200</v>
      </c>
      <c r="AF79" s="705">
        <f t="shared" si="113"/>
        <v>1200</v>
      </c>
      <c r="AG79" s="705">
        <f t="shared" si="113"/>
        <v>1200</v>
      </c>
      <c r="AH79" s="705">
        <f t="shared" si="111"/>
        <v>13298.182000000001</v>
      </c>
    </row>
    <row r="80" spans="1:36" ht="20.399999999999999" customHeight="1">
      <c r="A80" s="867" t="str">
        <f>Table3[[#This Row],[Product]]</f>
        <v>LPG-D</v>
      </c>
      <c r="B80" s="28" t="s">
        <v>25</v>
      </c>
      <c r="C80" s="35" t="s">
        <v>99</v>
      </c>
      <c r="D80" s="689">
        <v>9238.4060000000009</v>
      </c>
      <c r="E80" s="689">
        <v>1882.905</v>
      </c>
      <c r="F80" s="977">
        <v>0</v>
      </c>
      <c r="G80" s="1012">
        <v>10282.893</v>
      </c>
      <c r="H80" s="1131">
        <v>6120.8729999999996</v>
      </c>
      <c r="I80" s="1245">
        <v>7685.7430000000004</v>
      </c>
      <c r="J80" s="1300">
        <v>11925.031999999999</v>
      </c>
      <c r="K80" s="229">
        <f>'Rolling พี่เตย'!K80*1000</f>
        <v>10880</v>
      </c>
      <c r="L80" s="229">
        <f>'Rolling พี่เตย'!L80*1000</f>
        <v>10880</v>
      </c>
      <c r="M80" s="229">
        <f>'Rolling พี่เตย'!M80*1000</f>
        <v>10880</v>
      </c>
      <c r="N80" s="229">
        <f>'Rolling พี่เตย'!N80*1000</f>
        <v>10880</v>
      </c>
      <c r="O80" s="229">
        <f>'Rolling พี่เตย'!O80*1000</f>
        <v>10880</v>
      </c>
      <c r="P80" s="229">
        <f>'Rolling พี่เตย'!P80*1000</f>
        <v>10880</v>
      </c>
      <c r="Q80" s="853">
        <f t="shared" si="107"/>
        <v>103177.446</v>
      </c>
      <c r="T80" s="147" t="s">
        <v>177</v>
      </c>
      <c r="V80" s="705">
        <f>SUM(V76:V79)</f>
        <v>32822.945</v>
      </c>
      <c r="W80" s="705">
        <f t="shared" ref="W80:AG80" si="114">SUM(W76:W79)</f>
        <v>29974.749</v>
      </c>
      <c r="X80" s="705">
        <f t="shared" si="114"/>
        <v>13857.354000000003</v>
      </c>
      <c r="Y80" s="705">
        <f t="shared" si="114"/>
        <v>14569.124</v>
      </c>
      <c r="Z80" s="705">
        <f t="shared" si="114"/>
        <v>12569.601000000001</v>
      </c>
      <c r="AA80" s="705">
        <f t="shared" si="114"/>
        <v>10839.151999999998</v>
      </c>
      <c r="AB80" s="705">
        <f t="shared" si="114"/>
        <v>11146</v>
      </c>
      <c r="AC80" s="705">
        <f t="shared" si="114"/>
        <v>11146</v>
      </c>
      <c r="AD80" s="705">
        <f t="shared" si="114"/>
        <v>11146</v>
      </c>
      <c r="AE80" s="705">
        <f t="shared" si="114"/>
        <v>11146</v>
      </c>
      <c r="AF80" s="705">
        <f t="shared" si="114"/>
        <v>11146</v>
      </c>
      <c r="AG80" s="705">
        <f t="shared" si="114"/>
        <v>11146</v>
      </c>
      <c r="AH80" s="705">
        <f t="shared" si="111"/>
        <v>181508.92499999999</v>
      </c>
    </row>
    <row r="81" spans="1:34" ht="20.399999999999999" customHeight="1">
      <c r="A81" s="885" t="str">
        <f>Table3[[#This Row],[Product]]</f>
        <v>LPG-D</v>
      </c>
      <c r="B81" s="28" t="s">
        <v>25</v>
      </c>
      <c r="C81" s="35" t="s">
        <v>600</v>
      </c>
      <c r="D81" s="887"/>
      <c r="E81" s="887">
        <v>0</v>
      </c>
      <c r="F81" s="977">
        <v>2561.9760000000001</v>
      </c>
      <c r="G81" s="1012">
        <v>0</v>
      </c>
      <c r="H81" s="1131">
        <v>0</v>
      </c>
      <c r="I81" s="1245">
        <v>0</v>
      </c>
      <c r="J81" s="1300">
        <v>0</v>
      </c>
      <c r="K81" s="888"/>
      <c r="L81" s="888"/>
      <c r="M81" s="888"/>
      <c r="N81" s="888"/>
      <c r="O81" s="888"/>
      <c r="P81" s="888"/>
      <c r="Q81" s="889">
        <f>SUM(E81:P81)</f>
        <v>2561.9760000000001</v>
      </c>
      <c r="T81" s="707"/>
    </row>
    <row r="82" spans="1:34" ht="20.399999999999999" customHeight="1">
      <c r="A82" s="867" t="str">
        <f>Table3[[#This Row],[Product]]</f>
        <v>LPG-D</v>
      </c>
      <c r="B82" s="28" t="s">
        <v>25</v>
      </c>
      <c r="C82" s="35" t="s">
        <v>102</v>
      </c>
      <c r="D82" s="689">
        <v>0</v>
      </c>
      <c r="E82" s="689">
        <v>0</v>
      </c>
      <c r="F82" s="977">
        <v>0</v>
      </c>
      <c r="G82" s="1012">
        <v>0</v>
      </c>
      <c r="H82" s="1131">
        <v>0</v>
      </c>
      <c r="I82" s="1245">
        <v>0</v>
      </c>
      <c r="J82" s="1300">
        <v>0</v>
      </c>
      <c r="K82" s="229">
        <f>'Rolling พี่เตย'!K76*1000</f>
        <v>0</v>
      </c>
      <c r="L82" s="229">
        <f>'Rolling พี่เตย'!L76*1000</f>
        <v>0</v>
      </c>
      <c r="M82" s="229">
        <f>'Rolling พี่เตย'!M76*1000</f>
        <v>0</v>
      </c>
      <c r="N82" s="229">
        <f>'Rolling พี่เตย'!N76*1000</f>
        <v>0</v>
      </c>
      <c r="O82" s="229">
        <f>'Rolling พี่เตย'!O76*1000</f>
        <v>0</v>
      </c>
      <c r="P82" s="229">
        <f>'Rolling พี่เตย'!P76*1000</f>
        <v>0</v>
      </c>
      <c r="Q82" s="853">
        <f t="shared" si="107"/>
        <v>0</v>
      </c>
      <c r="T82" s="707"/>
    </row>
    <row r="83" spans="1:34" ht="20.399999999999999" customHeight="1">
      <c r="A83" s="867" t="str">
        <f>Table3[[#This Row],[Product]]</f>
        <v>LPG-D</v>
      </c>
      <c r="B83" s="28" t="s">
        <v>25</v>
      </c>
      <c r="C83" s="35" t="s">
        <v>103</v>
      </c>
      <c r="D83" s="689">
        <v>1237.913</v>
      </c>
      <c r="E83" s="689">
        <v>761.93100000000004</v>
      </c>
      <c r="F83" s="977">
        <v>1928.433</v>
      </c>
      <c r="G83" s="1012">
        <v>3057.5450000000001</v>
      </c>
      <c r="H83" s="1131">
        <v>3055.518</v>
      </c>
      <c r="I83" s="1245">
        <v>2437.4989999999998</v>
      </c>
      <c r="J83" s="1300">
        <v>3057.5749999999998</v>
      </c>
      <c r="K83" s="229">
        <f>'Rolling พี่เตย'!K77*1000</f>
        <v>3600</v>
      </c>
      <c r="L83" s="229">
        <f>'Rolling พี่เตย'!L77*1000</f>
        <v>3600</v>
      </c>
      <c r="M83" s="229">
        <f>'Rolling พี่เตย'!M77*1000</f>
        <v>3600</v>
      </c>
      <c r="N83" s="229">
        <f>'Rolling พี่เตย'!N77*1000</f>
        <v>3600</v>
      </c>
      <c r="O83" s="229">
        <f>'Rolling พี่เตย'!O77*1000</f>
        <v>3600</v>
      </c>
      <c r="P83" s="229">
        <f>'Rolling พี่เตย'!P77*1000</f>
        <v>3600</v>
      </c>
      <c r="Q83" s="853">
        <f t="shared" si="107"/>
        <v>35898.501000000004</v>
      </c>
      <c r="T83" s="1344" t="s">
        <v>547</v>
      </c>
      <c r="U83" s="1344"/>
      <c r="V83" s="1344"/>
      <c r="W83" s="1344"/>
      <c r="X83" s="1344"/>
      <c r="Y83" s="1344"/>
      <c r="Z83" s="1344"/>
      <c r="AA83" s="1344"/>
      <c r="AB83" s="1344"/>
      <c r="AC83" s="1344"/>
      <c r="AD83" s="1344"/>
      <c r="AE83" s="1344"/>
      <c r="AF83" s="1344"/>
      <c r="AG83" s="1344"/>
      <c r="AH83" s="1344"/>
    </row>
    <row r="84" spans="1:34" ht="20.399999999999999" customHeight="1">
      <c r="A84" s="867" t="str">
        <f>Table3[[#This Row],[Product]]</f>
        <v>LPG-D</v>
      </c>
      <c r="B84" s="28" t="s">
        <v>25</v>
      </c>
      <c r="C84" s="35" t="s">
        <v>104</v>
      </c>
      <c r="D84" s="689">
        <v>602.1</v>
      </c>
      <c r="E84" s="689">
        <v>782.47</v>
      </c>
      <c r="F84" s="977">
        <v>782.33</v>
      </c>
      <c r="G84" s="1012">
        <v>1204.55</v>
      </c>
      <c r="H84" s="1131">
        <v>1205.1500000000001</v>
      </c>
      <c r="I84" s="1245">
        <v>1174.96</v>
      </c>
      <c r="J84" s="1300">
        <v>1188.97</v>
      </c>
      <c r="K84" s="229">
        <f>'Rolling พี่เตย'!K78*1000</f>
        <v>600</v>
      </c>
      <c r="L84" s="229">
        <f>'Rolling พี่เตย'!L78*1000</f>
        <v>600</v>
      </c>
      <c r="M84" s="229">
        <f>'Rolling พี่เตย'!M78*1000</f>
        <v>600</v>
      </c>
      <c r="N84" s="229">
        <f>'Rolling พี่เตย'!N78*1000</f>
        <v>600</v>
      </c>
      <c r="O84" s="229">
        <f>'Rolling พี่เตย'!O78*1000</f>
        <v>600</v>
      </c>
      <c r="P84" s="229">
        <f>'Rolling พี่เตย'!P78*1000</f>
        <v>600</v>
      </c>
      <c r="Q84" s="853">
        <f t="shared" si="107"/>
        <v>9938.43</v>
      </c>
      <c r="T84" s="1344"/>
      <c r="U84" s="1344"/>
      <c r="V84" s="1344"/>
      <c r="W84" s="1344"/>
      <c r="X84" s="1344"/>
      <c r="Y84" s="1344"/>
      <c r="Z84" s="1344"/>
      <c r="AA84" s="1344"/>
      <c r="AB84" s="1344"/>
      <c r="AC84" s="1344"/>
      <c r="AD84" s="1344"/>
      <c r="AE84" s="1344"/>
      <c r="AF84" s="1344"/>
      <c r="AG84" s="1344"/>
      <c r="AH84" s="1344"/>
    </row>
    <row r="85" spans="1:34" ht="20.399999999999999" customHeight="1">
      <c r="A85" s="867" t="str">
        <f>Table3[[#This Row],[Product]]</f>
        <v>LPG-D</v>
      </c>
      <c r="B85" s="28" t="s">
        <v>25</v>
      </c>
      <c r="C85" s="38" t="s">
        <v>105</v>
      </c>
      <c r="D85" s="689">
        <v>0</v>
      </c>
      <c r="E85" s="689">
        <v>0</v>
      </c>
      <c r="F85" s="977">
        <v>0</v>
      </c>
      <c r="G85" s="1012">
        <v>0</v>
      </c>
      <c r="H85" s="1131">
        <v>0</v>
      </c>
      <c r="I85" s="1245">
        <v>0</v>
      </c>
      <c r="J85" s="1300">
        <v>0</v>
      </c>
      <c r="K85" s="229">
        <f>'Rolling พี่เตย'!K72*1000</f>
        <v>0</v>
      </c>
      <c r="L85" s="229">
        <f>'Rolling พี่เตย'!L72*1000</f>
        <v>0</v>
      </c>
      <c r="M85" s="229">
        <f>'Rolling พี่เตย'!M72*1000</f>
        <v>0</v>
      </c>
      <c r="N85" s="229">
        <f>'Rolling พี่เตย'!N72*1000</f>
        <v>0</v>
      </c>
      <c r="O85" s="229">
        <f>'Rolling พี่เตย'!O72*1000</f>
        <v>0</v>
      </c>
      <c r="P85" s="229">
        <f>'Rolling พี่เตย'!P72*1000</f>
        <v>0</v>
      </c>
      <c r="Q85" s="853">
        <f t="shared" si="107"/>
        <v>0</v>
      </c>
      <c r="V85" s="43">
        <v>23377</v>
      </c>
      <c r="W85" s="43">
        <v>23408</v>
      </c>
      <c r="X85" s="43">
        <v>23437</v>
      </c>
      <c r="Y85" s="43">
        <v>23468</v>
      </c>
      <c r="Z85" s="43">
        <v>23498</v>
      </c>
      <c r="AA85" s="43">
        <v>23529</v>
      </c>
      <c r="AB85" s="43">
        <v>23559</v>
      </c>
      <c r="AC85" s="43">
        <v>23590</v>
      </c>
      <c r="AD85" s="43">
        <v>23621</v>
      </c>
      <c r="AE85" s="43">
        <v>23651</v>
      </c>
      <c r="AF85" s="43">
        <v>23682</v>
      </c>
      <c r="AG85" s="43">
        <v>23712</v>
      </c>
      <c r="AH85" s="526" t="s">
        <v>177</v>
      </c>
    </row>
    <row r="86" spans="1:34" ht="20.399999999999999" customHeight="1">
      <c r="A86" s="867" t="str">
        <f>Table3[[#This Row],[Product]]</f>
        <v>LPG-D</v>
      </c>
      <c r="B86" s="28" t="s">
        <v>25</v>
      </c>
      <c r="C86" s="38" t="s">
        <v>106</v>
      </c>
      <c r="D86" s="689">
        <v>0</v>
      </c>
      <c r="E86" s="689">
        <v>0</v>
      </c>
      <c r="F86" s="977">
        <v>0</v>
      </c>
      <c r="G86" s="1012">
        <v>0</v>
      </c>
      <c r="H86" s="1131">
        <v>0</v>
      </c>
      <c r="I86" s="1245">
        <v>0</v>
      </c>
      <c r="J86" s="1300">
        <v>0</v>
      </c>
      <c r="K86" s="229">
        <f>'Rolling พี่เตย'!K73*1000</f>
        <v>0</v>
      </c>
      <c r="L86" s="229">
        <f>'Rolling พี่เตย'!L73*1000</f>
        <v>0</v>
      </c>
      <c r="M86" s="229">
        <f>'Rolling พี่เตย'!M73*1000</f>
        <v>0</v>
      </c>
      <c r="N86" s="229">
        <f>'Rolling พี่เตย'!N73*1000</f>
        <v>0</v>
      </c>
      <c r="O86" s="229">
        <f>'Rolling พี่เตย'!O73*1000</f>
        <v>0</v>
      </c>
      <c r="P86" s="229">
        <f>'Rolling พี่เตย'!P73*1000</f>
        <v>0</v>
      </c>
      <c r="Q86" s="853">
        <f t="shared" si="107"/>
        <v>0</v>
      </c>
      <c r="T86" s="44" t="s">
        <v>214</v>
      </c>
      <c r="U86" s="702"/>
    </row>
    <row r="87" spans="1:34" ht="20.399999999999999" customHeight="1">
      <c r="A87" s="867" t="str">
        <f>Table3[[#This Row],[Product]]</f>
        <v>LPG-D</v>
      </c>
      <c r="B87" s="28" t="s">
        <v>25</v>
      </c>
      <c r="C87" s="38" t="s">
        <v>107</v>
      </c>
      <c r="D87" s="689">
        <v>0</v>
      </c>
      <c r="E87" s="689">
        <v>0</v>
      </c>
      <c r="F87" s="977">
        <v>0</v>
      </c>
      <c r="G87" s="1012">
        <v>0</v>
      </c>
      <c r="H87" s="1131">
        <v>0</v>
      </c>
      <c r="I87" s="1245">
        <v>0</v>
      </c>
      <c r="J87" s="1300">
        <v>0</v>
      </c>
      <c r="K87" s="229">
        <f>'Rolling พี่เตย'!K85*1000</f>
        <v>0</v>
      </c>
      <c r="L87" s="229">
        <f>'Rolling พี่เตย'!L85*1000</f>
        <v>0</v>
      </c>
      <c r="M87" s="229">
        <f>'Rolling พี่เตย'!M85*1000</f>
        <v>0</v>
      </c>
      <c r="N87" s="229">
        <f>'Rolling พี่เตย'!N85*1000</f>
        <v>0</v>
      </c>
      <c r="O87" s="229">
        <f>'Rolling พี่เตย'!O85*1000</f>
        <v>0</v>
      </c>
      <c r="P87" s="229">
        <f>'Rolling พี่เตย'!P85*1000</f>
        <v>0</v>
      </c>
      <c r="Q87" s="853">
        <f t="shared" si="107"/>
        <v>0</v>
      </c>
      <c r="T87" t="s">
        <v>217</v>
      </c>
      <c r="V87" s="720">
        <f>(V39/(V$42+V$65))*'COST (Baht)'!E$18</f>
        <v>75.836636329353396</v>
      </c>
      <c r="W87" s="720">
        <f>(W39/(W$42+W$65))*'COST (Baht)'!F$18</f>
        <v>368.60957039502949</v>
      </c>
      <c r="X87" s="720">
        <f>(X39/(X$42+X$65))*'COST (Baht)'!G$18</f>
        <v>1491.8356580352161</v>
      </c>
      <c r="Y87" s="720">
        <f>(Y39/(Y$42+Y$65))*'COST (Baht)'!H$18</f>
        <v>358.73006177702086</v>
      </c>
      <c r="Z87" s="720">
        <f>(Z39/(Z$42+Z$65))*'COST (Baht)'!I$18</f>
        <v>828.96800309588036</v>
      </c>
      <c r="AA87" s="720">
        <f>(AA39/(AA$42+AA$65))*'COST (Baht)'!J$18</f>
        <v>427.34492474253108</v>
      </c>
      <c r="AB87" s="720">
        <f>(AB39/(AB$42+AB$65))*'COST (Baht)'!K$18</f>
        <v>16975.52998472274</v>
      </c>
      <c r="AC87" s="720">
        <f>(AC39/(AC$42+AC$65))*'COST (Baht)'!L$18</f>
        <v>5379.9758509405556</v>
      </c>
      <c r="AD87" s="720">
        <f>(AD39/(AD$42+AD$65))*'COST (Baht)'!M$18</f>
        <v>10942.213059829528</v>
      </c>
      <c r="AE87" s="720">
        <f>(AE39/(AE$42+AE$65))*'COST (Baht)'!N$18</f>
        <v>11236.855258152313</v>
      </c>
      <c r="AF87" s="720">
        <f>(AF39/(AF$42+AF$65))*'COST (Baht)'!O$18</f>
        <v>3625.1837576051639</v>
      </c>
      <c r="AG87" s="720">
        <f>(AG39/(AG$42+AG$65))*'COST (Baht)'!P$18</f>
        <v>7473.197239193807</v>
      </c>
      <c r="AH87" s="231">
        <f>SUM(V87:AG87)</f>
        <v>59184.280004819127</v>
      </c>
    </row>
    <row r="88" spans="1:34" ht="20.399999999999999" customHeight="1">
      <c r="A88" s="867" t="str">
        <f>Table3[[#This Row],[Product]]</f>
        <v>LPG-D</v>
      </c>
      <c r="B88" s="28" t="s">
        <v>25</v>
      </c>
      <c r="C88" s="38" t="s">
        <v>108</v>
      </c>
      <c r="D88" s="689">
        <v>0</v>
      </c>
      <c r="E88" s="689">
        <v>0</v>
      </c>
      <c r="F88" s="977">
        <v>0</v>
      </c>
      <c r="G88" s="1012">
        <v>0</v>
      </c>
      <c r="H88" s="1131">
        <v>0</v>
      </c>
      <c r="I88" s="1245">
        <v>0</v>
      </c>
      <c r="J88" s="1300">
        <v>0</v>
      </c>
      <c r="K88" s="229">
        <f>'Rolling พี่เตย'!K87*1000</f>
        <v>0</v>
      </c>
      <c r="L88" s="229">
        <f>'Rolling พี่เตย'!L87*1000</f>
        <v>0</v>
      </c>
      <c r="M88" s="229">
        <f>'Rolling พี่เตย'!M87*1000</f>
        <v>0</v>
      </c>
      <c r="N88" s="229">
        <f>'Rolling พี่เตย'!N87*1000</f>
        <v>0</v>
      </c>
      <c r="O88" s="229">
        <f>'Rolling พี่เตย'!O87*1000</f>
        <v>0</v>
      </c>
      <c r="P88" s="229">
        <f>'Rolling พี่เตย'!P87*1000</f>
        <v>0</v>
      </c>
      <c r="Q88" s="853">
        <f t="shared" si="107"/>
        <v>0</v>
      </c>
      <c r="T88" t="s">
        <v>218</v>
      </c>
      <c r="V88" s="720">
        <f>(V40/(V$42+V$65))*'COST (Baht)'!E$18</f>
        <v>949.69950145874873</v>
      </c>
      <c r="W88" s="720">
        <f>(W40/(W$42+W$65))*'COST (Baht)'!F$18</f>
        <v>3675.2264764547554</v>
      </c>
      <c r="X88" s="720">
        <f>(X40/(X$42+X$65))*'COST (Baht)'!G$18</f>
        <v>4179.6868437385065</v>
      </c>
      <c r="Y88" s="720">
        <f>(Y40/(Y$42+Y$65))*'COST (Baht)'!H$18</f>
        <v>3229.0368683127408</v>
      </c>
      <c r="Z88" s="720">
        <f>(Z40/(Z$42+Z$65))*'COST (Baht)'!I$18</f>
        <v>2593.6376991163406</v>
      </c>
      <c r="AA88" s="720">
        <f>(AA40/(AA$42+AA$65))*'COST (Baht)'!J$18</f>
        <v>3684.725782120252</v>
      </c>
      <c r="AB88" s="720">
        <f>(AB40/(AB$42+AB$65))*'COST (Baht)'!K$18</f>
        <v>0</v>
      </c>
      <c r="AC88" s="720">
        <f>(AC40/(AC$42+AC$65))*'COST (Baht)'!L$18</f>
        <v>0</v>
      </c>
      <c r="AD88" s="720">
        <f>(AD40/(AD$42+AD$65))*'COST (Baht)'!M$18</f>
        <v>0</v>
      </c>
      <c r="AE88" s="720">
        <f>(AE40/(AE$42+AE$65))*'COST (Baht)'!N$18</f>
        <v>0</v>
      </c>
      <c r="AF88" s="720">
        <f>(AF40/(AF$42+AF$65))*'COST (Baht)'!O$18</f>
        <v>0</v>
      </c>
      <c r="AG88" s="720">
        <f>(AG40/(AG$42+AG$65))*'COST (Baht)'!P$18</f>
        <v>0</v>
      </c>
      <c r="AH88" s="231">
        <f t="shared" ref="AH88:AH114" si="115">SUM(V88:AG88)</f>
        <v>18312.013171201346</v>
      </c>
    </row>
    <row r="89" spans="1:34" ht="20.399999999999999" customHeight="1">
      <c r="A89" s="867" t="str">
        <f>Table3[[#This Row],[Product]]</f>
        <v>LPG-D</v>
      </c>
      <c r="B89" s="28" t="s">
        <v>25</v>
      </c>
      <c r="C89" s="38" t="s">
        <v>109</v>
      </c>
      <c r="D89" s="689">
        <v>0</v>
      </c>
      <c r="E89" s="689">
        <v>0</v>
      </c>
      <c r="F89" s="977">
        <v>0</v>
      </c>
      <c r="G89" s="1012">
        <v>0</v>
      </c>
      <c r="H89" s="1131">
        <v>0</v>
      </c>
      <c r="I89" s="1245">
        <v>0</v>
      </c>
      <c r="J89" s="1300">
        <v>0</v>
      </c>
      <c r="K89" s="229">
        <f>'Rolling พี่เตย'!K81*1000</f>
        <v>0</v>
      </c>
      <c r="L89" s="229">
        <f>'Rolling พี่เตย'!L81*1000</f>
        <v>0</v>
      </c>
      <c r="M89" s="229">
        <f>'Rolling พี่เตย'!M81*1000</f>
        <v>0</v>
      </c>
      <c r="N89" s="229">
        <f>'Rolling พี่เตย'!N81*1000</f>
        <v>0</v>
      </c>
      <c r="O89" s="229">
        <f>'Rolling พี่เตย'!O81*1000</f>
        <v>0</v>
      </c>
      <c r="P89" s="229">
        <f>'Rolling พี่เตย'!P81*1000</f>
        <v>0</v>
      </c>
      <c r="Q89" s="853">
        <f t="shared" si="107"/>
        <v>0</v>
      </c>
      <c r="T89" t="s">
        <v>220</v>
      </c>
      <c r="V89" s="720">
        <f>(V41/(V$42+V$65))*'COST (Baht)'!E$18</f>
        <v>0</v>
      </c>
      <c r="W89" s="720">
        <f>(W41/(W$42+W$65))*'COST (Baht)'!F$18</f>
        <v>3528.5058045328656</v>
      </c>
      <c r="X89" s="720">
        <f>(X41/(X$42+X$65))*'COST (Baht)'!G$18</f>
        <v>798.51896883306813</v>
      </c>
      <c r="Y89" s="720">
        <f>(Y41/(Y$42+Y$65))*'COST (Baht)'!H$18</f>
        <v>4949.2756912661916</v>
      </c>
      <c r="Z89" s="720">
        <f>(Z41/(Z$42+Z$65))*'COST (Baht)'!I$18</f>
        <v>2644.2823650010173</v>
      </c>
      <c r="AA89" s="720">
        <f>(AA41/(AA$42+AA$65))*'COST (Baht)'!J$18</f>
        <v>1880.4352190960758</v>
      </c>
      <c r="AB89" s="720">
        <f>(AB41/(AB$42+AB$65))*'COST (Baht)'!K$18</f>
        <v>770.26120688136336</v>
      </c>
      <c r="AC89" s="720">
        <f>(AC41/(AC$42+AC$65))*'COST (Baht)'!L$18</f>
        <v>477.23026471974185</v>
      </c>
      <c r="AD89" s="720">
        <f>(AD41/(AD$42+AD$65))*'COST (Baht)'!M$18</f>
        <v>983.45184635515102</v>
      </c>
      <c r="AE89" s="720">
        <f>(AE41/(AE$42+AE$65))*'COST (Baht)'!N$18</f>
        <v>998.0627005701366</v>
      </c>
      <c r="AF89" s="720">
        <f>(AF41/(AF$42+AF$65))*'COST (Baht)'!O$18</f>
        <v>329.56215978228761</v>
      </c>
      <c r="AG89" s="720">
        <f>(AG41/(AG$42+AG$65))*'COST (Baht)'!P$18</f>
        <v>657.46603277364864</v>
      </c>
      <c r="AH89" s="231">
        <f t="shared" si="115"/>
        <v>18017.052259811546</v>
      </c>
    </row>
    <row r="90" spans="1:34" ht="20.399999999999999" customHeight="1">
      <c r="A90" s="867" t="str">
        <f>Table3[[#This Row],[Product]]</f>
        <v>LPG-D</v>
      </c>
      <c r="B90" s="28" t="s">
        <v>25</v>
      </c>
      <c r="C90" s="38" t="s">
        <v>110</v>
      </c>
      <c r="D90" s="689">
        <v>0</v>
      </c>
      <c r="E90" s="689">
        <v>0</v>
      </c>
      <c r="F90" s="977">
        <v>0</v>
      </c>
      <c r="G90" s="1012">
        <v>0</v>
      </c>
      <c r="H90" s="1131">
        <v>0</v>
      </c>
      <c r="I90" s="1245">
        <v>0</v>
      </c>
      <c r="J90" s="1300">
        <v>0</v>
      </c>
      <c r="K90" s="229">
        <f>'Rolling พี่เตย'!K82*1000</f>
        <v>0</v>
      </c>
      <c r="L90" s="229">
        <f>'Rolling พี่เตย'!L82*1000</f>
        <v>0</v>
      </c>
      <c r="M90" s="229">
        <f>'Rolling พี่เตย'!M82*1000</f>
        <v>0</v>
      </c>
      <c r="N90" s="229">
        <f>'Rolling พี่เตย'!N82*1000</f>
        <v>0</v>
      </c>
      <c r="O90" s="229">
        <f>'Rolling พี่เตย'!O82*1000</f>
        <v>0</v>
      </c>
      <c r="P90" s="229">
        <f>'Rolling พี่เตย'!P82*1000</f>
        <v>0</v>
      </c>
      <c r="Q90" s="853">
        <f t="shared" si="107"/>
        <v>0</v>
      </c>
      <c r="T90" t="s">
        <v>177</v>
      </c>
      <c r="V90" s="231">
        <f>SUM(V87:V89)</f>
        <v>1025.5361377881022</v>
      </c>
      <c r="W90" s="231">
        <f t="shared" ref="W90:AG90" si="116">SUM(W87:W89)</f>
        <v>7572.3418513826509</v>
      </c>
      <c r="X90" s="231">
        <f t="shared" si="116"/>
        <v>6470.0414706067913</v>
      </c>
      <c r="Y90" s="231">
        <f t="shared" si="116"/>
        <v>8537.0426213559531</v>
      </c>
      <c r="Z90" s="231">
        <f t="shared" si="116"/>
        <v>6066.8880672132382</v>
      </c>
      <c r="AA90" s="231">
        <f t="shared" si="116"/>
        <v>5992.5059259588597</v>
      </c>
      <c r="AB90" s="231">
        <f t="shared" si="116"/>
        <v>17745.791191604105</v>
      </c>
      <c r="AC90" s="231">
        <f t="shared" si="116"/>
        <v>5857.2061156602977</v>
      </c>
      <c r="AD90" s="231">
        <f t="shared" si="116"/>
        <v>11925.664906184678</v>
      </c>
      <c r="AE90" s="231">
        <f t="shared" si="116"/>
        <v>12234.91795872245</v>
      </c>
      <c r="AF90" s="231">
        <f t="shared" si="116"/>
        <v>3954.7459173874513</v>
      </c>
      <c r="AG90" s="231">
        <f t="shared" si="116"/>
        <v>8130.6632719674553</v>
      </c>
      <c r="AH90" s="231">
        <f t="shared" si="115"/>
        <v>95513.34543583203</v>
      </c>
    </row>
    <row r="91" spans="1:34" ht="20.399999999999999" customHeight="1">
      <c r="A91" s="867" t="str">
        <f>Table3[[#This Row],[Product]]</f>
        <v>LPG-D</v>
      </c>
      <c r="B91" s="28" t="s">
        <v>25</v>
      </c>
      <c r="C91" s="38" t="s">
        <v>111</v>
      </c>
      <c r="D91" s="689">
        <v>16794.469000000001</v>
      </c>
      <c r="E91" s="689">
        <v>15092.941000000001</v>
      </c>
      <c r="F91" s="977">
        <v>14616.909</v>
      </c>
      <c r="G91" s="1012">
        <v>16650.073</v>
      </c>
      <c r="H91" s="1131">
        <v>12840.678</v>
      </c>
      <c r="I91" s="1245">
        <v>8990.768</v>
      </c>
      <c r="J91" s="1300">
        <v>13437.119000000001</v>
      </c>
      <c r="K91" s="229">
        <f>'Rolling พี่เตย'!K71*1000</f>
        <v>7633.1829100000023</v>
      </c>
      <c r="L91" s="229">
        <f>'Rolling พี่เตย'!L71*1000</f>
        <v>0</v>
      </c>
      <c r="M91" s="229">
        <f>'Rolling พี่เตย'!M71*1000</f>
        <v>0</v>
      </c>
      <c r="N91" s="229">
        <f>'Rolling พี่เตย'!N71*1000</f>
        <v>0</v>
      </c>
      <c r="O91" s="229">
        <f>'Rolling พี่เตย'!O71*1000</f>
        <v>0</v>
      </c>
      <c r="P91" s="229">
        <f>'Rolling พี่เตย'!P71*1000</f>
        <v>0</v>
      </c>
      <c r="Q91" s="853">
        <f t="shared" si="107"/>
        <v>89261.670910000001</v>
      </c>
      <c r="T91" s="44" t="s">
        <v>215</v>
      </c>
      <c r="U91" s="702"/>
      <c r="AH91" s="231">
        <f t="shared" si="115"/>
        <v>0</v>
      </c>
    </row>
    <row r="92" spans="1:34" ht="20.399999999999999" customHeight="1">
      <c r="A92" s="867" t="str">
        <f>Table3[[#This Row],[Product]]</f>
        <v>LPG-D</v>
      </c>
      <c r="B92" s="28" t="s">
        <v>25</v>
      </c>
      <c r="C92" s="38" t="s">
        <v>112</v>
      </c>
      <c r="D92" s="689">
        <v>0</v>
      </c>
      <c r="E92" s="689">
        <v>0</v>
      </c>
      <c r="F92" s="977">
        <v>0</v>
      </c>
      <c r="G92" s="1012">
        <v>0</v>
      </c>
      <c r="H92" s="1131">
        <v>0</v>
      </c>
      <c r="I92" s="1245">
        <v>0</v>
      </c>
      <c r="J92" s="1300">
        <v>0</v>
      </c>
      <c r="K92" s="229"/>
      <c r="L92" s="229"/>
      <c r="M92" s="229"/>
      <c r="N92" s="229"/>
      <c r="O92" s="229"/>
      <c r="P92" s="229"/>
      <c r="Q92" s="853">
        <f t="shared" si="107"/>
        <v>0</v>
      </c>
      <c r="T92" t="s">
        <v>225</v>
      </c>
      <c r="U92" s="734" t="s">
        <v>536</v>
      </c>
      <c r="AH92" s="231">
        <f t="shared" si="115"/>
        <v>0</v>
      </c>
    </row>
    <row r="93" spans="1:34" ht="20.399999999999999" customHeight="1">
      <c r="A93" s="867" t="str">
        <f>Table3[[#This Row],[Product]]</f>
        <v>LPG-D</v>
      </c>
      <c r="B93" s="28" t="s">
        <v>25</v>
      </c>
      <c r="C93" s="28" t="s">
        <v>113</v>
      </c>
      <c r="D93" s="689">
        <v>0</v>
      </c>
      <c r="E93" s="689">
        <v>0</v>
      </c>
      <c r="F93" s="977">
        <v>0</v>
      </c>
      <c r="G93" s="1012">
        <v>0</v>
      </c>
      <c r="H93" s="1131">
        <v>0</v>
      </c>
      <c r="I93" s="1245">
        <v>0</v>
      </c>
      <c r="J93" s="1300">
        <v>0</v>
      </c>
      <c r="K93" s="229">
        <f>'Rolling พี่เตย'!K83*1000</f>
        <v>0</v>
      </c>
      <c r="L93" s="229">
        <f>'Rolling พี่เตย'!L83*1000</f>
        <v>0</v>
      </c>
      <c r="M93" s="229">
        <f>'Rolling พี่เตย'!M83*1000</f>
        <v>0</v>
      </c>
      <c r="N93" s="229">
        <f>'Rolling พี่เตย'!N83*1000</f>
        <v>0</v>
      </c>
      <c r="O93" s="229">
        <f>'Rolling พี่เตย'!O83*1000</f>
        <v>0</v>
      </c>
      <c r="P93" s="229">
        <f>'Rolling พี่เตย'!P83*1000</f>
        <v>0</v>
      </c>
      <c r="Q93" s="853">
        <f t="shared" si="107"/>
        <v>0</v>
      </c>
      <c r="U93" s="734" t="s">
        <v>76</v>
      </c>
      <c r="AH93" s="231">
        <f t="shared" si="115"/>
        <v>0</v>
      </c>
    </row>
    <row r="94" spans="1:34" ht="20.399999999999999" customHeight="1">
      <c r="A94" s="867" t="str">
        <f>Table3[[#This Row],[Product]]</f>
        <v>LPG-D</v>
      </c>
      <c r="B94" s="28" t="s">
        <v>25</v>
      </c>
      <c r="C94" s="28" t="s">
        <v>114</v>
      </c>
      <c r="D94" s="689">
        <v>0</v>
      </c>
      <c r="E94" s="689">
        <v>0</v>
      </c>
      <c r="F94" s="977">
        <v>0</v>
      </c>
      <c r="G94" s="1012">
        <v>0</v>
      </c>
      <c r="H94" s="1131">
        <v>0</v>
      </c>
      <c r="I94" s="1245">
        <v>0</v>
      </c>
      <c r="J94" s="1300">
        <v>0</v>
      </c>
      <c r="K94" s="229">
        <f>'Rolling พี่เตย'!K84*1000</f>
        <v>0</v>
      </c>
      <c r="L94" s="229">
        <f>'Rolling พี่เตย'!L84*1000</f>
        <v>0</v>
      </c>
      <c r="M94" s="229">
        <f>'Rolling พี่เตย'!M84*1000</f>
        <v>0</v>
      </c>
      <c r="N94" s="229">
        <f>'Rolling พี่เตย'!N84*1000</f>
        <v>0</v>
      </c>
      <c r="O94" s="229">
        <f>'Rolling พี่เตย'!O84*1000</f>
        <v>0</v>
      </c>
      <c r="P94" s="229">
        <f>'Rolling พี่เตย'!P84*1000</f>
        <v>0</v>
      </c>
      <c r="Q94" s="853">
        <f t="shared" si="107"/>
        <v>0</v>
      </c>
      <c r="U94" t="s">
        <v>537</v>
      </c>
      <c r="V94" s="720">
        <f>(V46/(V$42+V$65))*'COST (Baht)'!E$18</f>
        <v>1903.9251025474889</v>
      </c>
      <c r="W94" s="720">
        <f>(W46/(W$42+W$65))*'COST (Baht)'!F$18</f>
        <v>11023.917475361479</v>
      </c>
      <c r="X94" s="720">
        <f>(X46/(X$42+X$65))*'COST (Baht)'!G$18</f>
        <v>11100.083628644792</v>
      </c>
      <c r="Y94" s="720">
        <f>(Y46/(Y$42+Y$65))*'COST (Baht)'!H$18</f>
        <v>9008.5869685144207</v>
      </c>
      <c r="Z94" s="720">
        <f>(Z46/(Z$42+Z$65))*'COST (Baht)'!I$18</f>
        <v>4699.5662342965206</v>
      </c>
      <c r="AA94" s="720">
        <f>(AA46/(AA$42+AA$65))*'COST (Baht)'!J$18</f>
        <v>5279.2456747087917</v>
      </c>
      <c r="AB94" s="720">
        <f>(AB46/(AB$42+AB$65))*'COST (Baht)'!K$18</f>
        <v>15500.166613581123</v>
      </c>
      <c r="AC94" s="720">
        <f>(AC46/(AC$42+AC$65))*'COST (Baht)'!L$18</f>
        <v>9737.8728457407251</v>
      </c>
      <c r="AD94" s="720">
        <f>(AD46/(AD$42+AD$65))*'COST (Baht)'!M$18</f>
        <v>19535.045868105448</v>
      </c>
      <c r="AE94" s="720">
        <f>(AE46/(AE$42+AE$65))*'COST (Baht)'!N$18</f>
        <v>20170.52656086053</v>
      </c>
      <c r="AF94" s="720">
        <f>(AF46/(AF$42+AF$65))*'COST (Baht)'!O$18</f>
        <v>6582.6588494895268</v>
      </c>
      <c r="AG94" s="720">
        <f>(AG46/(AG$42+AG$65))*'COST (Baht)'!P$18</f>
        <v>13503.507789285428</v>
      </c>
      <c r="AH94" s="231">
        <f t="shared" si="115"/>
        <v>128045.10361113628</v>
      </c>
    </row>
    <row r="95" spans="1:34" ht="20.399999999999999" customHeight="1">
      <c r="A95" s="867" t="str">
        <f>Table3[[#This Row],[Product]]</f>
        <v>LPG-D</v>
      </c>
      <c r="B95" s="28"/>
      <c r="C95" s="34" t="s">
        <v>37</v>
      </c>
      <c r="D95" s="961">
        <f>SUM(D70:D94)</f>
        <v>173292.177</v>
      </c>
      <c r="E95" s="961">
        <f>SUM(E70:E94)</f>
        <v>167161.603</v>
      </c>
      <c r="F95" s="961">
        <f>SUM(F70:F94)</f>
        <v>138142.40299999999</v>
      </c>
      <c r="G95" s="827">
        <f>SUM(G70:G94)</f>
        <v>172257.57500000001</v>
      </c>
      <c r="H95" s="827">
        <f t="shared" ref="H95:P95" si="117">SUM(H70:H94)</f>
        <v>147986.53899999999</v>
      </c>
      <c r="I95" s="827">
        <f t="shared" ref="I95" si="118">SUM(I70:I94)</f>
        <v>153392.10500000001</v>
      </c>
      <c r="J95" s="827">
        <f t="shared" si="117"/>
        <v>159118.81400000001</v>
      </c>
      <c r="K95" s="804">
        <f t="shared" si="117"/>
        <v>200159.78031</v>
      </c>
      <c r="L95" s="804">
        <f t="shared" si="117"/>
        <v>166262.64504999999</v>
      </c>
      <c r="M95" s="804">
        <f t="shared" si="117"/>
        <v>164577.45454000001</v>
      </c>
      <c r="N95" s="804">
        <f t="shared" si="117"/>
        <v>165587.17173</v>
      </c>
      <c r="O95" s="804">
        <f t="shared" si="117"/>
        <v>165243.78417</v>
      </c>
      <c r="P95" s="804">
        <f t="shared" si="117"/>
        <v>167322.7873</v>
      </c>
      <c r="Q95" s="854">
        <f>SUM(E95:P95)</f>
        <v>1967212.6620999998</v>
      </c>
      <c r="U95" t="s">
        <v>276</v>
      </c>
      <c r="V95" s="720">
        <f>(V47/(V$42+V$65))*'COST (Baht)'!E$18</f>
        <v>1491.405363239898</v>
      </c>
      <c r="W95" s="720">
        <f>(W47/(W$42+W$65))*'COST (Baht)'!F$18</f>
        <v>3479.7400752513045</v>
      </c>
      <c r="X95" s="720">
        <f>(X47/(X$42+X$65))*'COST (Baht)'!G$18</f>
        <v>3553.549367254122</v>
      </c>
      <c r="Y95" s="720">
        <f>(Y47/(Y$42+Y$65))*'COST (Baht)'!H$18</f>
        <v>2599.4592929593309</v>
      </c>
      <c r="Z95" s="720">
        <f>(Z47/(Z$42+Z$65))*'COST (Baht)'!I$18</f>
        <v>2746.0769228310751</v>
      </c>
      <c r="AA95" s="720">
        <f>(AA47/(AA$42+AA$65))*'COST (Baht)'!J$18</f>
        <v>3033.2715609119341</v>
      </c>
      <c r="AB95" s="720">
        <f>(AB47/(AB$42+AB$65))*'COST (Baht)'!K$18</f>
        <v>16526.42073828512</v>
      </c>
      <c r="AC95" s="720">
        <f>(AC47/(AC$42+AC$65))*'COST (Baht)'!L$18</f>
        <v>9604.6905493209742</v>
      </c>
      <c r="AD95" s="720">
        <f>(AD47/(AD$42+AD$65))*'COST (Baht)'!M$18</f>
        <v>19212.122432508553</v>
      </c>
      <c r="AE95" s="720">
        <f>(AE47/(AE$42+AE$65))*'COST (Baht)'!N$18</f>
        <v>19321.873570435062</v>
      </c>
      <c r="AF95" s="720">
        <f>(AF47/(AF$42+AF$65))*'COST (Baht)'!O$18</f>
        <v>6485.9950328235136</v>
      </c>
      <c r="AG95" s="720">
        <f>(AG47/(AG$42+AG$65))*'COST (Baht)'!P$18</f>
        <v>13017.091271052028</v>
      </c>
      <c r="AH95" s="231">
        <f t="shared" si="115"/>
        <v>101071.69617687291</v>
      </c>
    </row>
    <row r="96" spans="1:34" ht="20.399999999999999" customHeight="1">
      <c r="A96" s="866" t="str">
        <f>Table3[[#This Row],[Product]]</f>
        <v>LPG-Refinery</v>
      </c>
      <c r="B96" s="225" t="s">
        <v>131</v>
      </c>
      <c r="C96" s="28" t="s">
        <v>115</v>
      </c>
      <c r="D96" s="689">
        <v>5503.75</v>
      </c>
      <c r="E96" s="977">
        <v>5510.55</v>
      </c>
      <c r="F96" s="977">
        <v>5219.46</v>
      </c>
      <c r="G96" s="1012">
        <v>5904.72</v>
      </c>
      <c r="H96" s="1131">
        <v>5819.17</v>
      </c>
      <c r="I96" s="1245">
        <v>5859.7</v>
      </c>
      <c r="J96" s="1300">
        <v>5992.23</v>
      </c>
      <c r="K96" s="229">
        <f>'Rolling พี่เตย'!K113*1000</f>
        <v>5826</v>
      </c>
      <c r="L96" s="229">
        <f>'Rolling พี่เตย'!L113*1000</f>
        <v>5826</v>
      </c>
      <c r="M96" s="229">
        <f>'Rolling พี่เตย'!M113*1000</f>
        <v>5826</v>
      </c>
      <c r="N96" s="229">
        <f>'Rolling พี่เตย'!N113*1000</f>
        <v>5826</v>
      </c>
      <c r="O96" s="229">
        <f>'Rolling พี่เตย'!O113*1000</f>
        <v>5826</v>
      </c>
      <c r="P96" s="229">
        <f>'Rolling พี่เตย'!P113*1000</f>
        <v>5826</v>
      </c>
      <c r="Q96" s="853">
        <f>SUM(E96:P96)</f>
        <v>69261.83</v>
      </c>
      <c r="U96" t="s">
        <v>538</v>
      </c>
      <c r="V96" s="720">
        <f>(V48/(V$42+V$65))*'COST (Baht)'!E$18</f>
        <v>123.91282825566712</v>
      </c>
      <c r="W96" s="720">
        <f>(W48/(W$42+W$65))*'COST (Baht)'!F$18</f>
        <v>2505.9092611121837</v>
      </c>
      <c r="X96" s="720">
        <f>(X48/(X$42+X$65))*'COST (Baht)'!G$18</f>
        <v>3602.7173330691076</v>
      </c>
      <c r="Y96" s="720">
        <f>(Y48/(Y$42+Y$65))*'COST (Baht)'!H$18</f>
        <v>2944.0634210489352</v>
      </c>
      <c r="Z96" s="720">
        <f>(Z48/(Z$42+Z$65))*'COST (Baht)'!I$18</f>
        <v>1511.9655148317231</v>
      </c>
      <c r="AA96" s="720">
        <f>(AA48/(AA$42+AA$65))*'COST (Baht)'!J$18</f>
        <v>1940.9486657258274</v>
      </c>
      <c r="AB96" s="720">
        <f>(AB48/(AB$42+AB$65))*'COST (Baht)'!K$18</f>
        <v>3979.6829022203769</v>
      </c>
      <c r="AC96" s="720">
        <f>(AC48/(AC$42+AC$65))*'COST (Baht)'!L$18</f>
        <v>2465.6897010519992</v>
      </c>
      <c r="AD96" s="720">
        <f>(AD48/(AD$42+AD$65))*'COST (Baht)'!M$18</f>
        <v>5081.167872834947</v>
      </c>
      <c r="AE96" s="720">
        <f>(AE48/(AE$42+AE$65))*'COST (Baht)'!N$18</f>
        <v>5156.657286279039</v>
      </c>
      <c r="AF96" s="720">
        <f>(AF48/(AF$42+AF$65))*'COST (Baht)'!O$18</f>
        <v>1702.7378255418193</v>
      </c>
      <c r="AG96" s="720">
        <f>(AG48/(AG$42+AG$65))*'COST (Baht)'!P$18</f>
        <v>3396.907835997185</v>
      </c>
      <c r="AH96" s="231">
        <f t="shared" si="115"/>
        <v>34412.360447968807</v>
      </c>
    </row>
    <row r="97" spans="1:34" ht="20.399999999999999" customHeight="1">
      <c r="A97" s="866" t="str">
        <f>Table3[[#This Row],[Product]]</f>
        <v>LPG-Refinery</v>
      </c>
      <c r="B97" s="28" t="s">
        <v>134</v>
      </c>
      <c r="C97" s="28" t="s">
        <v>116</v>
      </c>
      <c r="D97" s="689">
        <v>0</v>
      </c>
      <c r="E97" s="977">
        <v>0</v>
      </c>
      <c r="F97" s="977">
        <v>0</v>
      </c>
      <c r="G97" s="1012">
        <v>0</v>
      </c>
      <c r="H97" s="1131">
        <v>0</v>
      </c>
      <c r="I97" s="1245">
        <v>0</v>
      </c>
      <c r="J97" s="1300">
        <v>0</v>
      </c>
      <c r="K97" s="229">
        <f>'Rolling พี่เตย'!K92*1000</f>
        <v>0</v>
      </c>
      <c r="L97" s="229">
        <f>'Rolling พี่เตย'!L92*1000</f>
        <v>0</v>
      </c>
      <c r="M97" s="229">
        <f>'Rolling พี่เตย'!M92*1000</f>
        <v>0</v>
      </c>
      <c r="N97" s="229">
        <f>'Rolling พี่เตย'!N92*1000</f>
        <v>0</v>
      </c>
      <c r="O97" s="229">
        <f>'Rolling พี่เตย'!O92*1000</f>
        <v>0</v>
      </c>
      <c r="P97" s="229">
        <f>'Rolling พี่เตย'!P92*1000</f>
        <v>0</v>
      </c>
      <c r="Q97" s="853">
        <f t="shared" ref="Q97:Q116" si="119">SUM(E97:P97)</f>
        <v>0</v>
      </c>
      <c r="T97" t="s">
        <v>226</v>
      </c>
      <c r="U97" t="s">
        <v>276</v>
      </c>
      <c r="V97" s="720">
        <f>(V49/(V$42+V$65))*'COST (Baht)'!E$18</f>
        <v>791.69179506539865</v>
      </c>
      <c r="W97" s="720">
        <f>(W49/(W$42+W$65))*'COST (Baht)'!F$18</f>
        <v>4887.4888808501446</v>
      </c>
      <c r="X97" s="720">
        <f>(X49/(X$42+X$65))*'COST (Baht)'!G$18</f>
        <v>4516.9599019226453</v>
      </c>
      <c r="Y97" s="720">
        <f>(Y49/(Y$42+Y$65))*'COST (Baht)'!H$18</f>
        <v>3969.2212244424236</v>
      </c>
      <c r="Z97" s="720">
        <f>(Z49/(Z$42+Z$65))*'COST (Baht)'!I$18</f>
        <v>1286.6403832126839</v>
      </c>
      <c r="AA97" s="720">
        <f>(AA49/(AA$42+AA$65))*'COST (Baht)'!J$18</f>
        <v>1123.63926129885</v>
      </c>
      <c r="AB97" s="720">
        <f>(AB49/(AB$42+AB$65))*'COST (Baht)'!K$18</f>
        <v>6932.3508619322702</v>
      </c>
      <c r="AC97" s="720">
        <f>(AC49/(AC$42+AC$65))*'COST (Baht)'!L$18</f>
        <v>0</v>
      </c>
      <c r="AD97" s="720">
        <f>(AD49/(AD$42+AD$65))*'COST (Baht)'!M$18</f>
        <v>0</v>
      </c>
      <c r="AE97" s="720">
        <f>(AE49/(AE$42+AE$65))*'COST (Baht)'!N$18</f>
        <v>0</v>
      </c>
      <c r="AF97" s="720">
        <f>(AF49/(AF$42+AF$65))*'COST (Baht)'!O$18</f>
        <v>0</v>
      </c>
      <c r="AG97" s="720">
        <f>(AG49/(AG$42+AG$65))*'COST (Baht)'!P$18</f>
        <v>0</v>
      </c>
      <c r="AH97" s="231">
        <f t="shared" si="115"/>
        <v>23507.992308724417</v>
      </c>
    </row>
    <row r="98" spans="1:34" ht="20.399999999999999" customHeight="1">
      <c r="A98" s="866" t="str">
        <f>Table3[[#This Row],[Product]]</f>
        <v>LPG-Refinery</v>
      </c>
      <c r="B98" s="28" t="s">
        <v>132</v>
      </c>
      <c r="C98" s="28" t="s">
        <v>643</v>
      </c>
      <c r="D98" s="987"/>
      <c r="E98" s="988"/>
      <c r="F98" s="991">
        <v>570.85599999999999</v>
      </c>
      <c r="G98" s="1012">
        <v>0</v>
      </c>
      <c r="H98" s="1131">
        <v>0</v>
      </c>
      <c r="I98" s="1245">
        <v>0</v>
      </c>
      <c r="J98" s="1300">
        <v>0</v>
      </c>
      <c r="K98" s="989"/>
      <c r="L98" s="989"/>
      <c r="M98" s="989"/>
      <c r="N98" s="989"/>
      <c r="O98" s="989"/>
      <c r="P98" s="989"/>
      <c r="Q98" s="990">
        <f>SUM(E98:P98)</f>
        <v>570.85599999999999</v>
      </c>
      <c r="U98" t="s">
        <v>538</v>
      </c>
      <c r="V98" s="720">
        <f>(V50/(V$42+V$65))*'COST (Baht)'!E$18</f>
        <v>0</v>
      </c>
      <c r="W98" s="720">
        <f>(W50/(W$42+W$65))*'COST (Baht)'!F$18</f>
        <v>0</v>
      </c>
      <c r="X98" s="720">
        <f>(X50/(X$42+X$65))*'COST (Baht)'!G$18</f>
        <v>0</v>
      </c>
      <c r="Y98" s="720">
        <f>(Y50/(Y$42+Y$65))*'COST (Baht)'!H$18</f>
        <v>0</v>
      </c>
      <c r="Z98" s="720">
        <f>(Z50/(Z$42+Z$65))*'COST (Baht)'!I$18</f>
        <v>0</v>
      </c>
      <c r="AA98" s="720">
        <f>(AA50/(AA$42+AA$65))*'COST (Baht)'!J$18</f>
        <v>0</v>
      </c>
      <c r="AB98" s="720">
        <f>(AB50/(AB$42+AB$65))*'COST (Baht)'!K$18</f>
        <v>0</v>
      </c>
      <c r="AC98" s="720">
        <f>(AC50/(AC$42+AC$65))*'COST (Baht)'!L$18</f>
        <v>0</v>
      </c>
      <c r="AD98" s="720">
        <f>(AD50/(AD$42+AD$65))*'COST (Baht)'!M$18</f>
        <v>0</v>
      </c>
      <c r="AE98" s="720">
        <f>(AE50/(AE$42+AE$65))*'COST (Baht)'!N$18</f>
        <v>0</v>
      </c>
      <c r="AF98" s="720">
        <f>(AF50/(AF$42+AF$65))*'COST (Baht)'!O$18</f>
        <v>0</v>
      </c>
      <c r="AG98" s="720">
        <f>(AG50/(AG$42+AG$65))*'COST (Baht)'!P$18</f>
        <v>0</v>
      </c>
      <c r="AH98" s="231">
        <f t="shared" si="115"/>
        <v>0</v>
      </c>
    </row>
    <row r="99" spans="1:34" ht="20.399999999999999" customHeight="1">
      <c r="A99" s="866" t="str">
        <f>Table3[[#This Row],[Product]]</f>
        <v>LPG-Refinery</v>
      </c>
      <c r="B99" s="28" t="s">
        <v>134</v>
      </c>
      <c r="C99" s="35" t="s">
        <v>94</v>
      </c>
      <c r="D99" s="689">
        <v>5037.5230000000001</v>
      </c>
      <c r="E99" s="977">
        <v>11967.162</v>
      </c>
      <c r="F99" s="977">
        <v>9170.7199999999993</v>
      </c>
      <c r="G99" s="1012">
        <v>0</v>
      </c>
      <c r="H99" s="1131">
        <v>1890.8109999999999</v>
      </c>
      <c r="I99" s="1245">
        <v>0</v>
      </c>
      <c r="J99" s="1300">
        <v>0</v>
      </c>
      <c r="K99" s="229">
        <f>'Rolling พี่เตย'!K93*1000</f>
        <v>0</v>
      </c>
      <c r="L99" s="229">
        <f>'Rolling พี่เตย'!L93*1000</f>
        <v>0</v>
      </c>
      <c r="M99" s="229">
        <f>'Rolling พี่เตย'!M93*1000</f>
        <v>0</v>
      </c>
      <c r="N99" s="229">
        <f>'Rolling พี่เตย'!N93*1000</f>
        <v>0</v>
      </c>
      <c r="O99" s="229">
        <f>'Rolling พี่เตย'!O93*1000</f>
        <v>0</v>
      </c>
      <c r="P99" s="229">
        <f>'Rolling พี่เตย'!P93*1000</f>
        <v>0</v>
      </c>
      <c r="Q99" s="853">
        <f t="shared" si="119"/>
        <v>23028.692999999999</v>
      </c>
      <c r="T99" t="s">
        <v>227</v>
      </c>
      <c r="U99" t="s">
        <v>276</v>
      </c>
      <c r="V99" s="720">
        <f>(V51/(V$42+V$65))*'COST (Baht)'!E$18</f>
        <v>474.35702156508569</v>
      </c>
      <c r="W99" s="720">
        <f>(W51/(W$42+W$65))*'COST (Baht)'!F$18</f>
        <v>2881.7636031017532</v>
      </c>
      <c r="X99" s="720">
        <f>(X51/(X$42+X$65))*'COST (Baht)'!G$18</f>
        <v>2981.8000432746799</v>
      </c>
      <c r="Y99" s="720">
        <f>(Y51/(Y$42+Y$65))*'COST (Baht)'!H$18</f>
        <v>2170.2668875717422</v>
      </c>
      <c r="Z99" s="720">
        <f>(Z51/(Z$42+Z$65))*'COST (Baht)'!I$18</f>
        <v>787.23921998956439</v>
      </c>
      <c r="AA99" s="720">
        <f>(AA51/(AA$42+AA$65))*'COST (Baht)'!J$18</f>
        <v>1313.2161745387355</v>
      </c>
      <c r="AB99" s="720">
        <f>(AB51/(AB$42+AB$65))*'COST (Baht)'!K$18</f>
        <v>1959.8482268675996</v>
      </c>
      <c r="AC99" s="720">
        <f>(AC51/(AC$42+AC$65))*'COST (Baht)'!L$18</f>
        <v>0</v>
      </c>
      <c r="AD99" s="720">
        <f>(AD51/(AD$42+AD$65))*'COST (Baht)'!M$18</f>
        <v>0</v>
      </c>
      <c r="AE99" s="720">
        <f>(AE51/(AE$42+AE$65))*'COST (Baht)'!N$18</f>
        <v>0</v>
      </c>
      <c r="AF99" s="720">
        <f>(AF51/(AF$42+AF$65))*'COST (Baht)'!O$18</f>
        <v>0</v>
      </c>
      <c r="AG99" s="720">
        <f>(AG51/(AG$42+AG$65))*'COST (Baht)'!P$18</f>
        <v>0</v>
      </c>
      <c r="AH99" s="231">
        <f t="shared" si="115"/>
        <v>12568.49117690916</v>
      </c>
    </row>
    <row r="100" spans="1:34" ht="20.399999999999999" customHeight="1">
      <c r="A100" s="866" t="str">
        <f>Table3[[#This Row],[Product]]</f>
        <v>LPG-Refinery</v>
      </c>
      <c r="B100" s="28" t="s">
        <v>132</v>
      </c>
      <c r="C100" s="28" t="s">
        <v>117</v>
      </c>
      <c r="D100" s="689">
        <v>6273.473</v>
      </c>
      <c r="E100" s="977">
        <v>3460.2069999999999</v>
      </c>
      <c r="F100" s="977">
        <v>2078.9119999999998</v>
      </c>
      <c r="G100" s="1012">
        <v>2066.2310000000002</v>
      </c>
      <c r="H100" s="1131">
        <v>1353.2280000000001</v>
      </c>
      <c r="I100" s="1245">
        <v>1386.6389999999999</v>
      </c>
      <c r="J100" s="1300">
        <v>1391.2439999999999</v>
      </c>
      <c r="K100" s="229"/>
      <c r="L100" s="229"/>
      <c r="M100" s="229"/>
      <c r="N100" s="229"/>
      <c r="O100" s="229"/>
      <c r="P100" s="229"/>
      <c r="Q100" s="853">
        <f t="shared" si="119"/>
        <v>11736.461000000001</v>
      </c>
      <c r="U100" t="s">
        <v>538</v>
      </c>
      <c r="V100" s="720">
        <f>(V52/(V$42+V$65))*'COST (Baht)'!E$18</f>
        <v>0</v>
      </c>
      <c r="W100" s="720">
        <f>(W52/(W$42+W$65))*'COST (Baht)'!F$18</f>
        <v>0</v>
      </c>
      <c r="X100" s="720">
        <f>(X52/(X$42+X$65))*'COST (Baht)'!G$18</f>
        <v>0</v>
      </c>
      <c r="Y100" s="720">
        <f>(Y52/(Y$42+Y$65))*'COST (Baht)'!H$18</f>
        <v>0</v>
      </c>
      <c r="Z100" s="720">
        <f>(Z52/(Z$42+Z$65))*'COST (Baht)'!I$18</f>
        <v>0</v>
      </c>
      <c r="AA100" s="720">
        <f>(AA52/(AA$42+AA$65))*'COST (Baht)'!J$18</f>
        <v>0</v>
      </c>
      <c r="AB100" s="720">
        <f>(AB52/(AB$42+AB$65))*'COST (Baht)'!K$18</f>
        <v>0</v>
      </c>
      <c r="AC100" s="720">
        <f>(AC52/(AC$42+AC$65))*'COST (Baht)'!L$18</f>
        <v>0</v>
      </c>
      <c r="AD100" s="720">
        <f>(AD52/(AD$42+AD$65))*'COST (Baht)'!M$18</f>
        <v>0</v>
      </c>
      <c r="AE100" s="720">
        <f>(AE52/(AE$42+AE$65))*'COST (Baht)'!N$18</f>
        <v>0</v>
      </c>
      <c r="AF100" s="720">
        <f>(AF52/(AF$42+AF$65))*'COST (Baht)'!O$18</f>
        <v>0</v>
      </c>
      <c r="AG100" s="720">
        <f>(AG52/(AG$42+AG$65))*'COST (Baht)'!P$18</f>
        <v>0</v>
      </c>
      <c r="AH100" s="231">
        <f t="shared" si="115"/>
        <v>0</v>
      </c>
    </row>
    <row r="101" spans="1:34" ht="30" customHeight="1">
      <c r="A101" s="866" t="str">
        <f>Table3[[#This Row],[Product]]</f>
        <v>LPG-Refinery</v>
      </c>
      <c r="B101" s="28" t="s">
        <v>134</v>
      </c>
      <c r="C101" s="28" t="s">
        <v>118</v>
      </c>
      <c r="D101" s="689">
        <v>0</v>
      </c>
      <c r="E101" s="977">
        <v>0</v>
      </c>
      <c r="F101" s="977">
        <v>0</v>
      </c>
      <c r="G101" s="1012">
        <v>0</v>
      </c>
      <c r="H101" s="1131">
        <v>0</v>
      </c>
      <c r="I101" s="1245">
        <v>0</v>
      </c>
      <c r="J101" s="1300">
        <v>0</v>
      </c>
      <c r="K101" s="229"/>
      <c r="L101" s="229"/>
      <c r="M101" s="229"/>
      <c r="N101" s="229"/>
      <c r="O101" s="229"/>
      <c r="P101" s="229"/>
      <c r="Q101" s="853">
        <f t="shared" si="119"/>
        <v>0</v>
      </c>
      <c r="T101" t="s">
        <v>228</v>
      </c>
      <c r="U101" t="s">
        <v>276</v>
      </c>
      <c r="V101" s="720">
        <f>(V53/(V$42+V$65))*'COST (Baht)'!E$18</f>
        <v>0</v>
      </c>
      <c r="W101" s="720">
        <f>(W53/(W$42+W$65))*'COST (Baht)'!F$18</f>
        <v>0</v>
      </c>
      <c r="X101" s="720">
        <f>(X53/(X$42+X$65))*'COST (Baht)'!G$18</f>
        <v>0</v>
      </c>
      <c r="Y101" s="720">
        <f>(Y53/(Y$42+Y$65))*'COST (Baht)'!H$18</f>
        <v>0</v>
      </c>
      <c r="Z101" s="720">
        <f>(Z53/(Z$42+Z$65))*'COST (Baht)'!I$18</f>
        <v>0</v>
      </c>
      <c r="AA101" s="720">
        <f>(AA53/(AA$42+AA$65))*'COST (Baht)'!J$18</f>
        <v>0</v>
      </c>
      <c r="AB101" s="720">
        <f>(AB53/(AB$42+AB$65))*'COST (Baht)'!K$18</f>
        <v>0</v>
      </c>
      <c r="AC101" s="720">
        <f>(AC53/(AC$42+AC$65))*'COST (Baht)'!L$18</f>
        <v>0</v>
      </c>
      <c r="AD101" s="720">
        <f>(AD53/(AD$42+AD$65))*'COST (Baht)'!M$18</f>
        <v>0</v>
      </c>
      <c r="AE101" s="720">
        <f>(AE53/(AE$42+AE$65))*'COST (Baht)'!N$18</f>
        <v>0</v>
      </c>
      <c r="AF101" s="720">
        <f>(AF53/(AF$42+AF$65))*'COST (Baht)'!O$18</f>
        <v>0</v>
      </c>
      <c r="AG101" s="720">
        <f>(AG53/(AG$42+AG$65))*'COST (Baht)'!P$18</f>
        <v>0</v>
      </c>
      <c r="AH101" s="231">
        <f t="shared" si="115"/>
        <v>0</v>
      </c>
    </row>
    <row r="102" spans="1:34" ht="19.25" customHeight="1">
      <c r="A102" s="866" t="str">
        <f>Table3[[#This Row],[Product]]</f>
        <v>LPG-Refinery</v>
      </c>
      <c r="B102" s="28" t="s">
        <v>133</v>
      </c>
      <c r="C102" s="28" t="s">
        <v>119</v>
      </c>
      <c r="D102" s="689">
        <v>701.86500000000001</v>
      </c>
      <c r="E102" s="977">
        <v>0</v>
      </c>
      <c r="F102" s="977">
        <v>0</v>
      </c>
      <c r="G102" s="1012">
        <v>0</v>
      </c>
      <c r="H102" s="1131">
        <v>0</v>
      </c>
      <c r="I102" s="1245">
        <v>0</v>
      </c>
      <c r="J102" s="1300">
        <v>0</v>
      </c>
      <c r="K102" s="229">
        <f>'Rolling พี่เตย'!K90*1000</f>
        <v>1200</v>
      </c>
      <c r="L102" s="229">
        <f>'Rolling พี่เตย'!L90*1000</f>
        <v>1200</v>
      </c>
      <c r="M102" s="229">
        <f>'Rolling พี่เตย'!M90*1000</f>
        <v>1200</v>
      </c>
      <c r="N102" s="229">
        <f>'Rolling พี่เตย'!N90*1000</f>
        <v>1200</v>
      </c>
      <c r="O102" s="229">
        <f>'Rolling พี่เตย'!O90*1000</f>
        <v>1200</v>
      </c>
      <c r="P102" s="229">
        <f>'Rolling พี่เตย'!P90*1000</f>
        <v>1200</v>
      </c>
      <c r="Q102" s="853">
        <f t="shared" si="119"/>
        <v>7200</v>
      </c>
      <c r="U102" t="s">
        <v>538</v>
      </c>
      <c r="V102" s="720">
        <f>(V54/(V$42+V$65))*'COST (Baht)'!E$18</f>
        <v>59.177943363722662</v>
      </c>
      <c r="W102" s="720">
        <f>(W54/(W$42+W$65))*'COST (Baht)'!F$18</f>
        <v>0</v>
      </c>
      <c r="X102" s="720">
        <f>(X54/(X$42+X$65))*'COST (Baht)'!G$18</f>
        <v>1841.5253069694591</v>
      </c>
      <c r="Y102" s="720">
        <f>(Y54/(Y$42+Y$65))*'COST (Baht)'!H$18</f>
        <v>1034.5192048996098</v>
      </c>
      <c r="Z102" s="720">
        <f>(Z54/(Z$42+Z$65))*'COST (Baht)'!I$18</f>
        <v>672.97013162393409</v>
      </c>
      <c r="AA102" s="720">
        <f>(AA54/(AA$42+AA$65))*'COST (Baht)'!J$18</f>
        <v>1165.4391766785725</v>
      </c>
      <c r="AB102" s="720">
        <f>(AB54/(AB$42+AB$65))*'COST (Baht)'!K$18</f>
        <v>2793.4806436230779</v>
      </c>
      <c r="AC102" s="720">
        <f>(AC54/(AC$42+AC$65))*'COST (Baht)'!L$18</f>
        <v>1730.7550933835971</v>
      </c>
      <c r="AD102" s="720">
        <f>(AD54/(AD$42+AD$65))*'COST (Baht)'!M$18</f>
        <v>3566.6520294480147</v>
      </c>
      <c r="AE102" s="720">
        <f>(AE54/(AE$42+AE$65))*'COST (Baht)'!N$18</f>
        <v>3619.6407274010289</v>
      </c>
      <c r="AF102" s="720">
        <f>(AF54/(AF$42+AF$65))*'COST (Baht)'!O$18</f>
        <v>1195.2120994770964</v>
      </c>
      <c r="AG102" s="720">
        <f>(AG54/(AG$42+AG$65))*'COST (Baht)'!P$18</f>
        <v>2384.410145525766</v>
      </c>
      <c r="AH102" s="231">
        <f t="shared" si="115"/>
        <v>20063.782502393879</v>
      </c>
    </row>
    <row r="103" spans="1:34" ht="20" customHeight="1">
      <c r="A103" s="866" t="str">
        <f>Table3[[#This Row],[Product]]</f>
        <v>LPG-Refinery</v>
      </c>
      <c r="B103" s="28" t="s">
        <v>134</v>
      </c>
      <c r="C103" s="28" t="s">
        <v>97</v>
      </c>
      <c r="D103" s="689">
        <v>0</v>
      </c>
      <c r="E103" s="977">
        <v>0</v>
      </c>
      <c r="F103" s="977">
        <v>0</v>
      </c>
      <c r="G103" s="1012">
        <v>0</v>
      </c>
      <c r="H103" s="1131">
        <v>0</v>
      </c>
      <c r="I103" s="1245">
        <v>0</v>
      </c>
      <c r="J103" s="1300">
        <v>0</v>
      </c>
      <c r="K103" s="229">
        <f>'Rolling พี่เตย'!K112*1000</f>
        <v>4120</v>
      </c>
      <c r="L103" s="229">
        <f>'Rolling พี่เตย'!L112*1000</f>
        <v>4120</v>
      </c>
      <c r="M103" s="229">
        <f>'Rolling พี่เตย'!M112*1000</f>
        <v>4120</v>
      </c>
      <c r="N103" s="229">
        <f>'Rolling พี่เตย'!N112*1000</f>
        <v>4120</v>
      </c>
      <c r="O103" s="229">
        <f>'Rolling พี่เตย'!O112*1000</f>
        <v>4120</v>
      </c>
      <c r="P103" s="229">
        <f>'Rolling พี่เตย'!P112*1000</f>
        <v>4120</v>
      </c>
      <c r="Q103" s="853">
        <f t="shared" si="119"/>
        <v>24720</v>
      </c>
      <c r="S103" s="724"/>
      <c r="T103" t="s">
        <v>229</v>
      </c>
      <c r="U103" t="s">
        <v>276</v>
      </c>
      <c r="V103" s="720">
        <f>(V55/(V$42+V$65))*'COST (Baht)'!E$18</f>
        <v>0</v>
      </c>
      <c r="W103" s="720">
        <f>(W55/(W$42+W$65))*'COST (Baht)'!F$18</f>
        <v>0</v>
      </c>
      <c r="X103" s="720">
        <f>(X55/(X$42+X$65))*'COST (Baht)'!G$18</f>
        <v>0</v>
      </c>
      <c r="Y103" s="720">
        <f>(Y55/(Y$42+Y$65))*'COST (Baht)'!H$18</f>
        <v>0</v>
      </c>
      <c r="Z103" s="720">
        <f>(Z55/(Z$42+Z$65))*'COST (Baht)'!I$18</f>
        <v>0</v>
      </c>
      <c r="AA103" s="720">
        <f>(AA55/(AA$42+AA$65))*'COST (Baht)'!J$18</f>
        <v>0</v>
      </c>
      <c r="AB103" s="720">
        <f>(AB55/(AB$42+AB$65))*'COST (Baht)'!K$18</f>
        <v>0</v>
      </c>
      <c r="AC103" s="720">
        <f>(AC55/(AC$42+AC$65))*'COST (Baht)'!L$18</f>
        <v>0</v>
      </c>
      <c r="AD103" s="720">
        <f>(AD55/(AD$42+AD$65))*'COST (Baht)'!M$18</f>
        <v>0</v>
      </c>
      <c r="AE103" s="720">
        <f>(AE55/(AE$42+AE$65))*'COST (Baht)'!N$18</f>
        <v>0</v>
      </c>
      <c r="AF103" s="720">
        <f>(AF55/(AF$42+AF$65))*'COST (Baht)'!O$18</f>
        <v>0</v>
      </c>
      <c r="AG103" s="720">
        <f>(AG55/(AG$42+AG$65))*'COST (Baht)'!P$18</f>
        <v>0</v>
      </c>
      <c r="AH103" s="231">
        <f t="shared" si="115"/>
        <v>0</v>
      </c>
    </row>
    <row r="104" spans="1:34" ht="20" customHeight="1">
      <c r="A104" s="866" t="str">
        <f>Table3[[#This Row],[Product]]</f>
        <v>LPG-Refinery</v>
      </c>
      <c r="B104" s="28" t="s">
        <v>134</v>
      </c>
      <c r="C104" s="28" t="s">
        <v>100</v>
      </c>
      <c r="D104" s="689">
        <v>0</v>
      </c>
      <c r="E104" s="977">
        <v>0</v>
      </c>
      <c r="F104" s="977">
        <v>0</v>
      </c>
      <c r="G104" s="1012">
        <v>0</v>
      </c>
      <c r="H104" s="1131">
        <v>0</v>
      </c>
      <c r="I104" s="1245">
        <v>0</v>
      </c>
      <c r="J104" s="1300">
        <v>0</v>
      </c>
      <c r="K104" s="229">
        <f>'Rolling พี่เตย'!K91*1000</f>
        <v>0</v>
      </c>
      <c r="L104" s="229">
        <f>'Rolling พี่เตย'!L91*1000</f>
        <v>0</v>
      </c>
      <c r="M104" s="229">
        <f>'Rolling พี่เตย'!M91*1000</f>
        <v>0</v>
      </c>
      <c r="N104" s="229">
        <f>'Rolling พี่เตย'!N91*1000</f>
        <v>0</v>
      </c>
      <c r="O104" s="229">
        <f>'Rolling พี่เตย'!O91*1000</f>
        <v>0</v>
      </c>
      <c r="P104" s="229">
        <f>'Rolling พี่เตย'!P91*1000</f>
        <v>0</v>
      </c>
      <c r="Q104" s="853">
        <f t="shared" si="119"/>
        <v>0</v>
      </c>
      <c r="S104" s="724"/>
      <c r="U104" t="s">
        <v>538</v>
      </c>
      <c r="V104" s="720">
        <f>(V56/(V$42+V$65))*'COST (Baht)'!E$18</f>
        <v>48.539079193520998</v>
      </c>
      <c r="W104" s="720">
        <f>(W56/(W$42+W$65))*'COST (Baht)'!F$18</f>
        <v>534.43434244784032</v>
      </c>
      <c r="X104" s="720">
        <f>(X56/(X$42+X$65))*'COST (Baht)'!G$18</f>
        <v>763.28284299058612</v>
      </c>
      <c r="Y104" s="720">
        <f>(Y56/(Y$42+Y$65))*'COST (Baht)'!H$18</f>
        <v>720.1167009511895</v>
      </c>
      <c r="Z104" s="720">
        <f>(Z56/(Z$42+Z$65))*'COST (Baht)'!I$18</f>
        <v>316.30995321025762</v>
      </c>
      <c r="AA104" s="720">
        <f>(AA56/(AA$42+AA$65))*'COST (Baht)'!J$18</f>
        <v>415.0169080073336</v>
      </c>
      <c r="AB104" s="720">
        <f>(AB56/(AB$42+AB$65))*'COST (Baht)'!K$18</f>
        <v>1078.3656896339087</v>
      </c>
      <c r="AC104" s="720">
        <f>(AC56/(AC$42+AC$65))*'COST (Baht)'!L$18</f>
        <v>668.12237060763857</v>
      </c>
      <c r="AD104" s="720">
        <f>(AD56/(AD$42+AD$65))*'COST (Baht)'!M$18</f>
        <v>1376.8325848972115</v>
      </c>
      <c r="AE104" s="720">
        <f>(AE56/(AE$42+AE$65))*'COST (Baht)'!N$18</f>
        <v>1397.2877807981913</v>
      </c>
      <c r="AF104" s="720">
        <f>(AF56/(AF$42+AF$65))*'COST (Baht)'!O$18</f>
        <v>461.38702369520269</v>
      </c>
      <c r="AG104" s="720">
        <f>(AG56/(AG$42+AG$65))*'COST (Baht)'!P$18</f>
        <v>920.45244588310823</v>
      </c>
      <c r="AH104" s="231">
        <f t="shared" si="115"/>
        <v>8700.1477223159891</v>
      </c>
    </row>
    <row r="105" spans="1:34" ht="20" customHeight="1">
      <c r="A105" s="866" t="str">
        <f>Table3[[#This Row],[Product]]</f>
        <v>LPG-Refinery</v>
      </c>
      <c r="B105" s="28" t="s">
        <v>134</v>
      </c>
      <c r="C105" s="35" t="s">
        <v>101</v>
      </c>
      <c r="D105" s="689">
        <v>3920.6229999999996</v>
      </c>
      <c r="E105" s="977">
        <v>4559.424</v>
      </c>
      <c r="F105" s="977">
        <v>3206.52</v>
      </c>
      <c r="G105" s="1012">
        <v>0</v>
      </c>
      <c r="H105" s="1131">
        <v>0</v>
      </c>
      <c r="I105" s="1245">
        <v>0</v>
      </c>
      <c r="J105" s="1300">
        <v>0</v>
      </c>
      <c r="K105" s="229"/>
      <c r="L105" s="229"/>
      <c r="M105" s="229"/>
      <c r="N105" s="229"/>
      <c r="O105" s="229"/>
      <c r="P105" s="229"/>
      <c r="Q105" s="853">
        <f t="shared" si="119"/>
        <v>7765.9439999999995</v>
      </c>
      <c r="S105" s="724"/>
      <c r="T105" t="s">
        <v>133</v>
      </c>
      <c r="U105" t="s">
        <v>276</v>
      </c>
      <c r="V105" s="720">
        <f>(V57/(V$42+V$65))*'COST (Baht)'!E$18</f>
        <v>0</v>
      </c>
      <c r="W105" s="720">
        <f>(W57/(W$42+W$65))*'COST (Baht)'!F$18</f>
        <v>0</v>
      </c>
      <c r="X105" s="720">
        <f>(X57/(X$42+X$65))*'COST (Baht)'!G$18</f>
        <v>0</v>
      </c>
      <c r="Y105" s="720">
        <f>(Y57/(Y$42+Y$65))*'COST (Baht)'!H$18</f>
        <v>0</v>
      </c>
      <c r="Z105" s="720">
        <f>(Z57/(Z$42+Z$65))*'COST (Baht)'!I$18</f>
        <v>0</v>
      </c>
      <c r="AA105" s="720">
        <f>(AA57/(AA$42+AA$65))*'COST (Baht)'!J$18</f>
        <v>0</v>
      </c>
      <c r="AB105" s="720">
        <f>(AB57/(AB$42+AB$65))*'COST (Baht)'!K$18</f>
        <v>0</v>
      </c>
      <c r="AC105" s="720">
        <f>(AC57/(AC$42+AC$65))*'COST (Baht)'!L$18</f>
        <v>0</v>
      </c>
      <c r="AD105" s="720">
        <f>(AD57/(AD$42+AD$65))*'COST (Baht)'!M$18</f>
        <v>0</v>
      </c>
      <c r="AE105" s="720">
        <f>(AE57/(AE$42+AE$65))*'COST (Baht)'!N$18</f>
        <v>0</v>
      </c>
      <c r="AF105" s="720">
        <f>(AF57/(AF$42+AF$65))*'COST (Baht)'!O$18</f>
        <v>0</v>
      </c>
      <c r="AG105" s="720">
        <f>(AG57/(AG$42+AG$65))*'COST (Baht)'!P$18</f>
        <v>0</v>
      </c>
      <c r="AH105" s="231">
        <f t="shared" si="115"/>
        <v>0</v>
      </c>
    </row>
    <row r="106" spans="1:34" ht="20" customHeight="1">
      <c r="A106" s="866" t="str">
        <f>Table3[[#This Row],[Product]]</f>
        <v>LPG-Refinery</v>
      </c>
      <c r="B106" s="28" t="s">
        <v>132</v>
      </c>
      <c r="C106" s="35" t="s">
        <v>120</v>
      </c>
      <c r="D106" s="689">
        <v>626.81600000000003</v>
      </c>
      <c r="E106" s="977">
        <v>4411.8379999999997</v>
      </c>
      <c r="F106" s="977">
        <v>5046.0600000000004</v>
      </c>
      <c r="G106" s="1012">
        <v>4666.6490000000003</v>
      </c>
      <c r="H106" s="1131">
        <v>4284.2740000000003</v>
      </c>
      <c r="I106" s="1245">
        <v>4102.7790000000005</v>
      </c>
      <c r="J106" s="1300">
        <v>3455.6779999999999</v>
      </c>
      <c r="K106" s="229"/>
      <c r="L106" s="229"/>
      <c r="M106" s="229"/>
      <c r="N106" s="229"/>
      <c r="O106" s="229"/>
      <c r="P106" s="229"/>
      <c r="Q106" s="853">
        <f t="shared" si="119"/>
        <v>25967.278000000006</v>
      </c>
      <c r="S106" s="724"/>
      <c r="U106" t="s">
        <v>538</v>
      </c>
      <c r="V106" s="720">
        <f>(V58/(V$42+V$65))*'COST (Baht)'!E$18</f>
        <v>0</v>
      </c>
      <c r="W106" s="720">
        <f>(W58/(W$42+W$65))*'COST (Baht)'!F$18</f>
        <v>0</v>
      </c>
      <c r="X106" s="720">
        <f>(X58/(X$42+X$65))*'COST (Baht)'!G$18</f>
        <v>0</v>
      </c>
      <c r="Y106" s="720">
        <f>(Y58/(Y$42+Y$65))*'COST (Baht)'!H$18</f>
        <v>0</v>
      </c>
      <c r="Z106" s="720">
        <f>(Z58/(Z$42+Z$65))*'COST (Baht)'!I$18</f>
        <v>0</v>
      </c>
      <c r="AA106" s="720">
        <f>(AA58/(AA$42+AA$65))*'COST (Baht)'!J$18</f>
        <v>0</v>
      </c>
      <c r="AB106" s="720">
        <f>(AB58/(AB$42+AB$65))*'COST (Baht)'!K$18</f>
        <v>0</v>
      </c>
      <c r="AC106" s="720">
        <f>(AC58/(AC$42+AC$65))*'COST (Baht)'!L$18</f>
        <v>0</v>
      </c>
      <c r="AD106" s="720">
        <f>(AD58/(AD$42+AD$65))*'COST (Baht)'!M$18</f>
        <v>0</v>
      </c>
      <c r="AE106" s="720">
        <f>(AE58/(AE$42+AE$65))*'COST (Baht)'!N$18</f>
        <v>0</v>
      </c>
      <c r="AF106" s="720">
        <f>(AF58/(AF$42+AF$65))*'COST (Baht)'!O$18</f>
        <v>0</v>
      </c>
      <c r="AG106" s="720">
        <f>(AG58/(AG$42+AG$65))*'COST (Baht)'!P$18</f>
        <v>0</v>
      </c>
      <c r="AH106" s="231">
        <f t="shared" si="115"/>
        <v>0</v>
      </c>
    </row>
    <row r="107" spans="1:34" ht="20" customHeight="1">
      <c r="A107" s="866" t="str">
        <f>Table3[[#This Row],[Product]]</f>
        <v>LPG-Refinery</v>
      </c>
      <c r="B107" s="28" t="s">
        <v>133</v>
      </c>
      <c r="C107" s="35" t="s">
        <v>121</v>
      </c>
      <c r="D107" s="689">
        <v>1196.7729999999999</v>
      </c>
      <c r="E107" s="977">
        <v>0</v>
      </c>
      <c r="F107" s="977">
        <v>2436.3040000000001</v>
      </c>
      <c r="G107" s="1012">
        <v>1219.7539999999999</v>
      </c>
      <c r="H107" s="1131">
        <v>1221.6410000000001</v>
      </c>
      <c r="I107" s="1245">
        <v>1220.4829999999999</v>
      </c>
      <c r="J107" s="1300">
        <v>0</v>
      </c>
      <c r="K107" s="229">
        <f>'Rolling พี่เตย'!K102*1000</f>
        <v>0</v>
      </c>
      <c r="L107" s="229">
        <f>'Rolling พี่เตย'!L102*1000</f>
        <v>0</v>
      </c>
      <c r="M107" s="229">
        <f>'Rolling พี่เตย'!M102*1000</f>
        <v>0</v>
      </c>
      <c r="N107" s="229">
        <f>'Rolling พี่เตย'!N102*1000</f>
        <v>0</v>
      </c>
      <c r="O107" s="229">
        <f>'Rolling พี่เตย'!O102*1000</f>
        <v>0</v>
      </c>
      <c r="P107" s="229">
        <f>'Rolling พี่เตย'!P102*1000</f>
        <v>0</v>
      </c>
      <c r="Q107" s="853">
        <f t="shared" si="119"/>
        <v>6098.1820000000007</v>
      </c>
      <c r="T107" t="s">
        <v>230</v>
      </c>
      <c r="U107" t="s">
        <v>276</v>
      </c>
      <c r="V107" s="720">
        <f>(V59/(V$42+V$65))*'COST (Baht)'!E$18</f>
        <v>0</v>
      </c>
      <c r="W107" s="720">
        <f>(W59/(W$42+W$65))*'COST (Baht)'!F$18</f>
        <v>0</v>
      </c>
      <c r="X107" s="720">
        <f>(X59/(X$42+X$65))*'COST (Baht)'!G$18</f>
        <v>0</v>
      </c>
      <c r="Y107" s="720">
        <f>(Y59/(Y$42+Y$65))*'COST (Baht)'!H$18</f>
        <v>0</v>
      </c>
      <c r="Z107" s="720">
        <f>(Z59/(Z$42+Z$65))*'COST (Baht)'!I$18</f>
        <v>0</v>
      </c>
      <c r="AA107" s="720">
        <f>(AA59/(AA$42+AA$65))*'COST (Baht)'!J$18</f>
        <v>0</v>
      </c>
      <c r="AB107" s="720">
        <f>(AB59/(AB$42+AB$65))*'COST (Baht)'!K$18</f>
        <v>0</v>
      </c>
      <c r="AC107" s="720">
        <f>(AC59/(AC$42+AC$65))*'COST (Baht)'!L$18</f>
        <v>0</v>
      </c>
      <c r="AD107" s="720">
        <f>(AD59/(AD$42+AD$65))*'COST (Baht)'!M$18</f>
        <v>0</v>
      </c>
      <c r="AE107" s="720">
        <f>(AE59/(AE$42+AE$65))*'COST (Baht)'!N$18</f>
        <v>0</v>
      </c>
      <c r="AF107" s="720">
        <f>(AF59/(AF$42+AF$65))*'COST (Baht)'!O$18</f>
        <v>0</v>
      </c>
      <c r="AG107" s="720">
        <f>(AG59/(AG$42+AG$65))*'COST (Baht)'!P$18</f>
        <v>0</v>
      </c>
      <c r="AH107" s="231">
        <f t="shared" si="115"/>
        <v>0</v>
      </c>
    </row>
    <row r="108" spans="1:34" ht="20" customHeight="1">
      <c r="A108" s="866" t="str">
        <f>Table3[[#This Row],[Product]]</f>
        <v>LPG-Refinery</v>
      </c>
      <c r="B108" s="28" t="s">
        <v>134</v>
      </c>
      <c r="C108" s="28" t="s">
        <v>122</v>
      </c>
      <c r="D108" s="689">
        <v>0</v>
      </c>
      <c r="E108" s="977">
        <v>0</v>
      </c>
      <c r="F108" s="977">
        <v>0</v>
      </c>
      <c r="G108" s="1012">
        <v>0</v>
      </c>
      <c r="H108" s="1131">
        <v>0</v>
      </c>
      <c r="I108" s="1245">
        <v>0</v>
      </c>
      <c r="J108" s="1300">
        <v>0</v>
      </c>
      <c r="K108" s="229"/>
      <c r="L108" s="229"/>
      <c r="M108" s="229"/>
      <c r="N108" s="229"/>
      <c r="O108" s="229"/>
      <c r="P108" s="229"/>
      <c r="Q108" s="853">
        <f t="shared" si="119"/>
        <v>0</v>
      </c>
      <c r="U108" t="s">
        <v>538</v>
      </c>
      <c r="V108" s="720">
        <f>(V60/(V$42+V$65))*'COST (Baht)'!E$18</f>
        <v>0</v>
      </c>
      <c r="W108" s="720">
        <f>(W60/(W$42+W$65))*'COST (Baht)'!F$18</f>
        <v>0</v>
      </c>
      <c r="X108" s="720">
        <f>(X60/(X$42+X$65))*'COST (Baht)'!G$18</f>
        <v>0</v>
      </c>
      <c r="Y108" s="720">
        <f>(Y60/(Y$42+Y$65))*'COST (Baht)'!H$18</f>
        <v>0</v>
      </c>
      <c r="Z108" s="720">
        <f>(Z60/(Z$42+Z$65))*'COST (Baht)'!I$18</f>
        <v>0</v>
      </c>
      <c r="AA108" s="720">
        <f>(AA60/(AA$42+AA$65))*'COST (Baht)'!J$18</f>
        <v>0</v>
      </c>
      <c r="AB108" s="720">
        <f>(AB60/(AB$42+AB$65))*'COST (Baht)'!K$18</f>
        <v>0</v>
      </c>
      <c r="AC108" s="720">
        <f>(AC60/(AC$42+AC$65))*'COST (Baht)'!L$18</f>
        <v>0</v>
      </c>
      <c r="AD108" s="720">
        <f>(AD60/(AD$42+AD$65))*'COST (Baht)'!M$18</f>
        <v>0</v>
      </c>
      <c r="AE108" s="720">
        <f>(AE60/(AE$42+AE$65))*'COST (Baht)'!N$18</f>
        <v>0</v>
      </c>
      <c r="AF108" s="720">
        <f>(AF60/(AF$42+AF$65))*'COST (Baht)'!O$18</f>
        <v>0</v>
      </c>
      <c r="AG108" s="720">
        <f>(AG60/(AG$42+AG$65))*'COST (Baht)'!P$18</f>
        <v>0</v>
      </c>
      <c r="AH108" s="231">
        <f t="shared" si="115"/>
        <v>0</v>
      </c>
    </row>
    <row r="109" spans="1:34" ht="20" customHeight="1">
      <c r="A109" s="866" t="str">
        <f>Table3[[#This Row],[Product]]</f>
        <v>LPG-Refinery</v>
      </c>
      <c r="B109" s="28" t="s">
        <v>134</v>
      </c>
      <c r="C109" s="28" t="s">
        <v>123</v>
      </c>
      <c r="D109" s="689">
        <v>2437.2220000000002</v>
      </c>
      <c r="E109" s="977">
        <v>2913.7640000000001</v>
      </c>
      <c r="F109" s="977">
        <v>2245.9169999999999</v>
      </c>
      <c r="G109" s="1012">
        <v>0</v>
      </c>
      <c r="H109" s="1131">
        <v>0</v>
      </c>
      <c r="I109" s="1245">
        <v>0</v>
      </c>
      <c r="J109" s="1300">
        <v>0</v>
      </c>
      <c r="K109" s="229">
        <f>'Rolling พี่เตย'!K100*1000</f>
        <v>0</v>
      </c>
      <c r="L109" s="229">
        <f>'Rolling พี่เตย'!L100*1000</f>
        <v>0</v>
      </c>
      <c r="M109" s="229">
        <f>'Rolling พี่เตย'!M100*1000</f>
        <v>0</v>
      </c>
      <c r="N109" s="229">
        <f>'Rolling พี่เตย'!N100*1000</f>
        <v>0</v>
      </c>
      <c r="O109" s="229">
        <f>'Rolling พี่เตย'!O100*1000</f>
        <v>0</v>
      </c>
      <c r="P109" s="229">
        <f>'Rolling พี่เตย'!P100*1000</f>
        <v>0</v>
      </c>
      <c r="Q109" s="853">
        <f t="shared" si="119"/>
        <v>5159.6810000000005</v>
      </c>
      <c r="T109" t="s">
        <v>231</v>
      </c>
      <c r="U109" t="s">
        <v>276</v>
      </c>
      <c r="V109" s="720">
        <f>(V61/(V$42+V$65))*'COST (Baht)'!E$18</f>
        <v>0</v>
      </c>
      <c r="W109" s="720">
        <f>(W61/(W$42+W$65))*'COST (Baht)'!F$18</f>
        <v>0</v>
      </c>
      <c r="X109" s="720">
        <f>(X61/(X$42+X$65))*'COST (Baht)'!G$18</f>
        <v>0</v>
      </c>
      <c r="Y109" s="720">
        <f>(Y61/(Y$42+Y$65))*'COST (Baht)'!H$18</f>
        <v>0</v>
      </c>
      <c r="Z109" s="720">
        <f>(Z61/(Z$42+Z$65))*'COST (Baht)'!I$18</f>
        <v>0</v>
      </c>
      <c r="AA109" s="720">
        <f>(AA61/(AA$42+AA$65))*'COST (Baht)'!J$18</f>
        <v>0</v>
      </c>
      <c r="AB109" s="720">
        <f>(AB61/(AB$42+AB$65))*'COST (Baht)'!K$18</f>
        <v>0</v>
      </c>
      <c r="AC109" s="720">
        <f>(AC61/(AC$42+AC$65))*'COST (Baht)'!L$18</f>
        <v>0</v>
      </c>
      <c r="AD109" s="720">
        <f>(AD61/(AD$42+AD$65))*'COST (Baht)'!M$18</f>
        <v>0</v>
      </c>
      <c r="AE109" s="720">
        <f>(AE61/(AE$42+AE$65))*'COST (Baht)'!N$18</f>
        <v>0</v>
      </c>
      <c r="AF109" s="720">
        <f>(AF61/(AF$42+AF$65))*'COST (Baht)'!O$18</f>
        <v>0</v>
      </c>
      <c r="AG109" s="720">
        <f>(AG61/(AG$42+AG$65))*'COST (Baht)'!P$18</f>
        <v>0</v>
      </c>
      <c r="AH109" s="231">
        <f t="shared" si="115"/>
        <v>0</v>
      </c>
    </row>
    <row r="110" spans="1:34" ht="20" customHeight="1">
      <c r="A110" s="866" t="str">
        <f>Table3[[#This Row],[Product]]</f>
        <v>LPG-Refinery</v>
      </c>
      <c r="B110" s="28" t="s">
        <v>134</v>
      </c>
      <c r="C110" s="40" t="s">
        <v>124</v>
      </c>
      <c r="D110" s="689">
        <v>0</v>
      </c>
      <c r="E110" s="977">
        <v>0</v>
      </c>
      <c r="F110" s="977">
        <v>0</v>
      </c>
      <c r="G110" s="1012">
        <v>0</v>
      </c>
      <c r="H110" s="1131">
        <v>0</v>
      </c>
      <c r="I110" s="1245">
        <v>0</v>
      </c>
      <c r="J110" s="1300">
        <v>0</v>
      </c>
      <c r="K110" s="229">
        <f>'Rolling พี่เตย'!K96*1000</f>
        <v>0</v>
      </c>
      <c r="L110" s="229">
        <f>'Rolling พี่เตย'!L96*1000</f>
        <v>0</v>
      </c>
      <c r="M110" s="229">
        <f>'Rolling พี่เตย'!M96*1000</f>
        <v>0</v>
      </c>
      <c r="N110" s="229">
        <f>'Rolling พี่เตย'!N96*1000</f>
        <v>0</v>
      </c>
      <c r="O110" s="229">
        <f>'Rolling พี่เตย'!O96*1000</f>
        <v>0</v>
      </c>
      <c r="P110" s="229">
        <f>'Rolling พี่เตย'!P96*1000</f>
        <v>0</v>
      </c>
      <c r="Q110" s="853">
        <f t="shared" si="119"/>
        <v>0</v>
      </c>
      <c r="U110" t="s">
        <v>538</v>
      </c>
      <c r="V110" s="720">
        <f>(V62/(V$42+V$65))*'COST (Baht)'!E$18</f>
        <v>0</v>
      </c>
      <c r="W110" s="720">
        <f>(W62/(W$42+W$65))*'COST (Baht)'!F$18</f>
        <v>0</v>
      </c>
      <c r="X110" s="720">
        <f>(X62/(X$42+X$65))*'COST (Baht)'!G$18</f>
        <v>0</v>
      </c>
      <c r="Y110" s="720">
        <f>(Y62/(Y$42+Y$65))*'COST (Baht)'!H$18</f>
        <v>0</v>
      </c>
      <c r="Z110" s="720">
        <f>(Z62/(Z$42+Z$65))*'COST (Baht)'!I$18</f>
        <v>0</v>
      </c>
      <c r="AA110" s="720">
        <f>(AA62/(AA$42+AA$65))*'COST (Baht)'!J$18</f>
        <v>0</v>
      </c>
      <c r="AB110" s="720">
        <f>(AB62/(AB$42+AB$65))*'COST (Baht)'!K$18</f>
        <v>0</v>
      </c>
      <c r="AC110" s="720">
        <f>(AC62/(AC$42+AC$65))*'COST (Baht)'!L$18</f>
        <v>0</v>
      </c>
      <c r="AD110" s="720">
        <f>(AD62/(AD$42+AD$65))*'COST (Baht)'!M$18</f>
        <v>0</v>
      </c>
      <c r="AE110" s="720">
        <f>(AE62/(AE$42+AE$65))*'COST (Baht)'!N$18</f>
        <v>0</v>
      </c>
      <c r="AF110" s="720">
        <f>(AF62/(AF$42+AF$65))*'COST (Baht)'!O$18</f>
        <v>0</v>
      </c>
      <c r="AG110" s="720">
        <f>(AG62/(AG$42+AG$65))*'COST (Baht)'!P$18</f>
        <v>0</v>
      </c>
      <c r="AH110" s="231">
        <f t="shared" si="115"/>
        <v>0</v>
      </c>
    </row>
    <row r="111" spans="1:34" ht="20" customHeight="1">
      <c r="A111" s="866" t="str">
        <f>Table3[[#This Row],[Product]]</f>
        <v>LPG-Refinery</v>
      </c>
      <c r="B111" s="28" t="s">
        <v>134</v>
      </c>
      <c r="C111" s="40" t="s">
        <v>125</v>
      </c>
      <c r="D111" s="689">
        <v>0</v>
      </c>
      <c r="E111" s="977">
        <v>0</v>
      </c>
      <c r="F111" s="977">
        <v>0</v>
      </c>
      <c r="G111" s="1012">
        <v>0</v>
      </c>
      <c r="H111" s="1131">
        <v>0</v>
      </c>
      <c r="I111" s="1245">
        <v>0</v>
      </c>
      <c r="J111" s="1300">
        <v>0</v>
      </c>
      <c r="K111" s="229">
        <f>'Rolling พี่เตย'!K108*1000</f>
        <v>0</v>
      </c>
      <c r="L111" s="229">
        <f>'Rolling พี่เตย'!L108*1000</f>
        <v>0</v>
      </c>
      <c r="M111" s="229">
        <f>'Rolling พี่เตย'!M108*1000</f>
        <v>0</v>
      </c>
      <c r="N111" s="229">
        <f>'Rolling พี่เตย'!N108*1000</f>
        <v>0</v>
      </c>
      <c r="O111" s="229">
        <f>'Rolling พี่เตย'!O108*1000</f>
        <v>0</v>
      </c>
      <c r="P111" s="229">
        <f>'Rolling พี่เตย'!P108*1000</f>
        <v>0</v>
      </c>
      <c r="Q111" s="853">
        <f t="shared" si="119"/>
        <v>0</v>
      </c>
      <c r="T111" t="s">
        <v>232</v>
      </c>
      <c r="U111" t="s">
        <v>276</v>
      </c>
      <c r="V111" s="720">
        <f>(V63/(V$42+V$65))*'COST (Baht)'!E$18</f>
        <v>0</v>
      </c>
      <c r="W111" s="720">
        <f>(W63/(W$42+W$65))*'COST (Baht)'!F$18</f>
        <v>0</v>
      </c>
      <c r="X111" s="720">
        <f>(X63/(X$42+X$65))*'COST (Baht)'!G$18</f>
        <v>0</v>
      </c>
      <c r="Y111" s="720">
        <f>(Y63/(Y$42+Y$65))*'COST (Baht)'!H$18</f>
        <v>0</v>
      </c>
      <c r="Z111" s="720">
        <f>(Z63/(Z$42+Z$65))*'COST (Baht)'!I$18</f>
        <v>0</v>
      </c>
      <c r="AA111" s="720">
        <f>(AA63/(AA$42+AA$65))*'COST (Baht)'!J$18</f>
        <v>0</v>
      </c>
      <c r="AB111" s="720">
        <f>(AB63/(AB$42+AB$65))*'COST (Baht)'!K$18</f>
        <v>0</v>
      </c>
      <c r="AC111" s="720">
        <f>(AC63/(AC$42+AC$65))*'COST (Baht)'!L$18</f>
        <v>0</v>
      </c>
      <c r="AD111" s="720">
        <f>(AD63/(AD$42+AD$65))*'COST (Baht)'!M$18</f>
        <v>0</v>
      </c>
      <c r="AE111" s="720">
        <f>(AE63/(AE$42+AE$65))*'COST (Baht)'!N$18</f>
        <v>0</v>
      </c>
      <c r="AF111" s="720">
        <f>(AF63/(AF$42+AF$65))*'COST (Baht)'!O$18</f>
        <v>0</v>
      </c>
      <c r="AG111" s="720">
        <f>(AG63/(AG$42+AG$65))*'COST (Baht)'!P$18</f>
        <v>0</v>
      </c>
      <c r="AH111" s="231">
        <f t="shared" si="115"/>
        <v>0</v>
      </c>
    </row>
    <row r="112" spans="1:34" ht="20" customHeight="1">
      <c r="A112" s="866" t="str">
        <f>Table3[[#This Row],[Product]]</f>
        <v>LPG-Refinery</v>
      </c>
      <c r="B112" s="28" t="s">
        <v>134</v>
      </c>
      <c r="C112" s="40" t="s">
        <v>126</v>
      </c>
      <c r="D112" s="689">
        <v>0</v>
      </c>
      <c r="E112" s="977">
        <v>0</v>
      </c>
      <c r="F112" s="977">
        <v>0</v>
      </c>
      <c r="G112" s="1012">
        <v>0</v>
      </c>
      <c r="H112" s="1131">
        <v>0</v>
      </c>
      <c r="I112" s="1245">
        <v>0</v>
      </c>
      <c r="J112" s="1300">
        <v>0</v>
      </c>
      <c r="K112" s="229">
        <f>'Rolling พี่เตย'!K104*1000</f>
        <v>0</v>
      </c>
      <c r="L112" s="229">
        <f>'Rolling พี่เตย'!L104*1000</f>
        <v>0</v>
      </c>
      <c r="M112" s="229">
        <f>'Rolling พี่เตย'!M104*1000</f>
        <v>0</v>
      </c>
      <c r="N112" s="229">
        <f>'Rolling พี่เตย'!N104*1000</f>
        <v>0</v>
      </c>
      <c r="O112" s="229">
        <f>'Rolling พี่เตย'!O104*1000</f>
        <v>0</v>
      </c>
      <c r="P112" s="229">
        <f>'Rolling พี่เตย'!P104*1000</f>
        <v>0</v>
      </c>
      <c r="Q112" s="853">
        <f t="shared" si="119"/>
        <v>0</v>
      </c>
      <c r="U112" t="s">
        <v>538</v>
      </c>
      <c r="V112" s="720">
        <f>(V64/(V$42+V$65))*'COST (Baht)'!E$18</f>
        <v>0</v>
      </c>
      <c r="W112" s="720">
        <f>(W64/(W$42+W$65))*'COST (Baht)'!F$18</f>
        <v>0</v>
      </c>
      <c r="X112" s="720">
        <f>(X64/(X$42+X$65))*'COST (Baht)'!G$18</f>
        <v>0</v>
      </c>
      <c r="Y112" s="720">
        <f>(Y64/(Y$42+Y$65))*'COST (Baht)'!H$18</f>
        <v>0</v>
      </c>
      <c r="Z112" s="720">
        <f>(Z64/(Z$42+Z$65))*'COST (Baht)'!I$18</f>
        <v>0</v>
      </c>
      <c r="AA112" s="720">
        <f>(AA64/(AA$42+AA$65))*'COST (Baht)'!J$18</f>
        <v>0</v>
      </c>
      <c r="AB112" s="720">
        <f>(AB64/(AB$42+AB$65))*'COST (Baht)'!K$18</f>
        <v>0</v>
      </c>
      <c r="AC112" s="720">
        <f>(AC64/(AC$42+AC$65))*'COST (Baht)'!L$18</f>
        <v>0</v>
      </c>
      <c r="AD112" s="720">
        <f>(AD64/(AD$42+AD$65))*'COST (Baht)'!M$18</f>
        <v>0</v>
      </c>
      <c r="AE112" s="720">
        <f>(AE64/(AE$42+AE$65))*'COST (Baht)'!N$18</f>
        <v>0</v>
      </c>
      <c r="AF112" s="720">
        <f>(AF64/(AF$42+AF$65))*'COST (Baht)'!O$18</f>
        <v>0</v>
      </c>
      <c r="AG112" s="720">
        <f>(AG64/(AG$42+AG$65))*'COST (Baht)'!P$18</f>
        <v>0</v>
      </c>
      <c r="AH112" s="231">
        <f t="shared" si="115"/>
        <v>0</v>
      </c>
    </row>
    <row r="113" spans="1:34" ht="20" customHeight="1">
      <c r="A113" s="866" t="str">
        <f>Table3[[#This Row],[Product]]</f>
        <v>LPG-Refinery</v>
      </c>
      <c r="B113" s="28" t="s">
        <v>134</v>
      </c>
      <c r="C113" s="40" t="s">
        <v>127</v>
      </c>
      <c r="D113" s="689">
        <v>0</v>
      </c>
      <c r="E113" s="977">
        <v>0</v>
      </c>
      <c r="F113" s="977">
        <v>0</v>
      </c>
      <c r="G113" s="1012">
        <v>0</v>
      </c>
      <c r="H113" s="1131">
        <v>0</v>
      </c>
      <c r="I113" s="1245">
        <v>0</v>
      </c>
      <c r="J113" s="1300">
        <v>0</v>
      </c>
      <c r="K113" s="229"/>
      <c r="L113" s="229"/>
      <c r="M113" s="229"/>
      <c r="N113" s="229"/>
      <c r="O113" s="229"/>
      <c r="P113" s="229"/>
      <c r="Q113" s="853">
        <f t="shared" si="119"/>
        <v>0</v>
      </c>
      <c r="T113" t="s">
        <v>545</v>
      </c>
      <c r="V113" s="231">
        <f>SUM(V94:V112)</f>
        <v>4893.0091332307811</v>
      </c>
      <c r="W113" s="231">
        <f t="shared" ref="W113:AG113" si="120">SUM(W94:W112)</f>
        <v>25313.253638124705</v>
      </c>
      <c r="X113" s="231">
        <f t="shared" si="120"/>
        <v>28359.918424125393</v>
      </c>
      <c r="Y113" s="231">
        <f t="shared" si="120"/>
        <v>22446.233700387653</v>
      </c>
      <c r="Z113" s="231">
        <f t="shared" si="120"/>
        <v>12020.768359995756</v>
      </c>
      <c r="AA113" s="231">
        <f t="shared" si="120"/>
        <v>14270.777421870043</v>
      </c>
      <c r="AB113" s="231">
        <f t="shared" si="120"/>
        <v>48770.315676143473</v>
      </c>
      <c r="AC113" s="231">
        <f t="shared" si="120"/>
        <v>24207.130560104932</v>
      </c>
      <c r="AD113" s="231">
        <f t="shared" si="120"/>
        <v>48771.820787794168</v>
      </c>
      <c r="AE113" s="231">
        <f t="shared" si="120"/>
        <v>49665.985925773857</v>
      </c>
      <c r="AF113" s="231">
        <f t="shared" si="120"/>
        <v>16427.990831027157</v>
      </c>
      <c r="AG113" s="231">
        <f t="shared" si="120"/>
        <v>33222.369487743519</v>
      </c>
      <c r="AH113" s="231">
        <f t="shared" si="115"/>
        <v>328369.57394632144</v>
      </c>
    </row>
    <row r="114" spans="1:34" ht="20" customHeight="1">
      <c r="A114" s="866" t="str">
        <f>Table3[[#This Row],[Product]]</f>
        <v>LPG-Refinery</v>
      </c>
      <c r="B114" s="28" t="s">
        <v>134</v>
      </c>
      <c r="C114" s="28" t="s">
        <v>128</v>
      </c>
      <c r="D114" s="689">
        <v>0</v>
      </c>
      <c r="E114" s="977">
        <v>0</v>
      </c>
      <c r="F114" s="977">
        <v>0</v>
      </c>
      <c r="G114" s="1012">
        <v>0</v>
      </c>
      <c r="H114" s="1131">
        <v>0</v>
      </c>
      <c r="I114" s="1245">
        <v>0</v>
      </c>
      <c r="J114" s="1300">
        <v>0</v>
      </c>
      <c r="K114" s="229"/>
      <c r="L114" s="229"/>
      <c r="M114" s="229"/>
      <c r="N114" s="229"/>
      <c r="O114" s="229"/>
      <c r="P114" s="229"/>
      <c r="Q114" s="853">
        <f t="shared" si="119"/>
        <v>0</v>
      </c>
      <c r="T114" s="1345" t="s">
        <v>548</v>
      </c>
      <c r="U114" s="1345"/>
      <c r="V114" s="231">
        <f>V90+V113</f>
        <v>5918.5452710188838</v>
      </c>
      <c r="W114" s="231">
        <f t="shared" ref="W114:AG114" si="121">W90+W113</f>
        <v>32885.595489507352</v>
      </c>
      <c r="X114" s="231">
        <f t="shared" si="121"/>
        <v>34829.959894732187</v>
      </c>
      <c r="Y114" s="231">
        <f t="shared" si="121"/>
        <v>30983.276321743608</v>
      </c>
      <c r="Z114" s="231">
        <f t="shared" si="121"/>
        <v>18087.656427208996</v>
      </c>
      <c r="AA114" s="231">
        <f t="shared" si="121"/>
        <v>20263.283347828903</v>
      </c>
      <c r="AB114" s="231">
        <f t="shared" si="121"/>
        <v>66516.106867747585</v>
      </c>
      <c r="AC114" s="231">
        <f t="shared" si="121"/>
        <v>30064.336675765229</v>
      </c>
      <c r="AD114" s="231">
        <f t="shared" si="121"/>
        <v>60697.485693978844</v>
      </c>
      <c r="AE114" s="231">
        <f t="shared" si="121"/>
        <v>61900.903884496307</v>
      </c>
      <c r="AF114" s="231">
        <f t="shared" si="121"/>
        <v>20382.736748414609</v>
      </c>
      <c r="AG114" s="231">
        <f t="shared" si="121"/>
        <v>41353.032759710972</v>
      </c>
      <c r="AH114" s="231">
        <f t="shared" si="115"/>
        <v>423882.91938215349</v>
      </c>
    </row>
    <row r="115" spans="1:34" ht="20" customHeight="1">
      <c r="A115" s="866" t="str">
        <f>Table3[[#This Row],[Product]]</f>
        <v>LPG-Refinery</v>
      </c>
      <c r="B115" s="28" t="s">
        <v>134</v>
      </c>
      <c r="C115" s="28" t="s">
        <v>129</v>
      </c>
      <c r="D115" s="689">
        <v>0</v>
      </c>
      <c r="E115" s="977">
        <v>0</v>
      </c>
      <c r="F115" s="977">
        <v>0</v>
      </c>
      <c r="G115" s="1012">
        <v>0</v>
      </c>
      <c r="H115" s="1131">
        <v>0</v>
      </c>
      <c r="I115" s="1245">
        <v>0</v>
      </c>
      <c r="J115" s="1300">
        <v>0</v>
      </c>
      <c r="K115" s="229">
        <f>'Rolling พี่เตย'!K106*1000</f>
        <v>0</v>
      </c>
      <c r="L115" s="229">
        <f>'Rolling พี่เตย'!L106*1000</f>
        <v>0</v>
      </c>
      <c r="M115" s="229">
        <f>'Rolling พี่เตย'!M106*1000</f>
        <v>0</v>
      </c>
      <c r="N115" s="229">
        <f>'Rolling พี่เตย'!N106*1000</f>
        <v>0</v>
      </c>
      <c r="O115" s="229">
        <f>'Rolling พี่เตย'!O106*1000</f>
        <v>0</v>
      </c>
      <c r="P115" s="229">
        <f>'Rolling พี่เตย'!P106*1000</f>
        <v>0</v>
      </c>
      <c r="Q115" s="853">
        <f t="shared" si="119"/>
        <v>0</v>
      </c>
    </row>
    <row r="116" spans="1:34" ht="20" customHeight="1">
      <c r="A116" s="866" t="str">
        <f>Table3[[#This Row],[Product]]</f>
        <v>LPG-Refinery</v>
      </c>
      <c r="B116" s="28" t="s">
        <v>132</v>
      </c>
      <c r="C116" s="28" t="s">
        <v>130</v>
      </c>
      <c r="D116" s="689">
        <v>0</v>
      </c>
      <c r="E116" s="977">
        <v>0</v>
      </c>
      <c r="F116" s="977">
        <v>0</v>
      </c>
      <c r="G116" s="1012">
        <v>0</v>
      </c>
      <c r="H116" s="1131">
        <v>0</v>
      </c>
      <c r="I116" s="1245">
        <v>0</v>
      </c>
      <c r="J116" s="1300">
        <v>0</v>
      </c>
      <c r="K116" s="229"/>
      <c r="L116" s="229"/>
      <c r="M116" s="229"/>
      <c r="N116" s="229"/>
      <c r="O116" s="229"/>
      <c r="P116" s="229"/>
      <c r="Q116" s="853">
        <f t="shared" si="119"/>
        <v>0</v>
      </c>
    </row>
    <row r="117" spans="1:34" ht="20" customHeight="1">
      <c r="A117" s="866" t="str">
        <f>Table3[[#This Row],[Product]]</f>
        <v>LPG-Refinery</v>
      </c>
      <c r="B117" s="28"/>
      <c r="C117" s="34" t="s">
        <v>37</v>
      </c>
      <c r="D117" s="961">
        <f>SUM(D96:D116)</f>
        <v>25698.045000000002</v>
      </c>
      <c r="E117" s="961">
        <f>SUM(E96:E116)</f>
        <v>32822.945</v>
      </c>
      <c r="F117" s="827">
        <f>SUM(F96:F116)</f>
        <v>29974.749000000003</v>
      </c>
      <c r="G117" s="827">
        <f>SUM(G96:G116)</f>
        <v>13857.354000000003</v>
      </c>
      <c r="H117" s="827">
        <f t="shared" ref="H117:P117" si="122">SUM(H96:H116)</f>
        <v>14569.124</v>
      </c>
      <c r="I117" s="827">
        <f t="shared" ref="I117" si="123">SUM(I96:I116)</f>
        <v>12569.601000000001</v>
      </c>
      <c r="J117" s="827">
        <f t="shared" si="122"/>
        <v>10839.151999999998</v>
      </c>
      <c r="K117" s="804">
        <f t="shared" si="122"/>
        <v>11146</v>
      </c>
      <c r="L117" s="804">
        <f t="shared" si="122"/>
        <v>11146</v>
      </c>
      <c r="M117" s="804">
        <f t="shared" si="122"/>
        <v>11146</v>
      </c>
      <c r="N117" s="804">
        <f t="shared" si="122"/>
        <v>11146</v>
      </c>
      <c r="O117" s="804">
        <f t="shared" si="122"/>
        <v>11146</v>
      </c>
      <c r="P117" s="804">
        <f t="shared" si="122"/>
        <v>11146</v>
      </c>
      <c r="Q117" s="804">
        <f t="shared" ref="Q117" si="124">SUM(Q97:Q116)</f>
        <v>112247.09500000002</v>
      </c>
      <c r="T117" s="1344" t="s">
        <v>549</v>
      </c>
      <c r="U117" s="1344"/>
      <c r="V117" s="1344"/>
      <c r="W117" s="1344"/>
      <c r="X117" s="1344"/>
      <c r="Y117" s="1344"/>
      <c r="Z117" s="1344"/>
      <c r="AA117" s="1344"/>
      <c r="AB117" s="1344"/>
      <c r="AC117" s="1344"/>
      <c r="AD117" s="1344"/>
      <c r="AE117" s="1344"/>
      <c r="AF117" s="1344"/>
      <c r="AG117" s="1344"/>
      <c r="AH117" s="1344"/>
    </row>
    <row r="118" spans="1:34" ht="19.5" customHeight="1">
      <c r="A118" s="867" t="str">
        <f>Table3[[#This Row],[Product]]</f>
        <v>LPG-Import/Re-Export</v>
      </c>
      <c r="B118" s="832" t="s">
        <v>652</v>
      </c>
      <c r="C118" s="28" t="s">
        <v>68</v>
      </c>
      <c r="D118" s="805">
        <v>20676.654999999999</v>
      </c>
      <c r="E118" s="1028">
        <v>5949.3989999999994</v>
      </c>
      <c r="F118" s="1029">
        <v>34167.374000000003</v>
      </c>
      <c r="G118" s="1030">
        <v>36943.953999999998</v>
      </c>
      <c r="H118" s="1130">
        <v>31803.552</v>
      </c>
      <c r="I118" s="1244">
        <v>19019.32</v>
      </c>
      <c r="J118" s="1299">
        <v>20105.105</v>
      </c>
      <c r="K118" s="230">
        <f>'Bz Delivery '!K114</f>
        <v>69137.562508500487</v>
      </c>
      <c r="L118" s="230">
        <f>'Bz Delivery '!L114</f>
        <v>32305.728152398955</v>
      </c>
      <c r="M118" s="230">
        <f>'Bz Delivery '!M114</f>
        <v>65876.998751449326</v>
      </c>
      <c r="N118" s="230">
        <f>'Bz Delivery '!N114</f>
        <v>67323.711224260711</v>
      </c>
      <c r="O118" s="230">
        <f>'Bz Delivery '!O114</f>
        <v>22107.445384608582</v>
      </c>
      <c r="P118" s="230">
        <f>'Bz Delivery '!P114</f>
        <v>44800.346324887469</v>
      </c>
      <c r="Q118" s="855">
        <f>SUM(E118:P118)</f>
        <v>449540.49634610559</v>
      </c>
      <c r="T118" s="1344"/>
      <c r="U118" s="1344"/>
      <c r="V118" s="1344"/>
      <c r="W118" s="1344"/>
      <c r="X118" s="1344"/>
      <c r="Y118" s="1344"/>
      <c r="Z118" s="1344"/>
      <c r="AA118" s="1344"/>
      <c r="AB118" s="1344"/>
      <c r="AC118" s="1344"/>
      <c r="AD118" s="1344"/>
      <c r="AE118" s="1344"/>
      <c r="AF118" s="1344"/>
      <c r="AG118" s="1344"/>
      <c r="AH118" s="1344"/>
    </row>
    <row r="119" spans="1:34" ht="20" customHeight="1">
      <c r="A119" s="867" t="str">
        <f>Table3[[#This Row],[Product]]</f>
        <v>LPG-Import/Re-Export</v>
      </c>
      <c r="B119" s="832" t="s">
        <v>34</v>
      </c>
      <c r="C119" s="28" t="s">
        <v>577</v>
      </c>
      <c r="D119" s="805"/>
      <c r="E119" s="1028"/>
      <c r="F119" s="1029"/>
      <c r="G119" s="1030">
        <v>0</v>
      </c>
      <c r="H119" s="1130">
        <v>1460.1220000000001</v>
      </c>
      <c r="I119" s="1244">
        <v>0</v>
      </c>
      <c r="J119" s="1299">
        <v>0</v>
      </c>
      <c r="K119" s="230"/>
      <c r="L119" s="230"/>
      <c r="M119" s="230"/>
      <c r="N119" s="230"/>
      <c r="O119" s="230"/>
      <c r="P119" s="230"/>
      <c r="Q119" s="855"/>
      <c r="V119" s="43">
        <v>23377</v>
      </c>
      <c r="W119" s="43">
        <v>23408</v>
      </c>
      <c r="X119" s="43">
        <v>23437</v>
      </c>
      <c r="Y119" s="43">
        <v>23468</v>
      </c>
      <c r="Z119" s="43">
        <v>23498</v>
      </c>
      <c r="AA119" s="43">
        <v>23529</v>
      </c>
      <c r="AB119" s="43">
        <v>23559</v>
      </c>
      <c r="AC119" s="43">
        <v>23590</v>
      </c>
      <c r="AD119" s="43">
        <v>23621</v>
      </c>
      <c r="AE119" s="43">
        <v>23651</v>
      </c>
      <c r="AF119" s="43">
        <v>23682</v>
      </c>
      <c r="AG119" s="43">
        <v>23712</v>
      </c>
      <c r="AH119" s="526" t="s">
        <v>177</v>
      </c>
    </row>
    <row r="120" spans="1:34" ht="20" customHeight="1">
      <c r="A120" s="867" t="str">
        <f>Table3[[#This Row],[Product]]</f>
        <v>LPG-Import/Re-Export</v>
      </c>
      <c r="B120" s="832" t="s">
        <v>34</v>
      </c>
      <c r="C120" s="28" t="s">
        <v>226</v>
      </c>
      <c r="D120" s="994"/>
      <c r="E120" s="1031"/>
      <c r="F120" s="1032"/>
      <c r="G120" s="1030">
        <v>0</v>
      </c>
      <c r="H120" s="1130">
        <v>0</v>
      </c>
      <c r="I120" s="1244">
        <v>6992.1769999999997</v>
      </c>
      <c r="J120" s="1299">
        <v>2247.62</v>
      </c>
      <c r="K120" s="230"/>
      <c r="L120" s="230"/>
      <c r="M120" s="230"/>
      <c r="N120" s="230"/>
      <c r="O120" s="230"/>
      <c r="P120" s="230"/>
      <c r="Q120" s="995">
        <f>SUM(E120:P120)</f>
        <v>9239.7969999999987</v>
      </c>
      <c r="T120" s="44" t="s">
        <v>214</v>
      </c>
      <c r="U120" s="702"/>
    </row>
    <row r="121" spans="1:34" ht="20" customHeight="1">
      <c r="A121" s="867" t="str">
        <f>Table3[[#This Row],[Product]]</f>
        <v>LPG-Import/Re-Export</v>
      </c>
      <c r="B121" s="832" t="s">
        <v>34</v>
      </c>
      <c r="C121" s="28" t="s">
        <v>280</v>
      </c>
      <c r="D121" s="994"/>
      <c r="E121" s="1031"/>
      <c r="F121" s="1032"/>
      <c r="G121" s="1030">
        <v>0</v>
      </c>
      <c r="H121" s="1130">
        <v>0</v>
      </c>
      <c r="I121" s="1244">
        <v>4990.2070000000003</v>
      </c>
      <c r="J121" s="1299">
        <v>8691.2039999999997</v>
      </c>
      <c r="K121" s="230"/>
      <c r="L121" s="230"/>
      <c r="M121" s="230"/>
      <c r="N121" s="230"/>
      <c r="O121" s="230"/>
      <c r="P121" s="230"/>
      <c r="Q121" s="995">
        <f>SUM(E121:P121)</f>
        <v>13681.411</v>
      </c>
      <c r="T121" t="s">
        <v>217</v>
      </c>
      <c r="V121" s="720">
        <f>V39-V87</f>
        <v>2337.1093636706464</v>
      </c>
      <c r="W121" s="720">
        <f t="shared" ref="W121:AG121" si="125">W39-W87</f>
        <v>1501.0554296049704</v>
      </c>
      <c r="X121" s="720">
        <f t="shared" si="125"/>
        <v>6838.4253419647848</v>
      </c>
      <c r="Y121" s="720">
        <f t="shared" si="125"/>
        <v>1763.744938222979</v>
      </c>
      <c r="Z121" s="720">
        <f t="shared" si="125"/>
        <v>8638.3689969041188</v>
      </c>
      <c r="AA121" s="720">
        <f t="shared" si="125"/>
        <v>3945.3430752574691</v>
      </c>
      <c r="AB121" s="720">
        <f t="shared" si="125"/>
        <v>49140.470015277257</v>
      </c>
      <c r="AC121" s="720">
        <f t="shared" si="125"/>
        <v>28440.024149059445</v>
      </c>
      <c r="AD121" s="720">
        <f t="shared" si="125"/>
        <v>22436.786940170474</v>
      </c>
      <c r="AE121" s="720">
        <f t="shared" si="125"/>
        <v>22539.144741847689</v>
      </c>
      <c r="AF121" s="720">
        <f t="shared" si="125"/>
        <v>29374.816242394838</v>
      </c>
      <c r="AG121" s="720">
        <f t="shared" si="125"/>
        <v>26626.802760806193</v>
      </c>
      <c r="AH121" s="231">
        <f>SUM(V121:AG121)</f>
        <v>203582.0919951809</v>
      </c>
    </row>
    <row r="122" spans="1:34" ht="20" customHeight="1">
      <c r="A122" s="867" t="str">
        <f>Table3[[#This Row],[Product]]</f>
        <v>LPG-Import/Re-Export</v>
      </c>
      <c r="B122" s="833" t="s">
        <v>654</v>
      </c>
      <c r="C122" s="46" t="s">
        <v>68</v>
      </c>
      <c r="D122" s="805">
        <v>567.62</v>
      </c>
      <c r="E122" s="1033">
        <v>329.87</v>
      </c>
      <c r="F122" s="1029">
        <v>135.02000000000001</v>
      </c>
      <c r="G122" s="1030">
        <v>375.06</v>
      </c>
      <c r="H122" s="1130">
        <v>285.31</v>
      </c>
      <c r="I122" s="1244">
        <v>478.71</v>
      </c>
      <c r="J122" s="1299">
        <v>1438.16</v>
      </c>
      <c r="K122" s="717"/>
      <c r="L122" s="717"/>
      <c r="M122" s="717"/>
      <c r="N122" s="717"/>
      <c r="O122" s="717"/>
      <c r="P122" s="717"/>
      <c r="Q122" s="855">
        <f t="shared" ref="Q122:Q124" si="126">SUM(E122:P122)</f>
        <v>3042.13</v>
      </c>
      <c r="T122" t="s">
        <v>218</v>
      </c>
      <c r="V122" s="720">
        <f t="shared" ref="V122:AG123" si="127">V40-V88</f>
        <v>29267.537498541253</v>
      </c>
      <c r="W122" s="720">
        <f t="shared" si="127"/>
        <v>14966.292523545246</v>
      </c>
      <c r="X122" s="720">
        <f t="shared" si="127"/>
        <v>19159.266156261496</v>
      </c>
      <c r="Y122" s="720">
        <f t="shared" si="127"/>
        <v>15875.997131687258</v>
      </c>
      <c r="Z122" s="720">
        <f t="shared" si="127"/>
        <v>27027.339300883657</v>
      </c>
      <c r="AA122" s="720">
        <f t="shared" si="127"/>
        <v>34018.205217879746</v>
      </c>
      <c r="AB122" s="720">
        <f t="shared" si="127"/>
        <v>0</v>
      </c>
      <c r="AC122" s="720">
        <f t="shared" si="127"/>
        <v>0</v>
      </c>
      <c r="AD122" s="720">
        <f t="shared" si="127"/>
        <v>0</v>
      </c>
      <c r="AE122" s="720">
        <f t="shared" si="127"/>
        <v>0</v>
      </c>
      <c r="AF122" s="720">
        <f t="shared" si="127"/>
        <v>0</v>
      </c>
      <c r="AG122" s="720">
        <f t="shared" si="127"/>
        <v>0</v>
      </c>
      <c r="AH122" s="231">
        <f t="shared" ref="AH122:AH148" si="128">SUM(V122:AG122)</f>
        <v>140314.63782879867</v>
      </c>
    </row>
    <row r="123" spans="1:34" ht="20" customHeight="1">
      <c r="A123" s="867" t="str">
        <f>Table3[[#This Row],[Product]]</f>
        <v>LPG-Import/Re-Export</v>
      </c>
      <c r="B123" s="833" t="s">
        <v>653</v>
      </c>
      <c r="C123" s="46" t="s">
        <v>70</v>
      </c>
      <c r="D123" s="805">
        <v>7440.9939999999997</v>
      </c>
      <c r="E123" s="1034">
        <v>3327.2959999999998</v>
      </c>
      <c r="F123" s="1029">
        <v>2746.2330000000002</v>
      </c>
      <c r="G123" s="1030">
        <v>3473.5250000000001</v>
      </c>
      <c r="H123" s="1130">
        <v>2966.634</v>
      </c>
      <c r="I123" s="1244">
        <v>547.01700000000005</v>
      </c>
      <c r="J123" s="1299">
        <v>1981.7850000000001</v>
      </c>
      <c r="K123" s="230">
        <f>'Bz Delivery '!K116</f>
        <v>11000</v>
      </c>
      <c r="L123" s="230">
        <f>'Bz Delivery '!L116</f>
        <v>11000</v>
      </c>
      <c r="M123" s="230">
        <f>'Bz Delivery '!M116</f>
        <v>11000</v>
      </c>
      <c r="N123" s="230">
        <f>'Bz Delivery '!N116</f>
        <v>11000</v>
      </c>
      <c r="O123" s="230">
        <f>'Bz Delivery '!O116</f>
        <v>11000</v>
      </c>
      <c r="P123" s="230">
        <f>'Bz Delivery '!P116</f>
        <v>11000</v>
      </c>
      <c r="Q123" s="855">
        <f t="shared" si="126"/>
        <v>81042.489999999991</v>
      </c>
      <c r="T123" t="s">
        <v>220</v>
      </c>
      <c r="V123" s="720">
        <f t="shared" si="127"/>
        <v>0</v>
      </c>
      <c r="W123" s="720">
        <f t="shared" si="127"/>
        <v>14368.815195467134</v>
      </c>
      <c r="X123" s="720">
        <f t="shared" si="127"/>
        <v>3660.331031166932</v>
      </c>
      <c r="Y123" s="720">
        <f t="shared" si="127"/>
        <v>24333.784308733811</v>
      </c>
      <c r="Z123" s="720">
        <f t="shared" si="127"/>
        <v>27555.088634998981</v>
      </c>
      <c r="AA123" s="720">
        <f t="shared" si="127"/>
        <v>17360.594780903924</v>
      </c>
      <c r="AB123" s="720">
        <f t="shared" si="127"/>
        <v>2229.7387931186367</v>
      </c>
      <c r="AC123" s="720">
        <f t="shared" si="127"/>
        <v>2522.7697352802579</v>
      </c>
      <c r="AD123" s="720">
        <f t="shared" si="127"/>
        <v>2016.548153644849</v>
      </c>
      <c r="AE123" s="720">
        <f t="shared" si="127"/>
        <v>2001.9372994298633</v>
      </c>
      <c r="AF123" s="720">
        <f t="shared" si="127"/>
        <v>2670.4378402177126</v>
      </c>
      <c r="AG123" s="720">
        <f t="shared" si="127"/>
        <v>2342.5339672263513</v>
      </c>
      <c r="AH123" s="231">
        <f t="shared" si="128"/>
        <v>101062.57974018846</v>
      </c>
    </row>
    <row r="124" spans="1:34" ht="24" customHeight="1">
      <c r="A124" s="867" t="str">
        <f>Table3[[#This Row],[Product]]</f>
        <v>LPG-Import/Re-Export</v>
      </c>
      <c r="B124" s="28"/>
      <c r="C124" s="34" t="s">
        <v>37</v>
      </c>
      <c r="D124" s="962">
        <f t="shared" ref="D124:P124" si="129">SUM(D118:D123)</f>
        <v>28685.268999999997</v>
      </c>
      <c r="E124" s="962">
        <f t="shared" si="129"/>
        <v>9606.5649999999987</v>
      </c>
      <c r="F124" s="962">
        <f t="shared" si="129"/>
        <v>37048.627</v>
      </c>
      <c r="G124" s="822">
        <f t="shared" si="129"/>
        <v>40792.538999999997</v>
      </c>
      <c r="H124" s="822">
        <f t="shared" si="129"/>
        <v>36515.617999999995</v>
      </c>
      <c r="I124" s="822">
        <f t="shared" ref="I124" si="130">SUM(I118:I123)</f>
        <v>32027.430999999997</v>
      </c>
      <c r="J124" s="822">
        <f t="shared" si="129"/>
        <v>34463.873999999996</v>
      </c>
      <c r="K124" s="717">
        <f t="shared" si="129"/>
        <v>80137.562508500487</v>
      </c>
      <c r="L124" s="717">
        <f t="shared" si="129"/>
        <v>43305.728152398951</v>
      </c>
      <c r="M124" s="717">
        <f t="shared" si="129"/>
        <v>76876.998751449326</v>
      </c>
      <c r="N124" s="717">
        <f t="shared" si="129"/>
        <v>78323.711224260711</v>
      </c>
      <c r="O124" s="717">
        <f t="shared" si="129"/>
        <v>33107.445384608582</v>
      </c>
      <c r="P124" s="717">
        <f t="shared" si="129"/>
        <v>55800.346324887469</v>
      </c>
      <c r="Q124" s="855">
        <f t="shared" si="126"/>
        <v>558006.44634610554</v>
      </c>
      <c r="T124" t="s">
        <v>177</v>
      </c>
      <c r="V124" s="231">
        <f>SUM(V121:V123)</f>
        <v>31604.646862211899</v>
      </c>
      <c r="W124" s="231">
        <f t="shared" ref="W124" si="131">SUM(W121:W123)</f>
        <v>30836.16314861735</v>
      </c>
      <c r="X124" s="231">
        <f t="shared" ref="X124" si="132">SUM(X121:X123)</f>
        <v>29658.022529393216</v>
      </c>
      <c r="Y124" s="231">
        <f t="shared" ref="Y124" si="133">SUM(Y121:Y123)</f>
        <v>41973.526378644048</v>
      </c>
      <c r="Z124" s="231">
        <f t="shared" ref="Z124" si="134">SUM(Z121:Z123)</f>
        <v>63220.796932786754</v>
      </c>
      <c r="AA124" s="231">
        <f t="shared" ref="AA124" si="135">SUM(AA121:AA123)</f>
        <v>55324.143074041145</v>
      </c>
      <c r="AB124" s="231">
        <f t="shared" ref="AB124" si="136">SUM(AB121:AB123)</f>
        <v>51370.208808395895</v>
      </c>
      <c r="AC124" s="231">
        <f t="shared" ref="AC124" si="137">SUM(AC121:AC123)</f>
        <v>30962.793884339702</v>
      </c>
      <c r="AD124" s="231">
        <f t="shared" ref="AD124" si="138">SUM(AD121:AD123)</f>
        <v>24453.335093815323</v>
      </c>
      <c r="AE124" s="231">
        <f t="shared" ref="AE124" si="139">SUM(AE121:AE123)</f>
        <v>24541.082041277554</v>
      </c>
      <c r="AF124" s="231">
        <f t="shared" ref="AF124" si="140">SUM(AF121:AF123)</f>
        <v>32045.254082612551</v>
      </c>
      <c r="AG124" s="231">
        <f t="shared" ref="AG124" si="141">SUM(AG121:AG123)</f>
        <v>28969.336728032544</v>
      </c>
      <c r="AH124" s="231">
        <f t="shared" si="128"/>
        <v>444959.30956416804</v>
      </c>
    </row>
    <row r="125" spans="1:34" ht="24" customHeight="1">
      <c r="A125" s="868" t="str">
        <f>Table3[[#This Row],[Product]]</f>
        <v>NGL (m3)</v>
      </c>
      <c r="B125" s="227" t="s">
        <v>25</v>
      </c>
      <c r="C125" s="227" t="s">
        <v>72</v>
      </c>
      <c r="D125" s="851">
        <v>34742.57</v>
      </c>
      <c r="E125" s="851">
        <v>38002.339999999997</v>
      </c>
      <c r="F125" s="851">
        <v>38158.199999999997</v>
      </c>
      <c r="G125" s="1004">
        <v>40670.57</v>
      </c>
      <c r="H125" s="1145">
        <v>29595.41</v>
      </c>
      <c r="I125" s="1248">
        <v>40890.44</v>
      </c>
      <c r="J125" s="1301">
        <v>40890.44</v>
      </c>
      <c r="K125" s="130"/>
      <c r="L125" s="130"/>
      <c r="M125" s="130"/>
      <c r="N125" s="130"/>
      <c r="O125" s="130"/>
      <c r="P125" s="130"/>
      <c r="Q125" s="856">
        <f ca="1">SUM(E125:Q125)</f>
        <v>0</v>
      </c>
      <c r="T125" s="44" t="s">
        <v>215</v>
      </c>
      <c r="U125" s="702"/>
      <c r="AH125" s="231">
        <f t="shared" si="128"/>
        <v>0</v>
      </c>
    </row>
    <row r="126" spans="1:34" ht="20" customHeight="1">
      <c r="A126" s="868" t="str">
        <f>Table3[[#This Row],[Product]]</f>
        <v>NGL (m3)</v>
      </c>
      <c r="B126" s="227" t="s">
        <v>25</v>
      </c>
      <c r="C126" s="227" t="s">
        <v>73</v>
      </c>
      <c r="D126" s="851">
        <v>14488.138000000001</v>
      </c>
      <c r="E126" s="851">
        <v>0</v>
      </c>
      <c r="F126" s="851">
        <v>0</v>
      </c>
      <c r="G126" s="1004">
        <v>0</v>
      </c>
      <c r="H126" s="1145">
        <v>0</v>
      </c>
      <c r="I126" s="1248">
        <v>0</v>
      </c>
      <c r="J126" s="1301">
        <v>0</v>
      </c>
      <c r="K126" s="130"/>
      <c r="L126" s="130"/>
      <c r="M126" s="130"/>
      <c r="N126" s="130"/>
      <c r="O126" s="130"/>
      <c r="P126" s="130"/>
      <c r="Q126" s="856">
        <f t="shared" ref="Q126:Q134" ca="1" si="142">SUM(E126:Q126)</f>
        <v>0</v>
      </c>
      <c r="T126" t="s">
        <v>225</v>
      </c>
      <c r="U126" s="734" t="s">
        <v>536</v>
      </c>
      <c r="AH126" s="231">
        <f t="shared" si="128"/>
        <v>0</v>
      </c>
    </row>
    <row r="127" spans="1:34" ht="20" customHeight="1">
      <c r="A127" s="868" t="str">
        <f>Table3[[#This Row],[Product]]</f>
        <v>NGL (m3)</v>
      </c>
      <c r="B127" s="227" t="s">
        <v>25</v>
      </c>
      <c r="C127" s="227" t="s">
        <v>74</v>
      </c>
      <c r="D127" s="851">
        <v>27989.264999999999</v>
      </c>
      <c r="E127" s="851">
        <v>45899.934999999998</v>
      </c>
      <c r="F127" s="851">
        <v>40114.453000000001</v>
      </c>
      <c r="G127" s="1001">
        <v>43492.561000000002</v>
      </c>
      <c r="H127" s="1145">
        <v>43897.807000000001</v>
      </c>
      <c r="I127" s="1248">
        <v>43791</v>
      </c>
      <c r="J127" s="1301">
        <v>42174.123</v>
      </c>
      <c r="K127" s="130"/>
      <c r="L127" s="130"/>
      <c r="M127" s="130"/>
      <c r="N127" s="130"/>
      <c r="O127" s="130"/>
      <c r="P127" s="130"/>
      <c r="Q127" s="856">
        <f t="shared" ca="1" si="142"/>
        <v>0</v>
      </c>
      <c r="U127" s="734" t="s">
        <v>76</v>
      </c>
      <c r="AH127" s="231">
        <f t="shared" si="128"/>
        <v>0</v>
      </c>
    </row>
    <row r="128" spans="1:34" ht="20" customHeight="1">
      <c r="A128" s="868" t="str">
        <f>Table3[[#This Row],[Product]]</f>
        <v>NGL (m3)</v>
      </c>
      <c r="B128" s="28" t="s">
        <v>25</v>
      </c>
      <c r="C128" s="28" t="s">
        <v>77</v>
      </c>
      <c r="D128" s="851">
        <v>1952.8150000000001</v>
      </c>
      <c r="E128" s="851">
        <v>0</v>
      </c>
      <c r="F128" s="851">
        <v>1897.0909999999999</v>
      </c>
      <c r="G128" s="1001">
        <v>0</v>
      </c>
      <c r="H128" s="1145">
        <v>0</v>
      </c>
      <c r="I128" s="1248">
        <v>0</v>
      </c>
      <c r="J128" s="1301">
        <v>0</v>
      </c>
      <c r="K128" s="130"/>
      <c r="L128" s="130"/>
      <c r="M128" s="130"/>
      <c r="N128" s="130"/>
      <c r="O128" s="130"/>
      <c r="P128" s="130"/>
      <c r="Q128" s="856">
        <f t="shared" ca="1" si="142"/>
        <v>0</v>
      </c>
      <c r="U128" t="s">
        <v>537</v>
      </c>
      <c r="V128" s="720">
        <f>V46-V94</f>
        <v>58674.558897452509</v>
      </c>
      <c r="W128" s="720">
        <f t="shared" ref="W128:AG128" si="143">W46-W94</f>
        <v>44891.702524638524</v>
      </c>
      <c r="X128" s="720">
        <f t="shared" si="143"/>
        <v>50881.672371355206</v>
      </c>
      <c r="Y128" s="720">
        <f t="shared" si="143"/>
        <v>44291.938031485581</v>
      </c>
      <c r="Z128" s="720">
        <f t="shared" si="143"/>
        <v>48972.441765703479</v>
      </c>
      <c r="AA128" s="720">
        <f t="shared" si="143"/>
        <v>48739.166325291204</v>
      </c>
      <c r="AB128" s="720">
        <f t="shared" si="143"/>
        <v>44869.613696418877</v>
      </c>
      <c r="AC128" s="720">
        <f t="shared" si="143"/>
        <v>51477.059854259271</v>
      </c>
      <c r="AD128" s="720">
        <f t="shared" si="143"/>
        <v>40056.217111894541</v>
      </c>
      <c r="AE128" s="720">
        <f t="shared" si="143"/>
        <v>40458.509719139474</v>
      </c>
      <c r="AF128" s="720">
        <f t="shared" si="143"/>
        <v>53339.197960510479</v>
      </c>
      <c r="AG128" s="720">
        <f t="shared" si="143"/>
        <v>48112.638670714558</v>
      </c>
      <c r="AH128" s="231">
        <f t="shared" si="128"/>
        <v>574764.71692886367</v>
      </c>
    </row>
    <row r="129" spans="1:49" ht="21" customHeight="1">
      <c r="A129" s="868" t="str">
        <f>Table3[[#This Row],[Product]]</f>
        <v>NGL (m3)</v>
      </c>
      <c r="B129" s="28" t="s">
        <v>25</v>
      </c>
      <c r="C129" s="28" t="s">
        <v>78</v>
      </c>
      <c r="D129" s="851">
        <v>0</v>
      </c>
      <c r="E129" s="851">
        <v>0</v>
      </c>
      <c r="F129" s="851">
        <v>0</v>
      </c>
      <c r="G129" s="1001">
        <v>0</v>
      </c>
      <c r="H129" s="1145">
        <v>0</v>
      </c>
      <c r="I129" s="1248">
        <v>0</v>
      </c>
      <c r="J129" s="1301">
        <v>0</v>
      </c>
      <c r="K129" s="130"/>
      <c r="L129" s="130"/>
      <c r="M129" s="130"/>
      <c r="N129" s="130"/>
      <c r="O129" s="130"/>
      <c r="P129" s="130"/>
      <c r="Q129" s="856">
        <f t="shared" ca="1" si="142"/>
        <v>0</v>
      </c>
      <c r="U129" t="s">
        <v>276</v>
      </c>
      <c r="V129" s="720">
        <f t="shared" ref="V129:AG130" si="144">V47-V95</f>
        <v>45961.656636760097</v>
      </c>
      <c r="W129" s="720">
        <f t="shared" si="144"/>
        <v>14170.230924748697</v>
      </c>
      <c r="X129" s="720">
        <f t="shared" si="144"/>
        <v>16289.114632745879</v>
      </c>
      <c r="Y129" s="720">
        <f t="shared" si="144"/>
        <v>12780.593707040669</v>
      </c>
      <c r="Z129" s="720">
        <f t="shared" si="144"/>
        <v>28615.852077168925</v>
      </c>
      <c r="AA129" s="720">
        <f t="shared" si="144"/>
        <v>28003.835439088067</v>
      </c>
      <c r="AB129" s="720">
        <f t="shared" si="144"/>
        <v>47840.39635171488</v>
      </c>
      <c r="AC129" s="720">
        <f t="shared" si="144"/>
        <v>50773.021800679024</v>
      </c>
      <c r="AD129" s="720">
        <f t="shared" si="144"/>
        <v>39394.069127491442</v>
      </c>
      <c r="AE129" s="720">
        <f t="shared" si="144"/>
        <v>38756.26187956494</v>
      </c>
      <c r="AF129" s="720">
        <f t="shared" si="144"/>
        <v>52555.932327176488</v>
      </c>
      <c r="AG129" s="720">
        <f t="shared" si="144"/>
        <v>46379.549568947979</v>
      </c>
      <c r="AH129" s="231">
        <f t="shared" si="128"/>
        <v>421520.51447312714</v>
      </c>
    </row>
    <row r="130" spans="1:49" ht="21.65" customHeight="1">
      <c r="A130" s="868" t="str">
        <f>Table3[[#This Row],[Product]]</f>
        <v>NGL (m3)</v>
      </c>
      <c r="B130" s="28" t="s">
        <v>76</v>
      </c>
      <c r="C130" s="28" t="s">
        <v>75</v>
      </c>
      <c r="D130" s="851">
        <v>3678.3940000000002</v>
      </c>
      <c r="E130" s="851">
        <v>1838.3520000000001</v>
      </c>
      <c r="F130" s="851">
        <v>0</v>
      </c>
      <c r="G130" s="1004">
        <v>1836.519</v>
      </c>
      <c r="H130" s="1145">
        <v>1839.896</v>
      </c>
      <c r="I130" s="1248">
        <v>1837.54</v>
      </c>
      <c r="J130" s="1301">
        <v>1840.931</v>
      </c>
      <c r="K130" s="130"/>
      <c r="L130" s="130"/>
      <c r="M130" s="130"/>
      <c r="N130" s="130"/>
      <c r="O130" s="130"/>
      <c r="P130" s="130"/>
      <c r="Q130" s="856">
        <f t="shared" ca="1" si="142"/>
        <v>0</v>
      </c>
      <c r="U130" t="s">
        <v>538</v>
      </c>
      <c r="V130" s="720">
        <f t="shared" si="144"/>
        <v>3818.706171744333</v>
      </c>
      <c r="W130" s="720">
        <f t="shared" si="144"/>
        <v>10204.587738887816</v>
      </c>
      <c r="X130" s="720">
        <f t="shared" si="144"/>
        <v>16514.495666930892</v>
      </c>
      <c r="Y130" s="720">
        <f t="shared" si="144"/>
        <v>14474.886578951066</v>
      </c>
      <c r="Z130" s="720">
        <f t="shared" si="144"/>
        <v>15755.633485168275</v>
      </c>
      <c r="AA130" s="720">
        <f t="shared" si="144"/>
        <v>17919.268334274173</v>
      </c>
      <c r="AB130" s="720">
        <f t="shared" si="144"/>
        <v>11520.317097779624</v>
      </c>
      <c r="AC130" s="720">
        <f t="shared" si="144"/>
        <v>13034.310298948001</v>
      </c>
      <c r="AD130" s="720">
        <f t="shared" si="144"/>
        <v>10418.832127165053</v>
      </c>
      <c r="AE130" s="720">
        <f t="shared" si="144"/>
        <v>10343.342713720962</v>
      </c>
      <c r="AF130" s="720">
        <f t="shared" si="144"/>
        <v>13797.262174458181</v>
      </c>
      <c r="AG130" s="720">
        <f t="shared" si="144"/>
        <v>12103.092164002815</v>
      </c>
      <c r="AH130" s="231">
        <f t="shared" si="128"/>
        <v>149904.73455203118</v>
      </c>
    </row>
    <row r="131" spans="1:49" ht="31.5" customHeight="1">
      <c r="A131" s="868" t="str">
        <f>Table3[[#This Row],[Product]]</f>
        <v>NGL (m3)</v>
      </c>
      <c r="B131" s="28" t="s">
        <v>76</v>
      </c>
      <c r="C131" s="28" t="s">
        <v>531</v>
      </c>
      <c r="D131" s="851">
        <v>1838.933</v>
      </c>
      <c r="E131" s="851">
        <v>1840.15</v>
      </c>
      <c r="F131" s="851">
        <v>1840.0509999999999</v>
      </c>
      <c r="G131" s="1004">
        <v>3677.0259999999998</v>
      </c>
      <c r="H131" s="1145">
        <v>1839.6659999999999</v>
      </c>
      <c r="I131" s="1248">
        <v>3680.558</v>
      </c>
      <c r="J131" s="1301">
        <v>1837.829</v>
      </c>
      <c r="K131" s="130"/>
      <c r="L131" s="130"/>
      <c r="M131" s="130"/>
      <c r="N131" s="130"/>
      <c r="O131" s="130"/>
      <c r="P131" s="130"/>
      <c r="Q131" s="856"/>
      <c r="T131" t="s">
        <v>226</v>
      </c>
      <c r="U131" t="s">
        <v>276</v>
      </c>
      <c r="V131" s="720">
        <f t="shared" ref="V131:AG131" si="145">V49-V97</f>
        <v>24398.1062049346</v>
      </c>
      <c r="W131" s="720">
        <f t="shared" si="145"/>
        <v>19902.879119149853</v>
      </c>
      <c r="X131" s="720">
        <f t="shared" si="145"/>
        <v>20705.292098077356</v>
      </c>
      <c r="Y131" s="720">
        <f t="shared" si="145"/>
        <v>19515.213775557579</v>
      </c>
      <c r="Z131" s="720">
        <f t="shared" si="145"/>
        <v>13407.603616787317</v>
      </c>
      <c r="AA131" s="720">
        <f t="shared" si="145"/>
        <v>10373.68673870115</v>
      </c>
      <c r="AB131" s="720">
        <f t="shared" si="145"/>
        <v>20067.649138067729</v>
      </c>
      <c r="AC131" s="720">
        <f t="shared" si="145"/>
        <v>0</v>
      </c>
      <c r="AD131" s="720">
        <f t="shared" si="145"/>
        <v>0</v>
      </c>
      <c r="AE131" s="720">
        <f t="shared" si="145"/>
        <v>0</v>
      </c>
      <c r="AF131" s="720">
        <f t="shared" si="145"/>
        <v>0</v>
      </c>
      <c r="AG131" s="720">
        <f t="shared" si="145"/>
        <v>0</v>
      </c>
      <c r="AH131" s="231">
        <f t="shared" si="128"/>
        <v>128370.43069127559</v>
      </c>
    </row>
    <row r="132" spans="1:49" s="131" customFormat="1" ht="27.65" customHeight="1">
      <c r="A132" s="868" t="str">
        <f>Table3[[#This Row],[Product]]</f>
        <v>NGL (m3)</v>
      </c>
      <c r="B132" s="227"/>
      <c r="C132" s="33" t="s">
        <v>35</v>
      </c>
      <c r="D132" s="961">
        <f>D125</f>
        <v>34742.57</v>
      </c>
      <c r="E132" s="961">
        <f>E125</f>
        <v>38002.339999999997</v>
      </c>
      <c r="F132" s="970">
        <f t="shared" ref="F132:P132" si="146">F125</f>
        <v>38158.199999999997</v>
      </c>
      <c r="G132" s="803">
        <f t="shared" si="146"/>
        <v>40670.57</v>
      </c>
      <c r="H132" s="1050">
        <f t="shared" si="146"/>
        <v>29595.41</v>
      </c>
      <c r="I132" s="803">
        <f t="shared" ref="I132" si="147">I125</f>
        <v>40890.44</v>
      </c>
      <c r="J132" s="803">
        <f t="shared" si="146"/>
        <v>40890.44</v>
      </c>
      <c r="K132" s="130">
        <f t="shared" si="146"/>
        <v>0</v>
      </c>
      <c r="L132" s="130">
        <f t="shared" si="146"/>
        <v>0</v>
      </c>
      <c r="M132" s="130">
        <f t="shared" si="146"/>
        <v>0</v>
      </c>
      <c r="N132" s="130">
        <f t="shared" si="146"/>
        <v>0</v>
      </c>
      <c r="O132" s="130">
        <f t="shared" si="146"/>
        <v>0</v>
      </c>
      <c r="P132" s="130">
        <f t="shared" si="146"/>
        <v>0</v>
      </c>
      <c r="Q132" s="856">
        <f t="shared" ca="1" si="142"/>
        <v>0</v>
      </c>
      <c r="S132"/>
      <c r="T132"/>
      <c r="U132" t="s">
        <v>538</v>
      </c>
      <c r="V132" s="720">
        <f t="shared" ref="V132:AG132" si="148">V50-V98</f>
        <v>0</v>
      </c>
      <c r="W132" s="720">
        <f t="shared" si="148"/>
        <v>0</v>
      </c>
      <c r="X132" s="720">
        <f t="shared" si="148"/>
        <v>0</v>
      </c>
      <c r="Y132" s="720">
        <f t="shared" si="148"/>
        <v>0</v>
      </c>
      <c r="Z132" s="720">
        <f t="shared" si="148"/>
        <v>0</v>
      </c>
      <c r="AA132" s="720">
        <f t="shared" si="148"/>
        <v>0</v>
      </c>
      <c r="AB132" s="720">
        <f t="shared" si="148"/>
        <v>0</v>
      </c>
      <c r="AC132" s="720">
        <f t="shared" si="148"/>
        <v>0</v>
      </c>
      <c r="AD132" s="720">
        <f t="shared" si="148"/>
        <v>0</v>
      </c>
      <c r="AE132" s="720">
        <f t="shared" si="148"/>
        <v>0</v>
      </c>
      <c r="AF132" s="720">
        <f t="shared" si="148"/>
        <v>0</v>
      </c>
      <c r="AG132" s="720">
        <f t="shared" si="148"/>
        <v>0</v>
      </c>
      <c r="AH132" s="231">
        <f t="shared" si="128"/>
        <v>0</v>
      </c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 spans="1:49" s="131" customFormat="1" ht="24.75" customHeight="1">
      <c r="A133" s="868" t="str">
        <f>Table3[[#This Row],[Product]]</f>
        <v>NGL (m3)</v>
      </c>
      <c r="B133" s="227"/>
      <c r="C133" s="33" t="s">
        <v>36</v>
      </c>
      <c r="D133" s="961">
        <f>SUM(D126:D127)</f>
        <v>42477.402999999998</v>
      </c>
      <c r="E133" s="961">
        <f>SUM(E126:E127)</f>
        <v>45899.934999999998</v>
      </c>
      <c r="F133" s="803">
        <f t="shared" ref="F133:P133" si="149">SUM(F126:F127)</f>
        <v>40114.453000000001</v>
      </c>
      <c r="G133" s="803">
        <f t="shared" si="149"/>
        <v>43492.561000000002</v>
      </c>
      <c r="H133" s="1050">
        <f>SUM(H126:H127)</f>
        <v>43897.807000000001</v>
      </c>
      <c r="I133" s="803">
        <f t="shared" ref="I133" si="150">SUM(I126:I127)</f>
        <v>43791</v>
      </c>
      <c r="J133" s="803">
        <f t="shared" si="149"/>
        <v>42174.123</v>
      </c>
      <c r="K133" s="130">
        <f t="shared" si="149"/>
        <v>0</v>
      </c>
      <c r="L133" s="130">
        <f t="shared" si="149"/>
        <v>0</v>
      </c>
      <c r="M133" s="130">
        <f t="shared" si="149"/>
        <v>0</v>
      </c>
      <c r="N133" s="130">
        <f t="shared" si="149"/>
        <v>0</v>
      </c>
      <c r="O133" s="130">
        <f t="shared" si="149"/>
        <v>0</v>
      </c>
      <c r="P133" s="130">
        <f t="shared" si="149"/>
        <v>0</v>
      </c>
      <c r="Q133" s="856">
        <f t="shared" ca="1" si="142"/>
        <v>0</v>
      </c>
      <c r="T133" t="s">
        <v>227</v>
      </c>
      <c r="U133" t="s">
        <v>276</v>
      </c>
      <c r="V133" s="720">
        <f t="shared" ref="V133:AG133" si="151">V51-V99</f>
        <v>14618.583978434915</v>
      </c>
      <c r="W133" s="720">
        <f t="shared" si="151"/>
        <v>11735.145396898246</v>
      </c>
      <c r="X133" s="720">
        <f t="shared" si="151"/>
        <v>13668.272956725321</v>
      </c>
      <c r="Y133" s="720">
        <f t="shared" si="151"/>
        <v>10670.411112428257</v>
      </c>
      <c r="Z133" s="720">
        <f t="shared" si="151"/>
        <v>8203.5287800104361</v>
      </c>
      <c r="AA133" s="720">
        <f t="shared" si="151"/>
        <v>12123.902825461266</v>
      </c>
      <c r="AB133" s="720">
        <f t="shared" si="151"/>
        <v>5673.3346831324025</v>
      </c>
      <c r="AC133" s="720">
        <f t="shared" si="151"/>
        <v>0</v>
      </c>
      <c r="AD133" s="720">
        <f t="shared" si="151"/>
        <v>0</v>
      </c>
      <c r="AE133" s="720">
        <f t="shared" si="151"/>
        <v>0</v>
      </c>
      <c r="AF133" s="720">
        <f t="shared" si="151"/>
        <v>0</v>
      </c>
      <c r="AG133" s="720">
        <f t="shared" si="151"/>
        <v>0</v>
      </c>
      <c r="AH133" s="231">
        <f t="shared" si="128"/>
        <v>76693.179733090845</v>
      </c>
    </row>
    <row r="134" spans="1:49" s="131" customFormat="1" ht="23" customHeight="1">
      <c r="A134" s="868" t="str">
        <f>Table3[[#This Row],[Product]]</f>
        <v>NGL (m3)</v>
      </c>
      <c r="B134" s="227"/>
      <c r="C134" s="34" t="s">
        <v>37</v>
      </c>
      <c r="D134" s="961">
        <f>SUM(D125:D131)</f>
        <v>84690.115000000005</v>
      </c>
      <c r="E134" s="961">
        <f>SUM(E125:E131)</f>
        <v>87580.776999999987</v>
      </c>
      <c r="F134" s="803">
        <f t="shared" ref="F134:P134" si="152">SUM(F125:F131)</f>
        <v>82009.794999999998</v>
      </c>
      <c r="G134" s="803">
        <f t="shared" si="152"/>
        <v>89676.675999999992</v>
      </c>
      <c r="H134" s="1050">
        <f t="shared" si="152"/>
        <v>77172.778999999995</v>
      </c>
      <c r="I134" s="803">
        <f>SUM(I125:I131)</f>
        <v>90199.538</v>
      </c>
      <c r="J134" s="803">
        <f t="shared" si="152"/>
        <v>86743.322999999989</v>
      </c>
      <c r="K134" s="130">
        <f t="shared" si="152"/>
        <v>0</v>
      </c>
      <c r="L134" s="130">
        <f t="shared" si="152"/>
        <v>0</v>
      </c>
      <c r="M134" s="130">
        <f t="shared" si="152"/>
        <v>0</v>
      </c>
      <c r="N134" s="130">
        <f t="shared" si="152"/>
        <v>0</v>
      </c>
      <c r="O134" s="130">
        <f t="shared" si="152"/>
        <v>0</v>
      </c>
      <c r="P134" s="130">
        <f t="shared" si="152"/>
        <v>0</v>
      </c>
      <c r="Q134" s="856">
        <f t="shared" ca="1" si="142"/>
        <v>0</v>
      </c>
      <c r="T134"/>
      <c r="U134" t="s">
        <v>538</v>
      </c>
      <c r="V134" s="720">
        <f t="shared" ref="V134:AG134" si="153">V52-V100</f>
        <v>0</v>
      </c>
      <c r="W134" s="720">
        <f t="shared" si="153"/>
        <v>0</v>
      </c>
      <c r="X134" s="720">
        <f t="shared" si="153"/>
        <v>0</v>
      </c>
      <c r="Y134" s="720">
        <f t="shared" si="153"/>
        <v>0</v>
      </c>
      <c r="Z134" s="720">
        <f t="shared" si="153"/>
        <v>0</v>
      </c>
      <c r="AA134" s="720">
        <f t="shared" si="153"/>
        <v>0</v>
      </c>
      <c r="AB134" s="720">
        <f t="shared" si="153"/>
        <v>0</v>
      </c>
      <c r="AC134" s="720">
        <f t="shared" si="153"/>
        <v>0</v>
      </c>
      <c r="AD134" s="720">
        <f t="shared" si="153"/>
        <v>0</v>
      </c>
      <c r="AE134" s="720">
        <f t="shared" si="153"/>
        <v>0</v>
      </c>
      <c r="AF134" s="720">
        <f t="shared" si="153"/>
        <v>0</v>
      </c>
      <c r="AG134" s="720">
        <f t="shared" si="153"/>
        <v>0</v>
      </c>
      <c r="AH134" s="231">
        <f t="shared" si="128"/>
        <v>0</v>
      </c>
    </row>
    <row r="135" spans="1:49" s="131" customFormat="1" ht="23" customHeight="1">
      <c r="A135" s="867" t="str">
        <f>Table3[[#This Row],[Product]]</f>
        <v>NGL (Ton)</v>
      </c>
      <c r="B135" s="225" t="s">
        <v>25</v>
      </c>
      <c r="C135" s="28" t="s">
        <v>72</v>
      </c>
      <c r="D135" s="689">
        <v>22546.98</v>
      </c>
      <c r="E135" s="1051">
        <v>24661.67</v>
      </c>
      <c r="F135" s="977">
        <v>24769.89</v>
      </c>
      <c r="G135" s="1056">
        <v>26391.09</v>
      </c>
      <c r="H135" s="1135">
        <v>19204.689999999999</v>
      </c>
      <c r="I135" s="1235">
        <v>26500.12</v>
      </c>
      <c r="J135" s="1283">
        <v>26500.12</v>
      </c>
      <c r="K135" s="229">
        <f>'Rolling พี่เตย'!K118*1000</f>
        <v>18000</v>
      </c>
      <c r="L135" s="229">
        <f>'Rolling พี่เตย'!L118*1000</f>
        <v>22000</v>
      </c>
      <c r="M135" s="229">
        <f>'Rolling พี่เตย'!M118*1000</f>
        <v>19000</v>
      </c>
      <c r="N135" s="229">
        <f>'Rolling พี่เตย'!N118*1000</f>
        <v>17000</v>
      </c>
      <c r="O135" s="229">
        <f>'Rolling พี่เตย'!O118*1000</f>
        <v>20500</v>
      </c>
      <c r="P135" s="229">
        <f>'Rolling พี่เตย'!P118*1000</f>
        <v>21000</v>
      </c>
      <c r="Q135" s="853">
        <f>SUM(E135:P135)</f>
        <v>265527.57999999996</v>
      </c>
      <c r="T135" t="s">
        <v>228</v>
      </c>
      <c r="U135" t="s">
        <v>276</v>
      </c>
      <c r="V135" s="720">
        <f t="shared" ref="V135:AG135" si="154">V53-V101</f>
        <v>0</v>
      </c>
      <c r="W135" s="720">
        <f t="shared" si="154"/>
        <v>0</v>
      </c>
      <c r="X135" s="720">
        <f t="shared" si="154"/>
        <v>0</v>
      </c>
      <c r="Y135" s="720">
        <f t="shared" si="154"/>
        <v>0</v>
      </c>
      <c r="Z135" s="720">
        <f t="shared" si="154"/>
        <v>0</v>
      </c>
      <c r="AA135" s="720">
        <f t="shared" si="154"/>
        <v>0</v>
      </c>
      <c r="AB135" s="720">
        <f t="shared" si="154"/>
        <v>0</v>
      </c>
      <c r="AC135" s="720">
        <f t="shared" si="154"/>
        <v>0</v>
      </c>
      <c r="AD135" s="720">
        <f t="shared" si="154"/>
        <v>0</v>
      </c>
      <c r="AE135" s="720">
        <f t="shared" si="154"/>
        <v>0</v>
      </c>
      <c r="AF135" s="720">
        <f t="shared" si="154"/>
        <v>0</v>
      </c>
      <c r="AG135" s="720">
        <f t="shared" si="154"/>
        <v>0</v>
      </c>
      <c r="AH135" s="231">
        <f t="shared" si="128"/>
        <v>0</v>
      </c>
    </row>
    <row r="136" spans="1:49" s="131" customFormat="1" ht="23" customHeight="1">
      <c r="A136" s="867" t="str">
        <f>Table3[[#This Row],[Product]]</f>
        <v>NGL (Ton)</v>
      </c>
      <c r="B136" s="28" t="s">
        <v>25</v>
      </c>
      <c r="C136" s="28" t="s">
        <v>73</v>
      </c>
      <c r="D136" s="689">
        <v>9403.4030000000002</v>
      </c>
      <c r="E136" s="1051">
        <v>0</v>
      </c>
      <c r="F136" s="977">
        <v>0</v>
      </c>
      <c r="G136" s="1056">
        <v>0</v>
      </c>
      <c r="H136" s="1135">
        <v>0</v>
      </c>
      <c r="I136" s="1235">
        <v>0</v>
      </c>
      <c r="J136" s="1283">
        <v>0</v>
      </c>
      <c r="K136" s="229">
        <f>'Rolling พี่เตย'!K119*1000</f>
        <v>21384</v>
      </c>
      <c r="L136" s="229">
        <f>'Rolling พี่เตย'!L119*1000</f>
        <v>28272</v>
      </c>
      <c r="M136" s="229">
        <f>'Rolling พี่เตย'!M119*1000</f>
        <v>27360</v>
      </c>
      <c r="N136" s="229">
        <f>'Rolling พี่เตย'!N119*1000</f>
        <v>25296.000000000004</v>
      </c>
      <c r="O136" s="229">
        <f>'Rolling พี่เตย'!O119*1000</f>
        <v>27360</v>
      </c>
      <c r="P136" s="229">
        <f>'Rolling พี่เตย'!P119*1000</f>
        <v>28272</v>
      </c>
      <c r="Q136" s="853">
        <f t="shared" ref="Q136:Q143" si="155">SUM(E136:P136)</f>
        <v>157944</v>
      </c>
      <c r="T136"/>
      <c r="U136" t="s">
        <v>538</v>
      </c>
      <c r="V136" s="720">
        <f t="shared" ref="V136:AG136" si="156">V54-V102</f>
        <v>1823.7270566362772</v>
      </c>
      <c r="W136" s="720">
        <f t="shared" si="156"/>
        <v>0</v>
      </c>
      <c r="X136" s="720">
        <f t="shared" si="156"/>
        <v>8441.367693030541</v>
      </c>
      <c r="Y136" s="720">
        <f t="shared" si="156"/>
        <v>5086.35379510039</v>
      </c>
      <c r="Z136" s="720">
        <f t="shared" si="156"/>
        <v>7012.7728683760661</v>
      </c>
      <c r="AA136" s="720">
        <f t="shared" si="156"/>
        <v>10759.592823321427</v>
      </c>
      <c r="AB136" s="720">
        <f t="shared" si="156"/>
        <v>8086.5193563769226</v>
      </c>
      <c r="AC136" s="720">
        <f t="shared" si="156"/>
        <v>9149.2449066164027</v>
      </c>
      <c r="AD136" s="720">
        <f t="shared" si="156"/>
        <v>7313.3479705519858</v>
      </c>
      <c r="AE136" s="720">
        <f t="shared" si="156"/>
        <v>7260.3592725989711</v>
      </c>
      <c r="AF136" s="720">
        <f t="shared" si="156"/>
        <v>9684.7879005229042</v>
      </c>
      <c r="AG136" s="720">
        <f t="shared" si="156"/>
        <v>8495.589854474234</v>
      </c>
      <c r="AH136" s="231">
        <f t="shared" si="128"/>
        <v>83113.663497606118</v>
      </c>
    </row>
    <row r="137" spans="1:49" s="131" customFormat="1" ht="23" customHeight="1">
      <c r="A137" s="867" t="str">
        <f>Table3[[#This Row],[Product]]</f>
        <v>NGL (Ton)</v>
      </c>
      <c r="B137" s="28" t="s">
        <v>25</v>
      </c>
      <c r="C137" s="28" t="s">
        <v>74</v>
      </c>
      <c r="D137" s="689">
        <v>18170.543000000001</v>
      </c>
      <c r="E137" s="1051">
        <v>29802.144</v>
      </c>
      <c r="F137" s="977">
        <v>26055.308000000001</v>
      </c>
      <c r="G137" s="1056">
        <v>28237.832999999999</v>
      </c>
      <c r="H137" s="1131">
        <v>28503.746999999999</v>
      </c>
      <c r="I137" s="1235">
        <v>28386</v>
      </c>
      <c r="J137" s="1283">
        <v>27335.118999999999</v>
      </c>
      <c r="K137" s="229"/>
      <c r="L137" s="229"/>
      <c r="M137" s="229"/>
      <c r="N137" s="229"/>
      <c r="O137" s="229"/>
      <c r="P137" s="229"/>
      <c r="Q137" s="853">
        <f t="shared" si="155"/>
        <v>168320.15100000001</v>
      </c>
      <c r="T137" t="s">
        <v>229</v>
      </c>
      <c r="U137" t="s">
        <v>276</v>
      </c>
      <c r="V137" s="720">
        <f t="shared" ref="V137:AG137" si="157">V55-V103</f>
        <v>0</v>
      </c>
      <c r="W137" s="720">
        <f t="shared" si="157"/>
        <v>0</v>
      </c>
      <c r="X137" s="720">
        <f t="shared" si="157"/>
        <v>0</v>
      </c>
      <c r="Y137" s="720">
        <f t="shared" si="157"/>
        <v>0</v>
      </c>
      <c r="Z137" s="720">
        <f t="shared" si="157"/>
        <v>0</v>
      </c>
      <c r="AA137" s="720">
        <f t="shared" si="157"/>
        <v>0</v>
      </c>
      <c r="AB137" s="720">
        <f t="shared" si="157"/>
        <v>0</v>
      </c>
      <c r="AC137" s="720">
        <f t="shared" si="157"/>
        <v>0</v>
      </c>
      <c r="AD137" s="720">
        <f t="shared" si="157"/>
        <v>0</v>
      </c>
      <c r="AE137" s="720">
        <f t="shared" si="157"/>
        <v>0</v>
      </c>
      <c r="AF137" s="720">
        <f t="shared" si="157"/>
        <v>0</v>
      </c>
      <c r="AG137" s="720">
        <f t="shared" si="157"/>
        <v>0</v>
      </c>
      <c r="AH137" s="231">
        <f t="shared" si="128"/>
        <v>0</v>
      </c>
    </row>
    <row r="138" spans="1:49" s="131" customFormat="1" ht="23" customHeight="1">
      <c r="A138" s="867" t="str">
        <f>Table3[[#This Row],[Product]]</f>
        <v>NGL (Ton)</v>
      </c>
      <c r="B138" s="28" t="s">
        <v>25</v>
      </c>
      <c r="C138" s="28" t="s">
        <v>77</v>
      </c>
      <c r="D138" s="689">
        <v>1264.18</v>
      </c>
      <c r="E138" s="1051">
        <v>0</v>
      </c>
      <c r="F138" s="977">
        <v>1228.6950000000002</v>
      </c>
      <c r="G138" s="1009">
        <v>0</v>
      </c>
      <c r="H138" s="1131">
        <v>0</v>
      </c>
      <c r="I138" s="1235">
        <v>0</v>
      </c>
      <c r="J138" s="1283">
        <v>0</v>
      </c>
      <c r="K138" s="229">
        <f>'Rolling พี่เตย'!K120*1000</f>
        <v>1166.4000000000001</v>
      </c>
      <c r="L138" s="229">
        <f>'Rolling พี่เตย'!L120*1000</f>
        <v>0</v>
      </c>
      <c r="M138" s="229">
        <f>'Rolling พี่เตย'!M120*1000</f>
        <v>0</v>
      </c>
      <c r="N138" s="229">
        <f>'Rolling พี่เตย'!N120*1000</f>
        <v>0</v>
      </c>
      <c r="O138" s="229">
        <f>'Rolling พี่เตย'!O120*1000</f>
        <v>0</v>
      </c>
      <c r="P138" s="229">
        <f>'Rolling พี่เตย'!P120*1000</f>
        <v>0</v>
      </c>
      <c r="Q138" s="853">
        <f t="shared" si="155"/>
        <v>2395.0950000000003</v>
      </c>
      <c r="T138"/>
      <c r="U138" t="s">
        <v>538</v>
      </c>
      <c r="V138" s="720">
        <f t="shared" ref="V138:AG138" si="158">V56-V104</f>
        <v>1495.861920806479</v>
      </c>
      <c r="W138" s="720">
        <f t="shared" si="158"/>
        <v>2176.3286575521597</v>
      </c>
      <c r="X138" s="720">
        <f t="shared" si="158"/>
        <v>3498.812157009414</v>
      </c>
      <c r="Y138" s="720">
        <f t="shared" si="158"/>
        <v>3540.5512990488101</v>
      </c>
      <c r="Z138" s="720">
        <f t="shared" si="158"/>
        <v>3296.149046789742</v>
      </c>
      <c r="AA138" s="720">
        <f t="shared" si="158"/>
        <v>3831.5280919926663</v>
      </c>
      <c r="AB138" s="720">
        <f t="shared" si="158"/>
        <v>3121.6343103660911</v>
      </c>
      <c r="AC138" s="720">
        <f t="shared" si="158"/>
        <v>3531.8776293923615</v>
      </c>
      <c r="AD138" s="720">
        <f t="shared" si="158"/>
        <v>2823.1674151027883</v>
      </c>
      <c r="AE138" s="720">
        <f t="shared" si="158"/>
        <v>2802.7122192018087</v>
      </c>
      <c r="AF138" s="720">
        <f t="shared" si="158"/>
        <v>3738.6129763047975</v>
      </c>
      <c r="AG138" s="720">
        <f t="shared" si="158"/>
        <v>3279.5475541168917</v>
      </c>
      <c r="AH138" s="231">
        <f t="shared" si="128"/>
        <v>37136.783277684015</v>
      </c>
    </row>
    <row r="139" spans="1:49" s="131" customFormat="1" ht="23" customHeight="1">
      <c r="A139" s="867" t="str">
        <f>Table3[[#This Row],[Product]]</f>
        <v>NGL (Ton)</v>
      </c>
      <c r="B139" s="28" t="s">
        <v>25</v>
      </c>
      <c r="C139" s="28" t="s">
        <v>78</v>
      </c>
      <c r="D139" s="689">
        <v>0</v>
      </c>
      <c r="E139" s="1051">
        <v>0</v>
      </c>
      <c r="F139" s="977">
        <v>0</v>
      </c>
      <c r="G139" s="1009">
        <v>0</v>
      </c>
      <c r="H139" s="1131">
        <v>0</v>
      </c>
      <c r="I139" s="1235">
        <v>0</v>
      </c>
      <c r="J139" s="1283">
        <v>0</v>
      </c>
      <c r="K139" s="229"/>
      <c r="L139" s="229"/>
      <c r="M139" s="229"/>
      <c r="N139" s="229"/>
      <c r="O139" s="229"/>
      <c r="P139" s="229"/>
      <c r="Q139" s="853">
        <f t="shared" si="155"/>
        <v>0</v>
      </c>
      <c r="T139" t="s">
        <v>133</v>
      </c>
      <c r="U139" t="s">
        <v>276</v>
      </c>
      <c r="V139" s="720">
        <f t="shared" ref="V139:AG139" si="159">V57-V105</f>
        <v>0</v>
      </c>
      <c r="W139" s="720">
        <f t="shared" si="159"/>
        <v>0</v>
      </c>
      <c r="X139" s="720">
        <f t="shared" si="159"/>
        <v>0</v>
      </c>
      <c r="Y139" s="720">
        <f t="shared" si="159"/>
        <v>0</v>
      </c>
      <c r="Z139" s="720">
        <f t="shared" si="159"/>
        <v>0</v>
      </c>
      <c r="AA139" s="720">
        <f t="shared" si="159"/>
        <v>0</v>
      </c>
      <c r="AB139" s="720">
        <f t="shared" si="159"/>
        <v>0</v>
      </c>
      <c r="AC139" s="720">
        <f t="shared" si="159"/>
        <v>0</v>
      </c>
      <c r="AD139" s="720">
        <f t="shared" si="159"/>
        <v>0</v>
      </c>
      <c r="AE139" s="720">
        <f t="shared" si="159"/>
        <v>0</v>
      </c>
      <c r="AF139" s="720">
        <f t="shared" si="159"/>
        <v>0</v>
      </c>
      <c r="AG139" s="720">
        <f t="shared" si="159"/>
        <v>0</v>
      </c>
      <c r="AH139" s="231">
        <f t="shared" si="128"/>
        <v>0</v>
      </c>
    </row>
    <row r="140" spans="1:49" s="131" customFormat="1" ht="23" customHeight="1">
      <c r="A140" s="867" t="str">
        <f>Table3[[#This Row],[Product]]</f>
        <v>NGL (Ton)</v>
      </c>
      <c r="B140" s="28" t="s">
        <v>76</v>
      </c>
      <c r="C140" s="28" t="s">
        <v>75</v>
      </c>
      <c r="D140" s="689">
        <v>2405.0540000000001</v>
      </c>
      <c r="E140" s="1051">
        <v>1200.547</v>
      </c>
      <c r="F140" s="977">
        <v>0</v>
      </c>
      <c r="G140" s="1009">
        <v>1199.92</v>
      </c>
      <c r="H140" s="529">
        <v>1201.556</v>
      </c>
      <c r="I140" s="1235">
        <v>1198.232</v>
      </c>
      <c r="J140" s="1283">
        <v>1202.8030000000001</v>
      </c>
      <c r="K140" s="229">
        <f>SUM('Rolling พี่เตย'!K121:K122)*1000</f>
        <v>1231.2</v>
      </c>
      <c r="L140" s="229">
        <f>SUM('Rolling พี่เตย'!L121:L122)*1000</f>
        <v>3693.6</v>
      </c>
      <c r="M140" s="229">
        <f>SUM('Rolling พี่เตย'!M121:M122)*1000</f>
        <v>2462.4</v>
      </c>
      <c r="N140" s="229">
        <f>SUM('Rolling พี่เตย'!N121:N122)*1000</f>
        <v>3693.6</v>
      </c>
      <c r="O140" s="229">
        <f>SUM('Rolling พี่เตย'!O121:O122)*1000</f>
        <v>2462.4</v>
      </c>
      <c r="P140" s="229">
        <f>SUM('Rolling พี่เตย'!P121:P122)*1000</f>
        <v>3693.6</v>
      </c>
      <c r="Q140" s="853">
        <f t="shared" si="155"/>
        <v>23239.858</v>
      </c>
      <c r="T140"/>
      <c r="U140" t="s">
        <v>538</v>
      </c>
      <c r="V140" s="720">
        <f t="shared" ref="V140:AG140" si="160">V58-V106</f>
        <v>0</v>
      </c>
      <c r="W140" s="720">
        <f t="shared" si="160"/>
        <v>0</v>
      </c>
      <c r="X140" s="720">
        <f t="shared" si="160"/>
        <v>0</v>
      </c>
      <c r="Y140" s="720">
        <f t="shared" si="160"/>
        <v>0</v>
      </c>
      <c r="Z140" s="720">
        <f t="shared" si="160"/>
        <v>0</v>
      </c>
      <c r="AA140" s="720">
        <f t="shared" si="160"/>
        <v>0</v>
      </c>
      <c r="AB140" s="720">
        <f t="shared" si="160"/>
        <v>0</v>
      </c>
      <c r="AC140" s="720">
        <f t="shared" si="160"/>
        <v>0</v>
      </c>
      <c r="AD140" s="720">
        <f t="shared" si="160"/>
        <v>0</v>
      </c>
      <c r="AE140" s="720">
        <f t="shared" si="160"/>
        <v>0</v>
      </c>
      <c r="AF140" s="720">
        <f t="shared" si="160"/>
        <v>0</v>
      </c>
      <c r="AG140" s="720">
        <f t="shared" si="160"/>
        <v>0</v>
      </c>
      <c r="AH140" s="231">
        <f t="shared" si="128"/>
        <v>0</v>
      </c>
    </row>
    <row r="141" spans="1:49" s="131" customFormat="1" ht="23" customHeight="1">
      <c r="A141" s="867" t="str">
        <f>Table3[[#This Row],[Product]]</f>
        <v>NGL (Ton)</v>
      </c>
      <c r="B141" s="28" t="s">
        <v>76</v>
      </c>
      <c r="C141" s="28" t="s">
        <v>531</v>
      </c>
      <c r="D141" s="689">
        <v>1202.069</v>
      </c>
      <c r="E141" s="1052">
        <v>1202.865</v>
      </c>
      <c r="F141" s="977">
        <v>1202.2280000000001</v>
      </c>
      <c r="G141" s="1009">
        <v>2398.3019999999997</v>
      </c>
      <c r="H141" s="529">
        <v>1203.1189999999999</v>
      </c>
      <c r="I141" s="1235">
        <v>2403.6120000000001</v>
      </c>
      <c r="J141" s="1283">
        <v>1197.8489999999999</v>
      </c>
      <c r="K141" s="229"/>
      <c r="L141" s="229"/>
      <c r="M141" s="229"/>
      <c r="N141" s="229"/>
      <c r="O141" s="229"/>
      <c r="P141" s="229"/>
      <c r="Q141" s="853"/>
      <c r="T141" t="s">
        <v>230</v>
      </c>
      <c r="U141" t="s">
        <v>276</v>
      </c>
      <c r="V141" s="720">
        <f t="shared" ref="V141:AG141" si="161">V59-V107</f>
        <v>0</v>
      </c>
      <c r="W141" s="720">
        <f t="shared" si="161"/>
        <v>0</v>
      </c>
      <c r="X141" s="720">
        <f t="shared" si="161"/>
        <v>0</v>
      </c>
      <c r="Y141" s="720">
        <f t="shared" si="161"/>
        <v>0</v>
      </c>
      <c r="Z141" s="720">
        <f t="shared" si="161"/>
        <v>0</v>
      </c>
      <c r="AA141" s="720">
        <f t="shared" si="161"/>
        <v>0</v>
      </c>
      <c r="AB141" s="720">
        <f t="shared" si="161"/>
        <v>0</v>
      </c>
      <c r="AC141" s="720">
        <f t="shared" si="161"/>
        <v>0</v>
      </c>
      <c r="AD141" s="720">
        <f t="shared" si="161"/>
        <v>0</v>
      </c>
      <c r="AE141" s="720">
        <f t="shared" si="161"/>
        <v>0</v>
      </c>
      <c r="AF141" s="720">
        <f t="shared" si="161"/>
        <v>0</v>
      </c>
      <c r="AG141" s="720">
        <f t="shared" si="161"/>
        <v>0</v>
      </c>
      <c r="AH141" s="231">
        <f t="shared" si="128"/>
        <v>0</v>
      </c>
    </row>
    <row r="142" spans="1:49" ht="23" customHeight="1">
      <c r="A142" s="867" t="str">
        <f>Table3[[#This Row],[Product]]</f>
        <v>NGL (Ton)</v>
      </c>
      <c r="B142" s="28"/>
      <c r="C142" s="33" t="s">
        <v>35</v>
      </c>
      <c r="D142" s="689">
        <f>D135</f>
        <v>22546.98</v>
      </c>
      <c r="E142" s="1051">
        <f>E135</f>
        <v>24661.67</v>
      </c>
      <c r="F142" s="827">
        <f t="shared" ref="F142:P142" si="162">F135</f>
        <v>24769.89</v>
      </c>
      <c r="G142" s="827">
        <f>G135</f>
        <v>26391.09</v>
      </c>
      <c r="H142" s="1042">
        <f t="shared" si="162"/>
        <v>19204.689999999999</v>
      </c>
      <c r="I142" s="827">
        <f t="shared" ref="I142" si="163">I135</f>
        <v>26500.12</v>
      </c>
      <c r="J142" s="827">
        <f t="shared" si="162"/>
        <v>26500.12</v>
      </c>
      <c r="K142" s="804">
        <f t="shared" si="162"/>
        <v>18000</v>
      </c>
      <c r="L142" s="804">
        <f t="shared" si="162"/>
        <v>22000</v>
      </c>
      <c r="M142" s="804">
        <f t="shared" si="162"/>
        <v>19000</v>
      </c>
      <c r="N142" s="804">
        <f t="shared" si="162"/>
        <v>17000</v>
      </c>
      <c r="O142" s="804">
        <f t="shared" si="162"/>
        <v>20500</v>
      </c>
      <c r="P142" s="804">
        <f t="shared" si="162"/>
        <v>21000</v>
      </c>
      <c r="Q142" s="854">
        <f t="shared" si="155"/>
        <v>265527.57999999996</v>
      </c>
      <c r="S142" s="131"/>
      <c r="U142" t="s">
        <v>538</v>
      </c>
      <c r="V142" s="720">
        <f t="shared" ref="V142:AG142" si="164">V60-V108</f>
        <v>0</v>
      </c>
      <c r="W142" s="720">
        <f t="shared" si="164"/>
        <v>0</v>
      </c>
      <c r="X142" s="720">
        <f t="shared" si="164"/>
        <v>0</v>
      </c>
      <c r="Y142" s="720">
        <f t="shared" si="164"/>
        <v>0</v>
      </c>
      <c r="Z142" s="720">
        <f t="shared" si="164"/>
        <v>0</v>
      </c>
      <c r="AA142" s="720">
        <f t="shared" si="164"/>
        <v>0</v>
      </c>
      <c r="AB142" s="720">
        <f t="shared" si="164"/>
        <v>0</v>
      </c>
      <c r="AC142" s="720">
        <f t="shared" si="164"/>
        <v>0</v>
      </c>
      <c r="AD142" s="720">
        <f t="shared" si="164"/>
        <v>0</v>
      </c>
      <c r="AE142" s="720">
        <f t="shared" si="164"/>
        <v>0</v>
      </c>
      <c r="AF142" s="720">
        <f t="shared" si="164"/>
        <v>0</v>
      </c>
      <c r="AG142" s="720">
        <f t="shared" si="164"/>
        <v>0</v>
      </c>
      <c r="AH142" s="231">
        <f t="shared" si="128"/>
        <v>0</v>
      </c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/>
      <c r="AU142" s="131"/>
      <c r="AV142" s="131"/>
      <c r="AW142" s="131"/>
    </row>
    <row r="143" spans="1:49" ht="22.5" customHeight="1">
      <c r="A143" s="867" t="str">
        <f>Table3[[#This Row],[Product]]</f>
        <v>NGL (Ton)</v>
      </c>
      <c r="B143" s="28"/>
      <c r="C143" s="33" t="s">
        <v>36</v>
      </c>
      <c r="D143" s="689">
        <f>SUM(D136:D137)</f>
        <v>27573.946000000004</v>
      </c>
      <c r="E143" s="1051">
        <f t="shared" ref="E143:P143" si="165">SUM(E136:E137)</f>
        <v>29802.144</v>
      </c>
      <c r="F143" s="827">
        <f t="shared" si="165"/>
        <v>26055.308000000001</v>
      </c>
      <c r="G143" s="827">
        <f t="shared" si="165"/>
        <v>28237.832999999999</v>
      </c>
      <c r="H143" s="1042">
        <f t="shared" si="165"/>
        <v>28503.746999999999</v>
      </c>
      <c r="I143" s="827">
        <f>SUM(I136:I137)</f>
        <v>28386</v>
      </c>
      <c r="J143" s="827">
        <f t="shared" si="165"/>
        <v>27335.118999999999</v>
      </c>
      <c r="K143" s="804">
        <f t="shared" si="165"/>
        <v>21384</v>
      </c>
      <c r="L143" s="804">
        <f t="shared" si="165"/>
        <v>28272</v>
      </c>
      <c r="M143" s="804">
        <f t="shared" si="165"/>
        <v>27360</v>
      </c>
      <c r="N143" s="804">
        <f t="shared" si="165"/>
        <v>25296.000000000004</v>
      </c>
      <c r="O143" s="804">
        <f t="shared" si="165"/>
        <v>27360</v>
      </c>
      <c r="P143" s="804">
        <f t="shared" si="165"/>
        <v>28272</v>
      </c>
      <c r="Q143" s="854">
        <f t="shared" si="155"/>
        <v>326264.15100000001</v>
      </c>
      <c r="T143" t="s">
        <v>231</v>
      </c>
      <c r="U143" t="s">
        <v>276</v>
      </c>
      <c r="V143" s="720">
        <f t="shared" ref="V143:AG143" si="166">V61-V109</f>
        <v>0</v>
      </c>
      <c r="W143" s="720">
        <f t="shared" si="166"/>
        <v>0</v>
      </c>
      <c r="X143" s="720">
        <f t="shared" si="166"/>
        <v>0</v>
      </c>
      <c r="Y143" s="720">
        <f t="shared" si="166"/>
        <v>0</v>
      </c>
      <c r="Z143" s="720">
        <f t="shared" si="166"/>
        <v>0</v>
      </c>
      <c r="AA143" s="720">
        <f t="shared" si="166"/>
        <v>0</v>
      </c>
      <c r="AB143" s="720">
        <f t="shared" si="166"/>
        <v>0</v>
      </c>
      <c r="AC143" s="720">
        <f t="shared" si="166"/>
        <v>0</v>
      </c>
      <c r="AD143" s="720">
        <f t="shared" si="166"/>
        <v>0</v>
      </c>
      <c r="AE143" s="720">
        <f t="shared" si="166"/>
        <v>0</v>
      </c>
      <c r="AF143" s="720">
        <f t="shared" si="166"/>
        <v>0</v>
      </c>
      <c r="AG143" s="720">
        <f t="shared" si="166"/>
        <v>0</v>
      </c>
      <c r="AH143" s="231">
        <f t="shared" si="128"/>
        <v>0</v>
      </c>
    </row>
    <row r="144" spans="1:49" ht="23" customHeight="1">
      <c r="A144" s="867" t="str">
        <f>Table3[[#This Row],[Product]]</f>
        <v>NGL (Ton)</v>
      </c>
      <c r="B144" s="28"/>
      <c r="C144" s="34" t="s">
        <v>37</v>
      </c>
      <c r="D144" s="961">
        <f>SUM(D135:D141)</f>
        <v>54992.229000000007</v>
      </c>
      <c r="E144" s="1277">
        <f>SUM(E135:E141)</f>
        <v>56867.225999999995</v>
      </c>
      <c r="F144" s="827">
        <f>SUM(F135:F141)</f>
        <v>53256.121000000006</v>
      </c>
      <c r="G144" s="827">
        <f t="shared" ref="G144:Q144" si="167">SUM(G135:G141)</f>
        <v>58227.14499999999</v>
      </c>
      <c r="H144" s="1042">
        <f t="shared" si="167"/>
        <v>50113.111999999994</v>
      </c>
      <c r="I144" s="827">
        <f t="shared" ref="I144" si="168">SUM(I135:I141)</f>
        <v>58487.964</v>
      </c>
      <c r="J144" s="827">
        <f t="shared" si="167"/>
        <v>56235.891000000003</v>
      </c>
      <c r="K144" s="804">
        <f t="shared" si="167"/>
        <v>41781.599999999999</v>
      </c>
      <c r="L144" s="804">
        <f t="shared" si="167"/>
        <v>53965.599999999999</v>
      </c>
      <c r="M144" s="804">
        <f t="shared" si="167"/>
        <v>48822.400000000001</v>
      </c>
      <c r="N144" s="804">
        <f t="shared" si="167"/>
        <v>45989.599999999999</v>
      </c>
      <c r="O144" s="804">
        <f t="shared" si="167"/>
        <v>50322.400000000001</v>
      </c>
      <c r="P144" s="804">
        <f t="shared" si="167"/>
        <v>52965.599999999999</v>
      </c>
      <c r="Q144" s="804">
        <f t="shared" si="167"/>
        <v>617426.68399999989</v>
      </c>
      <c r="U144" t="s">
        <v>538</v>
      </c>
      <c r="V144" s="720">
        <f t="shared" ref="V144:AG144" si="169">V62-V110</f>
        <v>0</v>
      </c>
      <c r="W144" s="720">
        <f t="shared" si="169"/>
        <v>0</v>
      </c>
      <c r="X144" s="720">
        <f t="shared" si="169"/>
        <v>0</v>
      </c>
      <c r="Y144" s="720">
        <f t="shared" si="169"/>
        <v>0</v>
      </c>
      <c r="Z144" s="720">
        <f t="shared" si="169"/>
        <v>0</v>
      </c>
      <c r="AA144" s="720">
        <f t="shared" si="169"/>
        <v>0</v>
      </c>
      <c r="AB144" s="720">
        <f t="shared" si="169"/>
        <v>0</v>
      </c>
      <c r="AC144" s="720">
        <f t="shared" si="169"/>
        <v>0</v>
      </c>
      <c r="AD144" s="720">
        <f t="shared" si="169"/>
        <v>0</v>
      </c>
      <c r="AE144" s="720">
        <f t="shared" si="169"/>
        <v>0</v>
      </c>
      <c r="AF144" s="720">
        <f t="shared" si="169"/>
        <v>0</v>
      </c>
      <c r="AG144" s="720">
        <f t="shared" si="169"/>
        <v>0</v>
      </c>
      <c r="AH144" s="231">
        <f t="shared" si="128"/>
        <v>0</v>
      </c>
    </row>
    <row r="145" spans="1:34" ht="21" customHeight="1">
      <c r="A145" s="866" t="str">
        <f>Table3[[#This Row],[Product]]</f>
        <v>Pentane</v>
      </c>
      <c r="B145" s="28" t="s">
        <v>25</v>
      </c>
      <c r="C145" s="28" t="s">
        <v>80</v>
      </c>
      <c r="D145" s="689">
        <v>0</v>
      </c>
      <c r="E145" s="813"/>
      <c r="F145" s="220"/>
      <c r="G145" s="220"/>
      <c r="H145" s="220"/>
      <c r="I145" s="220"/>
      <c r="J145" s="1281">
        <v>0</v>
      </c>
      <c r="K145" s="220"/>
      <c r="L145" s="220"/>
      <c r="M145" s="220"/>
      <c r="N145" s="220"/>
      <c r="O145" s="220"/>
      <c r="P145" s="220"/>
      <c r="Q145" s="857">
        <f>SUM(E145:P145)</f>
        <v>0</v>
      </c>
      <c r="T145" t="s">
        <v>232</v>
      </c>
      <c r="U145" t="s">
        <v>276</v>
      </c>
      <c r="V145" s="720">
        <f t="shared" ref="V145:AG145" si="170">V63-V111</f>
        <v>0</v>
      </c>
      <c r="W145" s="720">
        <f t="shared" si="170"/>
        <v>0</v>
      </c>
      <c r="X145" s="720">
        <f t="shared" si="170"/>
        <v>0</v>
      </c>
      <c r="Y145" s="720">
        <f t="shared" si="170"/>
        <v>0</v>
      </c>
      <c r="Z145" s="720">
        <f t="shared" si="170"/>
        <v>0</v>
      </c>
      <c r="AA145" s="720">
        <f t="shared" si="170"/>
        <v>0</v>
      </c>
      <c r="AB145" s="720">
        <f t="shared" si="170"/>
        <v>0</v>
      </c>
      <c r="AC145" s="720">
        <f t="shared" si="170"/>
        <v>0</v>
      </c>
      <c r="AD145" s="720">
        <f t="shared" si="170"/>
        <v>0</v>
      </c>
      <c r="AE145" s="720">
        <f t="shared" si="170"/>
        <v>0</v>
      </c>
      <c r="AF145" s="720">
        <f t="shared" si="170"/>
        <v>0</v>
      </c>
      <c r="AG145" s="720">
        <f t="shared" si="170"/>
        <v>0</v>
      </c>
      <c r="AH145" s="231">
        <f t="shared" si="128"/>
        <v>0</v>
      </c>
    </row>
    <row r="146" spans="1:34" ht="21" customHeight="1">
      <c r="A146" s="866" t="str">
        <f>Table3[[#This Row],[Product]]</f>
        <v>Pentane</v>
      </c>
      <c r="B146" s="28" t="s">
        <v>25</v>
      </c>
      <c r="C146" s="28" t="s">
        <v>81</v>
      </c>
      <c r="D146" s="689">
        <v>2231.8470000000002</v>
      </c>
      <c r="E146" s="1279">
        <v>2232.4760000000001</v>
      </c>
      <c r="F146" s="977">
        <v>4037.73</v>
      </c>
      <c r="G146" s="1009">
        <v>4488.3209999999999</v>
      </c>
      <c r="H146" s="529">
        <v>4162.0110000000004</v>
      </c>
      <c r="I146" s="1235">
        <v>3977.9569999999999</v>
      </c>
      <c r="J146" s="1283">
        <v>3789.5529999999999</v>
      </c>
      <c r="K146" s="229">
        <f>'Rolling พี่เตย'!K126*1000</f>
        <v>4464</v>
      </c>
      <c r="L146" s="229">
        <f>'Rolling พี่เตย'!L126*1000</f>
        <v>4464</v>
      </c>
      <c r="M146" s="229">
        <f>'Rolling พี่เตย'!M126*1000</f>
        <v>4320</v>
      </c>
      <c r="N146" s="229">
        <f>'Rolling พี่เตย'!N126*1000</f>
        <v>4464</v>
      </c>
      <c r="O146" s="229">
        <f>'Rolling พี่เตย'!O126*1000</f>
        <v>4320</v>
      </c>
      <c r="P146" s="229">
        <f>'Rolling พี่เตย'!P126*1000</f>
        <v>4464</v>
      </c>
      <c r="Q146" s="853">
        <f>SUM(E146:P146)</f>
        <v>49184.047999999995</v>
      </c>
      <c r="U146" t="s">
        <v>538</v>
      </c>
      <c r="V146" s="720">
        <f t="shared" ref="V146:AG146" si="171">V64-V112</f>
        <v>0</v>
      </c>
      <c r="W146" s="720">
        <f t="shared" si="171"/>
        <v>0</v>
      </c>
      <c r="X146" s="720">
        <f t="shared" si="171"/>
        <v>0</v>
      </c>
      <c r="Y146" s="720">
        <f t="shared" si="171"/>
        <v>0</v>
      </c>
      <c r="Z146" s="720">
        <f t="shared" si="171"/>
        <v>0</v>
      </c>
      <c r="AA146" s="720">
        <f t="shared" si="171"/>
        <v>0</v>
      </c>
      <c r="AB146" s="720">
        <f t="shared" si="171"/>
        <v>0</v>
      </c>
      <c r="AC146" s="720">
        <f t="shared" si="171"/>
        <v>0</v>
      </c>
      <c r="AD146" s="720">
        <f t="shared" si="171"/>
        <v>0</v>
      </c>
      <c r="AE146" s="720">
        <f t="shared" si="171"/>
        <v>0</v>
      </c>
      <c r="AF146" s="720">
        <f t="shared" si="171"/>
        <v>0</v>
      </c>
      <c r="AG146" s="720">
        <f t="shared" si="171"/>
        <v>0</v>
      </c>
      <c r="AH146" s="231">
        <f t="shared" si="128"/>
        <v>0</v>
      </c>
    </row>
    <row r="147" spans="1:34" ht="21" customHeight="1">
      <c r="A147" s="866" t="str">
        <f>Table3[[#This Row],[Product]]</f>
        <v>Pentane</v>
      </c>
      <c r="B147" s="28" t="s">
        <v>25</v>
      </c>
      <c r="C147" s="28" t="s">
        <v>82</v>
      </c>
      <c r="D147" s="689">
        <v>0</v>
      </c>
      <c r="E147" s="815"/>
      <c r="F147" s="815"/>
      <c r="G147" s="229"/>
      <c r="H147" s="229"/>
      <c r="I147" s="229"/>
      <c r="J147" s="1283">
        <v>0</v>
      </c>
      <c r="K147" s="229"/>
      <c r="L147" s="229"/>
      <c r="M147" s="229"/>
      <c r="N147" s="229"/>
      <c r="O147" s="229"/>
      <c r="P147" s="229"/>
      <c r="Q147" s="853">
        <f t="shared" ref="Q147:Q151" si="172">SUM(E147:P147)</f>
        <v>0</v>
      </c>
      <c r="T147" t="s">
        <v>545</v>
      </c>
      <c r="V147" s="231">
        <f t="shared" ref="V147:AG147" si="173">SUM(V128:V146)</f>
        <v>150791.20086676921</v>
      </c>
      <c r="W147" s="231">
        <f t="shared" si="173"/>
        <v>103080.87436187529</v>
      </c>
      <c r="X147" s="231">
        <f t="shared" si="173"/>
        <v>129999.02757587461</v>
      </c>
      <c r="Y147" s="231">
        <f t="shared" si="173"/>
        <v>110359.94829961236</v>
      </c>
      <c r="Z147" s="231">
        <f t="shared" si="173"/>
        <v>125263.98164000425</v>
      </c>
      <c r="AA147" s="231">
        <f t="shared" si="173"/>
        <v>131750.98057812994</v>
      </c>
      <c r="AB147" s="231">
        <f t="shared" si="173"/>
        <v>141179.46463385652</v>
      </c>
      <c r="AC147" s="231">
        <f t="shared" si="173"/>
        <v>127965.51448989504</v>
      </c>
      <c r="AD147" s="231">
        <f t="shared" si="173"/>
        <v>100005.6337522058</v>
      </c>
      <c r="AE147" s="231">
        <f t="shared" si="173"/>
        <v>99621.185804226174</v>
      </c>
      <c r="AF147" s="231">
        <f t="shared" si="173"/>
        <v>133115.79333897287</v>
      </c>
      <c r="AG147" s="231">
        <f t="shared" si="173"/>
        <v>118370.41781225646</v>
      </c>
      <c r="AH147" s="231">
        <f t="shared" si="128"/>
        <v>1471504.0231536785</v>
      </c>
    </row>
    <row r="148" spans="1:34" ht="21" customHeight="1">
      <c r="A148" s="866" t="str">
        <f>Table3[[#This Row],[Product]]</f>
        <v>Pentane</v>
      </c>
      <c r="B148" s="28"/>
      <c r="C148" s="34" t="s">
        <v>37</v>
      </c>
      <c r="D148" s="963">
        <f>SUM(D145:D147)</f>
        <v>2231.8470000000002</v>
      </c>
      <c r="E148" s="964">
        <v>2232.4760000000001</v>
      </c>
      <c r="F148" s="827">
        <f t="shared" ref="F148:P148" si="174">SUM(F145:F147)</f>
        <v>4037.73</v>
      </c>
      <c r="G148" s="827">
        <f t="shared" si="174"/>
        <v>4488.3209999999999</v>
      </c>
      <c r="H148" s="1042">
        <f>SUM(H145:H147)</f>
        <v>4162.0110000000004</v>
      </c>
      <c r="I148" s="827">
        <f t="shared" ref="I148" si="175">SUM(I145:I147)</f>
        <v>3977.9569999999999</v>
      </c>
      <c r="J148" s="827">
        <f t="shared" si="174"/>
        <v>3789.5529999999999</v>
      </c>
      <c r="K148" s="804">
        <f t="shared" si="174"/>
        <v>4464</v>
      </c>
      <c r="L148" s="804">
        <f t="shared" si="174"/>
        <v>4464</v>
      </c>
      <c r="M148" s="804">
        <f t="shared" si="174"/>
        <v>4320</v>
      </c>
      <c r="N148" s="804">
        <f t="shared" si="174"/>
        <v>4464</v>
      </c>
      <c r="O148" s="804">
        <f t="shared" si="174"/>
        <v>4320</v>
      </c>
      <c r="P148" s="804">
        <f t="shared" si="174"/>
        <v>4464</v>
      </c>
      <c r="Q148" s="854">
        <f t="shared" si="172"/>
        <v>49184.047999999995</v>
      </c>
      <c r="T148" s="1345" t="s">
        <v>548</v>
      </c>
      <c r="U148" s="1345"/>
      <c r="V148" s="231">
        <f t="shared" ref="V148:AG148" si="176">V124+V147</f>
        <v>182395.84772898111</v>
      </c>
      <c r="W148" s="231">
        <f t="shared" si="176"/>
        <v>133917.03751049264</v>
      </c>
      <c r="X148" s="231">
        <f t="shared" si="176"/>
        <v>159657.05010526784</v>
      </c>
      <c r="Y148" s="231">
        <f t="shared" si="176"/>
        <v>152333.4746782564</v>
      </c>
      <c r="Z148" s="231">
        <f t="shared" si="176"/>
        <v>188484.77857279099</v>
      </c>
      <c r="AA148" s="231">
        <f t="shared" si="176"/>
        <v>187075.12365217108</v>
      </c>
      <c r="AB148" s="231">
        <f t="shared" si="176"/>
        <v>192549.67344225242</v>
      </c>
      <c r="AC148" s="231">
        <f t="shared" si="176"/>
        <v>158928.30837423474</v>
      </c>
      <c r="AD148" s="231">
        <f t="shared" si="176"/>
        <v>124458.96884602113</v>
      </c>
      <c r="AE148" s="231">
        <f t="shared" si="176"/>
        <v>124162.26784550372</v>
      </c>
      <c r="AF148" s="231">
        <f t="shared" si="176"/>
        <v>165161.04742158542</v>
      </c>
      <c r="AG148" s="231">
        <f t="shared" si="176"/>
        <v>147339.754540289</v>
      </c>
      <c r="AH148" s="231">
        <f t="shared" si="128"/>
        <v>1916463.3327178468</v>
      </c>
    </row>
    <row r="149" spans="1:34" ht="23.25" customHeight="1">
      <c r="A149" s="867" t="str">
        <f>Table3[[#This Row],[Product]]</f>
        <v>CO2</v>
      </c>
      <c r="B149" s="28" t="s">
        <v>25</v>
      </c>
      <c r="C149" s="28" t="s">
        <v>84</v>
      </c>
      <c r="D149" s="689">
        <v>26622.5</v>
      </c>
      <c r="E149" s="815">
        <v>25872.400000000001</v>
      </c>
      <c r="F149" s="977">
        <v>25559.06</v>
      </c>
      <c r="G149" s="1009">
        <v>32401.7</v>
      </c>
      <c r="H149" s="1131">
        <v>28742.93</v>
      </c>
      <c r="I149" s="1235">
        <v>31658.53</v>
      </c>
      <c r="J149" s="1283">
        <v>30956.01</v>
      </c>
      <c r="K149" s="229">
        <f>'Rolling พี่เตย'!K130*1000</f>
        <v>35000</v>
      </c>
      <c r="L149" s="229">
        <f>'Rolling พี่เตย'!L130*1000</f>
        <v>35000</v>
      </c>
      <c r="M149" s="229">
        <f>'Rolling พี่เตย'!M130*1000</f>
        <v>35000</v>
      </c>
      <c r="N149" s="229">
        <f>'Rolling พี่เตย'!N130*1000</f>
        <v>35000</v>
      </c>
      <c r="O149" s="229">
        <f>'Rolling พี่เตย'!O130*1000</f>
        <v>35000</v>
      </c>
      <c r="P149" s="229">
        <f>'Rolling พี่เตย'!P130*1000</f>
        <v>35000</v>
      </c>
      <c r="Q149" s="853">
        <f t="shared" si="172"/>
        <v>385190.63</v>
      </c>
    </row>
    <row r="150" spans="1:34" ht="23.25" customHeight="1">
      <c r="A150" s="867" t="str">
        <f>Table3[[#This Row],[Product]]</f>
        <v>CO2</v>
      </c>
      <c r="B150" s="28" t="s">
        <v>25</v>
      </c>
      <c r="C150" s="28" t="s">
        <v>85</v>
      </c>
      <c r="D150" s="689">
        <v>12940.15</v>
      </c>
      <c r="E150" s="815">
        <v>12585.66</v>
      </c>
      <c r="F150" s="977">
        <v>11478.37</v>
      </c>
      <c r="G150" s="1009">
        <v>14061.21</v>
      </c>
      <c r="H150" s="1131">
        <v>12134.34</v>
      </c>
      <c r="I150" s="1235">
        <v>13866.71</v>
      </c>
      <c r="J150" s="1283">
        <v>12994.99</v>
      </c>
      <c r="K150" s="229">
        <f>'Rolling พี่เตย'!K131*1000</f>
        <v>20000</v>
      </c>
      <c r="L150" s="229">
        <f>'Rolling พี่เตย'!L131*1000</f>
        <v>20000</v>
      </c>
      <c r="M150" s="229">
        <f>'Rolling พี่เตย'!M131*1000</f>
        <v>20000</v>
      </c>
      <c r="N150" s="229">
        <f>'Rolling พี่เตย'!N131*1000</f>
        <v>20000</v>
      </c>
      <c r="O150" s="229">
        <f>'Rolling พี่เตย'!O131*1000</f>
        <v>20000</v>
      </c>
      <c r="P150" s="229">
        <f>'Rolling พี่เตย'!P131*1000</f>
        <v>20000</v>
      </c>
      <c r="Q150" s="853">
        <f t="shared" si="172"/>
        <v>197121.28</v>
      </c>
    </row>
    <row r="151" spans="1:34" ht="23" customHeight="1">
      <c r="A151" s="870" t="str">
        <f>Table3[[#This Row],[Product]]</f>
        <v>CO2</v>
      </c>
      <c r="B151" s="848"/>
      <c r="C151" s="836" t="s">
        <v>37</v>
      </c>
      <c r="D151" s="965">
        <f>SUM(D149:D150)</f>
        <v>39562.65</v>
      </c>
      <c r="E151" s="966">
        <f t="shared" ref="E151:P151" si="177">SUM(E149:E150)</f>
        <v>38458.06</v>
      </c>
      <c r="F151" s="978">
        <f t="shared" si="177"/>
        <v>37037.43</v>
      </c>
      <c r="G151" s="978">
        <f t="shared" si="177"/>
        <v>46462.91</v>
      </c>
      <c r="H151" s="978">
        <f>SUM(H149:H150)</f>
        <v>40877.270000000004</v>
      </c>
      <c r="I151" s="978">
        <f>SUM(I149:I150)</f>
        <v>45525.24</v>
      </c>
      <c r="J151" s="978">
        <f t="shared" si="177"/>
        <v>43951</v>
      </c>
      <c r="K151" s="858">
        <f t="shared" si="177"/>
        <v>55000</v>
      </c>
      <c r="L151" s="858">
        <f t="shared" si="177"/>
        <v>55000</v>
      </c>
      <c r="M151" s="858">
        <f t="shared" si="177"/>
        <v>55000</v>
      </c>
      <c r="N151" s="858">
        <f t="shared" si="177"/>
        <v>55000</v>
      </c>
      <c r="O151" s="858">
        <f t="shared" si="177"/>
        <v>55000</v>
      </c>
      <c r="P151" s="858">
        <f t="shared" si="177"/>
        <v>55000</v>
      </c>
      <c r="Q151" s="859">
        <f t="shared" si="172"/>
        <v>582311.90999999992</v>
      </c>
    </row>
    <row r="152" spans="1:34" ht="23" customHeight="1">
      <c r="A152" s="935" t="s">
        <v>629</v>
      </c>
      <c r="B152" s="935"/>
      <c r="C152" s="28" t="s">
        <v>526</v>
      </c>
      <c r="D152" s="967">
        <f>D37+D52+D69+D95+D124+D134+D144+D148</f>
        <v>645052.83200000005</v>
      </c>
      <c r="E152" s="968">
        <f t="shared" ref="E152:Q152" si="178">E37+E52+E69+E95+E124+E117+E144+E148</f>
        <v>582185.86400000006</v>
      </c>
      <c r="F152" s="968">
        <f t="shared" si="178"/>
        <v>566899.91700000002</v>
      </c>
      <c r="G152" s="968">
        <f t="shared" si="178"/>
        <v>631587.90000000014</v>
      </c>
      <c r="H152" s="968">
        <f t="shared" si="178"/>
        <v>540725.21300000011</v>
      </c>
      <c r="I152" s="968">
        <f t="shared" si="178"/>
        <v>631691.45600000012</v>
      </c>
      <c r="J152" s="968">
        <f t="shared" si="178"/>
        <v>628348.22999999986</v>
      </c>
      <c r="K152" s="968">
        <f t="shared" si="178"/>
        <v>629639.94281850045</v>
      </c>
      <c r="L152" s="968">
        <f t="shared" si="178"/>
        <v>600599.97320239886</v>
      </c>
      <c r="M152" s="968">
        <f t="shared" si="178"/>
        <v>601610.85329144937</v>
      </c>
      <c r="N152" s="968">
        <f t="shared" si="178"/>
        <v>559033.48295426066</v>
      </c>
      <c r="O152" s="968">
        <f t="shared" si="178"/>
        <v>583167.6295546086</v>
      </c>
      <c r="P152" s="968">
        <f t="shared" si="178"/>
        <v>625854.73362488742</v>
      </c>
      <c r="Q152" s="968">
        <f t="shared" si="178"/>
        <v>7102475.390446106</v>
      </c>
    </row>
    <row r="153" spans="1:34" ht="23" customHeight="1">
      <c r="A153" s="935"/>
      <c r="B153" s="935"/>
      <c r="C153" s="28" t="s">
        <v>140</v>
      </c>
      <c r="D153" s="936"/>
      <c r="E153" s="933">
        <f>(E152-D152)/E152</f>
        <v>-0.10798436012867531</v>
      </c>
      <c r="F153" s="933">
        <f t="shared" ref="F153:Q153" si="179">(F152-E152)/F152</f>
        <v>-2.6964101672288732E-2</v>
      </c>
      <c r="G153" s="933">
        <f t="shared" si="179"/>
        <v>0.10242118792966128</v>
      </c>
      <c r="H153" s="933">
        <f t="shared" si="179"/>
        <v>-0.16803856157526728</v>
      </c>
      <c r="I153" s="933">
        <f t="shared" si="179"/>
        <v>0.14400423202811216</v>
      </c>
      <c r="J153" s="933">
        <f t="shared" si="179"/>
        <v>-5.3206579415370639E-3</v>
      </c>
      <c r="K153" s="933">
        <f t="shared" si="179"/>
        <v>2.0515102849390449E-3</v>
      </c>
      <c r="L153" s="933">
        <f t="shared" si="179"/>
        <v>-4.8351599919761033E-2</v>
      </c>
      <c r="M153" s="933">
        <f t="shared" si="179"/>
        <v>1.6802889833518163E-3</v>
      </c>
      <c r="N153" s="933">
        <f t="shared" si="179"/>
        <v>-7.6162469038857789E-2</v>
      </c>
      <c r="O153" s="933">
        <f t="shared" si="179"/>
        <v>4.1384578596689738E-2</v>
      </c>
      <c r="P153" s="933">
        <f t="shared" si="179"/>
        <v>6.8206089651250884E-2</v>
      </c>
      <c r="Q153" s="933">
        <f t="shared" si="179"/>
        <v>0.91188216794573396</v>
      </c>
    </row>
    <row r="154" spans="1:34" ht="20.25" customHeight="1">
      <c r="A154" s="935"/>
      <c r="B154" s="935"/>
      <c r="C154" s="28" t="s">
        <v>617</v>
      </c>
      <c r="D154" s="937"/>
      <c r="E154" s="933">
        <f>(E152-'Bz Delivery '!E20)/'Bz Delivery '!E20</f>
        <v>-6.2551011580920857E-2</v>
      </c>
      <c r="F154" s="933">
        <f>(F152-'Bz Delivery '!F20)/'Bz Delivery '!F20</f>
        <v>-3.2469127336618414E-2</v>
      </c>
      <c r="G154" s="933">
        <f>(G152-'Bz Delivery '!G20)/'Bz Delivery '!G20</f>
        <v>1.7717686012987361E-2</v>
      </c>
      <c r="H154" s="933">
        <f>(H152-'Bz Delivery '!H20)/'Bz Delivery '!H20</f>
        <v>-0.11273713815315083</v>
      </c>
      <c r="I154" s="933">
        <f>(I152-'Bz Delivery '!I20)/'Bz Delivery '!I20</f>
        <v>1.4297026634000249E-2</v>
      </c>
      <c r="J154" s="933">
        <f>(J152-'Bz Delivery '!J20)/'Bz Delivery '!J20</f>
        <v>2.4338735961189666E-2</v>
      </c>
      <c r="K154" s="933">
        <f>(K152-'Bz Delivery '!K20)/'Bz Delivery '!K20</f>
        <v>0.2217745300657655</v>
      </c>
      <c r="L154" s="933">
        <f>(L152-'Bz Delivery '!L20)/'Bz Delivery '!L20</f>
        <v>-3.0143744496040053E-2</v>
      </c>
      <c r="M154" s="933">
        <f>(M152-'Bz Delivery '!M20)/'Bz Delivery '!M20</f>
        <v>3.4456976339113168E-2</v>
      </c>
      <c r="N154" s="933">
        <f>(N152-'Bz Delivery '!N20)/'Bz Delivery '!N20</f>
        <v>0.11178298644982589</v>
      </c>
      <c r="O154" s="933">
        <f>(O152-'Bz Delivery '!O20)/'Bz Delivery '!O20</f>
        <v>-1.4143226695939159E-3</v>
      </c>
      <c r="P154" s="933">
        <f>(P152-'Bz Delivery '!P20)/'Bz Delivery '!P20</f>
        <v>1.6611191791196592E-2</v>
      </c>
      <c r="Q154" s="933" t="e">
        <f>(Q152-'Bz Delivery '!Q20)/'Bz Delivery '!Q20</f>
        <v>#DIV/0!</v>
      </c>
    </row>
    <row r="155" spans="1:34" ht="20.25" customHeight="1"/>
    <row r="156" spans="1:34" ht="24.65" customHeight="1"/>
    <row r="157" spans="1:34" ht="20" customHeight="1"/>
    <row r="158" spans="1:34" ht="20" customHeight="1"/>
    <row r="159" spans="1:34" ht="20" customHeight="1"/>
  </sheetData>
  <mergeCells count="7">
    <mergeCell ref="B2:C2"/>
    <mergeCell ref="B12:C12"/>
    <mergeCell ref="T117:AH118"/>
    <mergeCell ref="T148:U148"/>
    <mergeCell ref="T21:AH22"/>
    <mergeCell ref="T83:AH84"/>
    <mergeCell ref="T114:U114"/>
  </mergeCells>
  <conditionalFormatting sqref="E153:Q154">
    <cfRule type="cellIs" dxfId="162" priority="1" operator="lessThan">
      <formula>0</formula>
    </cfRule>
  </conditionalFormatting>
  <hyperlinks>
    <hyperlink ref="S1" r:id="rId1" xr:uid="{00000000-0004-0000-0400-000000000000}"/>
  </hyperlinks>
  <pageMargins left="0.7" right="0.7" top="0.75" bottom="0.75" header="0.3" footer="0.3"/>
  <pageSetup paperSize="9" orientation="portrait" r:id="rId2"/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O28"/>
  <sheetViews>
    <sheetView workbookViewId="0">
      <selection activeCell="E25" sqref="E25:F25"/>
    </sheetView>
  </sheetViews>
  <sheetFormatPr defaultRowHeight="14.5"/>
  <cols>
    <col min="1" max="1" width="22.1796875" customWidth="1"/>
    <col min="2" max="2" width="11.36328125" customWidth="1"/>
    <col min="3" max="14" width="12.6328125" customWidth="1"/>
    <col min="15" max="15" width="12.453125" customWidth="1"/>
  </cols>
  <sheetData>
    <row r="1" spans="1:15">
      <c r="A1" s="1053" t="s">
        <v>681</v>
      </c>
      <c r="C1" s="43" t="s">
        <v>579</v>
      </c>
      <c r="D1" s="43" t="s">
        <v>580</v>
      </c>
      <c r="E1" s="43" t="s">
        <v>581</v>
      </c>
      <c r="F1" s="43" t="s">
        <v>582</v>
      </c>
      <c r="G1" s="43" t="s">
        <v>583</v>
      </c>
      <c r="H1" s="43" t="s">
        <v>584</v>
      </c>
      <c r="I1" s="43" t="s">
        <v>585</v>
      </c>
      <c r="J1" s="43" t="s">
        <v>586</v>
      </c>
      <c r="K1" s="43" t="s">
        <v>587</v>
      </c>
      <c r="L1" s="43" t="s">
        <v>588</v>
      </c>
      <c r="M1" s="43" t="s">
        <v>589</v>
      </c>
      <c r="N1" s="43" t="s">
        <v>590</v>
      </c>
      <c r="O1" s="1057" t="s">
        <v>693</v>
      </c>
    </row>
    <row r="2" spans="1:15">
      <c r="A2" s="863" t="s">
        <v>671</v>
      </c>
      <c r="B2" s="863" t="s">
        <v>698</v>
      </c>
      <c r="C2" s="231">
        <f>SUM(C3:C5)</f>
        <v>54374.362000000001</v>
      </c>
      <c r="D2" s="231">
        <f t="shared" ref="D2:N2" si="0">SUM(D3:D5)</f>
        <v>57048.978999999999</v>
      </c>
      <c r="E2" s="231">
        <f t="shared" si="0"/>
        <v>61820.463000000003</v>
      </c>
      <c r="F2" s="231">
        <f t="shared" si="0"/>
        <v>47064.981</v>
      </c>
      <c r="G2" s="231">
        <f t="shared" si="0"/>
        <v>56879.927000000003</v>
      </c>
      <c r="H2" s="231">
        <f t="shared" si="0"/>
        <v>59051.523999999998</v>
      </c>
      <c r="I2" s="231">
        <f t="shared" si="0"/>
        <v>46820</v>
      </c>
      <c r="J2" s="231">
        <f t="shared" si="0"/>
        <v>59560</v>
      </c>
      <c r="K2" s="231">
        <f t="shared" si="0"/>
        <v>49305</v>
      </c>
      <c r="L2" s="231">
        <f t="shared" si="0"/>
        <v>32389</v>
      </c>
      <c r="M2" s="231">
        <f t="shared" si="0"/>
        <v>57869</v>
      </c>
      <c r="N2" s="231">
        <f t="shared" si="0"/>
        <v>60409</v>
      </c>
    </row>
    <row r="3" spans="1:15">
      <c r="A3" s="863" t="s">
        <v>671</v>
      </c>
      <c r="B3" s="863" t="s">
        <v>694</v>
      </c>
      <c r="C3" s="231">
        <f>Delivery!E38</f>
        <v>22014.824000000001</v>
      </c>
      <c r="D3" s="231">
        <f>Delivery!F38</f>
        <v>19178.168000000001</v>
      </c>
      <c r="E3" s="231">
        <f>Delivery!G38</f>
        <v>18728.127</v>
      </c>
      <c r="F3" s="231">
        <f>Delivery!H38</f>
        <v>11924.915000000001</v>
      </c>
      <c r="G3" s="231">
        <f>Delivery!I38</f>
        <v>24412.275000000001</v>
      </c>
      <c r="H3" s="231">
        <f>Delivery!J38</f>
        <v>18877.591</v>
      </c>
      <c r="I3" s="231">
        <f>Delivery!K38</f>
        <v>22320</v>
      </c>
      <c r="J3" s="231">
        <f>Delivery!L38</f>
        <v>22320</v>
      </c>
      <c r="K3" s="231">
        <f>Delivery!M38</f>
        <v>20736</v>
      </c>
      <c r="L3" s="231">
        <f>Delivery!N38</f>
        <v>22320</v>
      </c>
      <c r="M3" s="231">
        <f>Delivery!O38</f>
        <v>21600</v>
      </c>
      <c r="N3" s="231">
        <f>Delivery!P38</f>
        <v>22320</v>
      </c>
    </row>
    <row r="4" spans="1:15">
      <c r="A4" s="863" t="s">
        <v>671</v>
      </c>
      <c r="B4" s="863" t="s">
        <v>695</v>
      </c>
      <c r="C4" s="231">
        <f>Delivery!E41</f>
        <v>32359.538</v>
      </c>
      <c r="D4" s="231">
        <f>Delivery!F41</f>
        <v>28515.847000000002</v>
      </c>
      <c r="E4" s="231">
        <f>Delivery!G41</f>
        <v>32456.748</v>
      </c>
      <c r="F4" s="231">
        <f>Delivery!H41</f>
        <v>24576.89</v>
      </c>
      <c r="G4" s="231">
        <f>Delivery!I41</f>
        <v>27121.14</v>
      </c>
      <c r="H4" s="231">
        <f>Delivery!J41</f>
        <v>30199.407999999999</v>
      </c>
      <c r="I4" s="231">
        <f>Delivery!K41</f>
        <v>24500</v>
      </c>
      <c r="J4" s="231">
        <f>Delivery!L41</f>
        <v>32240.000000000004</v>
      </c>
      <c r="K4" s="231">
        <f>Delivery!M41</f>
        <v>22700</v>
      </c>
      <c r="L4" s="231">
        <f>Delivery!N41</f>
        <v>0</v>
      </c>
      <c r="M4" s="231">
        <f>Delivery!O41</f>
        <v>31200</v>
      </c>
      <c r="N4" s="231">
        <f>Delivery!P41</f>
        <v>32240.000000000004</v>
      </c>
    </row>
    <row r="5" spans="1:15">
      <c r="A5" s="863" t="s">
        <v>671</v>
      </c>
      <c r="B5" s="863" t="s">
        <v>696</v>
      </c>
      <c r="C5" s="231">
        <f>Delivery!E45</f>
        <v>0</v>
      </c>
      <c r="D5" s="231">
        <f>Delivery!F45</f>
        <v>9354.9639999999999</v>
      </c>
      <c r="E5" s="231">
        <f>Delivery!G45</f>
        <v>10635.588</v>
      </c>
      <c r="F5" s="231">
        <f>Delivery!H45</f>
        <v>10563.175999999999</v>
      </c>
      <c r="G5" s="231">
        <f>Delivery!I45</f>
        <v>5346.5119999999997</v>
      </c>
      <c r="H5" s="231">
        <f>Delivery!J45</f>
        <v>9974.5249999999996</v>
      </c>
      <c r="I5" s="231">
        <f>Delivery!K45</f>
        <v>0</v>
      </c>
      <c r="J5" s="231">
        <f>Delivery!L45</f>
        <v>5000</v>
      </c>
      <c r="K5" s="231">
        <f>Delivery!M45</f>
        <v>5869</v>
      </c>
      <c r="L5" s="231">
        <f>Delivery!N45</f>
        <v>10069</v>
      </c>
      <c r="M5" s="231">
        <f>Delivery!O45</f>
        <v>5069</v>
      </c>
      <c r="N5" s="231">
        <f>Delivery!P45</f>
        <v>5849</v>
      </c>
    </row>
    <row r="6" spans="1:15">
      <c r="A6" s="863" t="s">
        <v>699</v>
      </c>
      <c r="B6" s="863" t="s">
        <v>694</v>
      </c>
      <c r="C6" s="231">
        <f>Price!E38</f>
        <v>644.84770000000003</v>
      </c>
      <c r="D6" s="231">
        <f>Price!F38</f>
        <v>690.85709999999995</v>
      </c>
      <c r="E6" s="231">
        <f>Price!G38</f>
        <v>667.42579999999998</v>
      </c>
      <c r="F6" s="231">
        <f>Price!H38</f>
        <v>600.21860000000004</v>
      </c>
      <c r="G6" s="231">
        <f>Price!I38</f>
        <v>548.09709999999995</v>
      </c>
      <c r="H6" s="231">
        <f>Price!J38</f>
        <v>590.12829999999997</v>
      </c>
      <c r="I6" s="231">
        <f>Price!K38</f>
        <v>665.17139999999995</v>
      </c>
      <c r="J6" s="231">
        <f>Price!L38</f>
        <v>657.62400000000002</v>
      </c>
      <c r="K6" s="231">
        <f>Price!M38</f>
        <v>653.42740000000003</v>
      </c>
      <c r="L6" s="231">
        <f>Price!N38</f>
        <v>631.32920000000001</v>
      </c>
      <c r="M6" s="231">
        <f>Price!O38</f>
        <v>642.13260000000002</v>
      </c>
      <c r="N6" s="231">
        <f>Price!P38</f>
        <v>655.43600000000004</v>
      </c>
    </row>
    <row r="7" spans="1:15">
      <c r="A7" s="863" t="s">
        <v>699</v>
      </c>
      <c r="B7" s="863" t="s">
        <v>695</v>
      </c>
      <c r="C7" s="231">
        <f>Price!E41</f>
        <v>657.6694</v>
      </c>
      <c r="D7" s="231">
        <f>Price!F41</f>
        <v>703.67880000000002</v>
      </c>
      <c r="E7" s="231">
        <f>Price!G41</f>
        <v>680.24749999999995</v>
      </c>
      <c r="F7" s="231">
        <f>Price!H41</f>
        <v>613.0403</v>
      </c>
      <c r="G7" s="231">
        <f>Price!I41</f>
        <v>560.91880000000003</v>
      </c>
      <c r="H7" s="231">
        <f>Price!J41</f>
        <v>602.95000000000005</v>
      </c>
      <c r="I7" s="231">
        <f>Price!K41</f>
        <v>682.22770000000003</v>
      </c>
      <c r="J7" s="231">
        <f>Price!L41</f>
        <v>674.68029999999999</v>
      </c>
      <c r="K7" s="231">
        <f>Price!M41</f>
        <v>670.4837</v>
      </c>
      <c r="L7" s="231">
        <f>Price!N41</f>
        <v>648.38549999999998</v>
      </c>
      <c r="M7" s="231">
        <f>Price!O41</f>
        <v>659.18889999999999</v>
      </c>
      <c r="N7" s="231">
        <f>Price!P41</f>
        <v>672.4923</v>
      </c>
    </row>
    <row r="8" spans="1:15">
      <c r="A8" s="863" t="s">
        <v>699</v>
      </c>
      <c r="B8" s="863" t="s">
        <v>696</v>
      </c>
      <c r="C8" s="231">
        <f>Price!E45</f>
        <v>0</v>
      </c>
      <c r="D8" s="231">
        <f>Price!F45</f>
        <v>677.54819399999997</v>
      </c>
      <c r="E8" s="231">
        <f>Price!G45</f>
        <v>659.00286200000005</v>
      </c>
      <c r="F8" s="231">
        <f>Price!H45</f>
        <v>0</v>
      </c>
      <c r="G8" s="231">
        <f>Price!I45</f>
        <v>538.47369400000002</v>
      </c>
      <c r="H8" s="231">
        <f>Price!J45</f>
        <v>580.91709200000003</v>
      </c>
      <c r="I8" s="231">
        <f>Price!K45</f>
        <v>660.87713363636362</v>
      </c>
      <c r="J8" s="231">
        <f>Price!L45</f>
        <v>653.05381439493488</v>
      </c>
      <c r="K8" s="231">
        <f>Price!M45</f>
        <v>648.20435930849703</v>
      </c>
      <c r="L8" s="231">
        <f>Price!N45</f>
        <v>625.77963176527805</v>
      </c>
      <c r="M8" s="231">
        <f>Price!O45</f>
        <v>635.93017667884021</v>
      </c>
      <c r="N8" s="231">
        <f>Price!P45</f>
        <v>648.58072159240237</v>
      </c>
    </row>
    <row r="9" spans="1:15">
      <c r="A9" s="863" t="s">
        <v>699</v>
      </c>
      <c r="B9" s="863" t="s">
        <v>697</v>
      </c>
      <c r="C9" s="231">
        <f>SUMPRODUCT(C3:C5,C6:C8)/SUM(C3:C5)</f>
        <v>652.47821322560071</v>
      </c>
      <c r="D9" s="231">
        <f t="shared" ref="D9:N9" si="1">SUMPRODUCT(D3:D5,D6:D8)/SUM(D3:D5)</f>
        <v>695.08359630540303</v>
      </c>
      <c r="E9" s="231">
        <f t="shared" si="1"/>
        <v>672.70831927705638</v>
      </c>
      <c r="F9" s="231">
        <f t="shared" si="1"/>
        <v>472.20203499255638</v>
      </c>
      <c r="G9" s="231">
        <f t="shared" si="1"/>
        <v>553.30609868732472</v>
      </c>
      <c r="H9" s="231">
        <f t="shared" si="1"/>
        <v>595.12953121424266</v>
      </c>
      <c r="I9" s="231">
        <f t="shared" si="1"/>
        <v>674.09663173857325</v>
      </c>
      <c r="J9" s="231">
        <f t="shared" si="1"/>
        <v>666.47296212180447</v>
      </c>
      <c r="K9" s="231">
        <f t="shared" si="1"/>
        <v>660.65839045089888</v>
      </c>
      <c r="L9" s="231">
        <f t="shared" si="1"/>
        <v>629.60396604540392</v>
      </c>
      <c r="M9" s="231">
        <f t="shared" si="1"/>
        <v>650.7851856017046</v>
      </c>
      <c r="N9" s="231">
        <f t="shared" si="1"/>
        <v>663.87511649909732</v>
      </c>
      <c r="O9" t="s">
        <v>691</v>
      </c>
    </row>
    <row r="10" spans="1:15">
      <c r="A10" s="1053" t="s">
        <v>683</v>
      </c>
    </row>
    <row r="11" spans="1:15">
      <c r="A11" s="863" t="s">
        <v>671</v>
      </c>
      <c r="B11" s="863" t="s">
        <v>71</v>
      </c>
      <c r="C11" s="231">
        <f>Delivery!E144-Delivery!E140</f>
        <v>55666.678999999996</v>
      </c>
      <c r="D11" s="231">
        <f>Delivery!F144-Delivery!F140</f>
        <v>53256.121000000006</v>
      </c>
      <c r="E11" s="231">
        <f>Delivery!G144-Delivery!G140</f>
        <v>57027.224999999991</v>
      </c>
      <c r="F11" s="231">
        <f>Delivery!H144-Delivery!H140</f>
        <v>48911.555999999997</v>
      </c>
      <c r="G11" s="231">
        <f>Delivery!I144-Delivery!I140</f>
        <v>57289.732000000004</v>
      </c>
      <c r="H11" s="231">
        <f>Delivery!J144-Delivery!J140</f>
        <v>55033.088000000003</v>
      </c>
      <c r="I11" s="231">
        <f>Delivery!K144-Delivery!K140</f>
        <v>40550.400000000001</v>
      </c>
      <c r="J11" s="231">
        <f>Delivery!L144-Delivery!L140</f>
        <v>50272</v>
      </c>
      <c r="K11" s="231">
        <f>Delivery!M144-Delivery!M140</f>
        <v>46360</v>
      </c>
      <c r="L11" s="231">
        <f>Delivery!N144-Delivery!N140</f>
        <v>42296</v>
      </c>
      <c r="M11" s="231">
        <f>Delivery!O144-Delivery!O140</f>
        <v>47860</v>
      </c>
      <c r="N11" s="231">
        <f>Delivery!P144-Delivery!P140</f>
        <v>49272</v>
      </c>
      <c r="O11" t="s">
        <v>692</v>
      </c>
    </row>
    <row r="12" spans="1:15">
      <c r="A12" s="863" t="s">
        <v>682</v>
      </c>
      <c r="B12" s="863" t="s">
        <v>71</v>
      </c>
      <c r="C12" s="706">
        <f>'Price to IR '!C18</f>
        <v>501.10300217665252</v>
      </c>
      <c r="D12" s="706">
        <f>'Price to IR '!D18</f>
        <v>552.43976871201198</v>
      </c>
      <c r="E12" s="706">
        <f>'Price to IR '!E18</f>
        <v>580.0396931292438</v>
      </c>
      <c r="F12" s="706">
        <f>'Price to IR '!F18</f>
        <v>559.5082513364149</v>
      </c>
      <c r="G12" s="706">
        <f>'Price to IR '!G18</f>
        <v>588.7014582567748</v>
      </c>
      <c r="H12" s="706">
        <f>'Price to IR '!H18</f>
        <v>630.81411910092822</v>
      </c>
      <c r="I12" s="706">
        <f>'Price to IR '!I18</f>
        <v>624.82148080438753</v>
      </c>
      <c r="J12" s="706">
        <f>'Price to IR '!J18</f>
        <v>620.6011903246341</v>
      </c>
      <c r="K12" s="706">
        <f>'Price to IR '!K18</f>
        <v>609.54508196721315</v>
      </c>
      <c r="L12" s="706">
        <f>'Price to IR '!L18</f>
        <v>608.37903536977501</v>
      </c>
      <c r="M12" s="706">
        <f>'Price to IR '!M18</f>
        <v>600.35583368157131</v>
      </c>
      <c r="N12" s="706">
        <f>'Price to IR '!N18</f>
        <v>600.80689722357533</v>
      </c>
      <c r="O12" t="s">
        <v>692</v>
      </c>
    </row>
    <row r="13" spans="1:15">
      <c r="A13" s="1053" t="s">
        <v>685</v>
      </c>
    </row>
    <row r="14" spans="1:15">
      <c r="A14" s="863" t="s">
        <v>671</v>
      </c>
      <c r="B14" s="863" t="s">
        <v>21</v>
      </c>
      <c r="C14" s="720">
        <f>Delivery!E35</f>
        <v>199660.853</v>
      </c>
      <c r="D14" s="720">
        <f>Delivery!F35</f>
        <v>182459.91500000001</v>
      </c>
      <c r="E14" s="720">
        <f>Delivery!G35</f>
        <v>194283.383</v>
      </c>
      <c r="F14" s="720">
        <f>Delivery!H35</f>
        <v>163812.19900000002</v>
      </c>
      <c r="G14" s="720">
        <f>Delivery!I35</f>
        <v>188796.05500000002</v>
      </c>
      <c r="H14" s="720">
        <f>Delivery!J35</f>
        <v>184795.133</v>
      </c>
      <c r="I14" s="720">
        <f>Delivery!K35</f>
        <v>143715.20000000001</v>
      </c>
      <c r="J14" s="720">
        <f>Delivery!L35</f>
        <v>192040</v>
      </c>
      <c r="K14" s="720">
        <f>Delivery!M35</f>
        <v>173623.92727272728</v>
      </c>
      <c r="L14" s="720">
        <f>Delivery!N35</f>
        <v>150799.04068284342</v>
      </c>
      <c r="M14" s="720">
        <f>Delivery!O35</f>
        <v>187109.14702958943</v>
      </c>
      <c r="N14" s="720">
        <f>Delivery!P35</f>
        <v>190511.83039987768</v>
      </c>
      <c r="O14" t="s">
        <v>134</v>
      </c>
    </row>
    <row r="15" spans="1:15">
      <c r="A15" s="863" t="s">
        <v>682</v>
      </c>
      <c r="B15" s="863" t="s">
        <v>21</v>
      </c>
      <c r="C15" s="706">
        <f>Price!E35</f>
        <v>423.0602561447181</v>
      </c>
      <c r="D15" s="706">
        <f>Price!F35</f>
        <v>423.08108236599242</v>
      </c>
      <c r="E15" s="706">
        <f>Price!G35</f>
        <v>433.47271036470164</v>
      </c>
      <c r="F15" s="706">
        <f>Price!H35</f>
        <v>498.5860558738612</v>
      </c>
      <c r="G15" s="706">
        <f>Price!I35</f>
        <v>497.18655986401052</v>
      </c>
      <c r="H15" s="706">
        <f>Price!J35</f>
        <v>456.05543466875059</v>
      </c>
      <c r="I15" s="706">
        <f>Price!K35</f>
        <v>438.42293230283587</v>
      </c>
      <c r="J15" s="706">
        <f>Price!L35</f>
        <v>427.41363469974385</v>
      </c>
      <c r="K15" s="706">
        <f>Price!M35</f>
        <v>423.06275269308674</v>
      </c>
      <c r="L15" s="706">
        <f>Price!N35</f>
        <v>420.60692574444772</v>
      </c>
      <c r="M15" s="706">
        <f>Price!O35</f>
        <v>423.46411727507774</v>
      </c>
      <c r="N15" s="706">
        <f>Price!P35</f>
        <v>434.09017990275322</v>
      </c>
      <c r="O15" t="s">
        <v>134</v>
      </c>
    </row>
    <row r="16" spans="1:15">
      <c r="A16" s="1053" t="s">
        <v>684</v>
      </c>
    </row>
    <row r="17" spans="1:15">
      <c r="A17" s="863" t="s">
        <v>671</v>
      </c>
      <c r="B17" s="863" t="s">
        <v>686</v>
      </c>
      <c r="C17" s="720">
        <f>Delivery!E43</f>
        <v>26282.391</v>
      </c>
      <c r="D17" s="720">
        <f>Delivery!F43</f>
        <v>21276</v>
      </c>
      <c r="E17" s="720">
        <f>Delivery!G43</f>
        <v>23556</v>
      </c>
      <c r="F17" s="720">
        <f>Delivery!H43</f>
        <v>15042.813</v>
      </c>
      <c r="G17" s="720">
        <f>Delivery!I43</f>
        <v>18322</v>
      </c>
      <c r="H17" s="720">
        <f>Delivery!J43</f>
        <v>22036</v>
      </c>
      <c r="I17" s="720">
        <f>Delivery!K43</f>
        <v>881</v>
      </c>
      <c r="J17" s="720">
        <f>Delivery!L43</f>
        <v>21276</v>
      </c>
      <c r="K17" s="720">
        <f>Delivery!M43</f>
        <v>21884</v>
      </c>
      <c r="L17" s="720">
        <f>Delivery!N43</f>
        <v>20258</v>
      </c>
      <c r="M17" s="720">
        <f>Delivery!O43</f>
        <v>22659</v>
      </c>
      <c r="N17" s="720">
        <f>Delivery!P43</f>
        <v>23556</v>
      </c>
      <c r="O17" t="s">
        <v>224</v>
      </c>
    </row>
    <row r="18" spans="1:15">
      <c r="A18" s="863" t="s">
        <v>682</v>
      </c>
      <c r="B18" s="863" t="s">
        <v>686</v>
      </c>
      <c r="C18" s="231">
        <f>Price!E43</f>
        <v>445.72809999999998</v>
      </c>
      <c r="D18" s="231">
        <f>Price!F43</f>
        <v>436.32499999999999</v>
      </c>
      <c r="E18" s="231">
        <f>Price!G43</f>
        <v>467.20780000000002</v>
      </c>
      <c r="F18" s="231">
        <f>Price!H43</f>
        <v>520.4</v>
      </c>
      <c r="G18" s="231">
        <f>Price!I43</f>
        <v>493.11250000000001</v>
      </c>
      <c r="H18" s="231">
        <f>Price!J43</f>
        <v>460.29379999999998</v>
      </c>
      <c r="I18" s="231">
        <f>Price!K43</f>
        <v>445.17500000000001</v>
      </c>
      <c r="J18" s="231">
        <f>Price!L43</f>
        <v>428.36</v>
      </c>
      <c r="K18" s="231">
        <f>Price!M43</f>
        <v>415.67500000000001</v>
      </c>
      <c r="L18" s="231">
        <f>Price!N43</f>
        <v>406.23500000000001</v>
      </c>
      <c r="M18" s="231">
        <f>Price!O43</f>
        <v>408.3</v>
      </c>
      <c r="N18" s="231">
        <f>Price!P43</f>
        <v>418.03500000000003</v>
      </c>
      <c r="O18" t="s">
        <v>224</v>
      </c>
    </row>
    <row r="19" spans="1:15">
      <c r="A19" s="1058" t="s">
        <v>237</v>
      </c>
    </row>
    <row r="20" spans="1:15">
      <c r="A20" s="863" t="s">
        <v>671</v>
      </c>
      <c r="B20" s="863" t="s">
        <v>50</v>
      </c>
      <c r="C20" s="231">
        <f>Delivery!E95</f>
        <v>167161.603</v>
      </c>
      <c r="D20" s="231">
        <f>Delivery!F95</f>
        <v>138142.40299999999</v>
      </c>
      <c r="E20" s="231">
        <f>Delivery!G95</f>
        <v>172257.57500000001</v>
      </c>
      <c r="F20" s="231">
        <f>Delivery!H95</f>
        <v>147986.53899999999</v>
      </c>
      <c r="G20" s="231">
        <f>Delivery!I95</f>
        <v>153392.10500000001</v>
      </c>
      <c r="H20" s="231">
        <f>Delivery!J95</f>
        <v>159118.81400000001</v>
      </c>
      <c r="I20" s="231">
        <f>Delivery!K95</f>
        <v>200159.78031</v>
      </c>
      <c r="J20" s="231">
        <f>Delivery!L95</f>
        <v>166262.64504999999</v>
      </c>
      <c r="K20" s="231">
        <f>Delivery!M95</f>
        <v>164577.45454000001</v>
      </c>
      <c r="L20" s="231">
        <f>Delivery!N95</f>
        <v>165587.17173</v>
      </c>
      <c r="M20" s="231">
        <f>Delivery!O95</f>
        <v>165243.78417</v>
      </c>
      <c r="N20" s="231">
        <f>Delivery!P95</f>
        <v>167322.7873</v>
      </c>
    </row>
    <row r="21" spans="1:15">
      <c r="A21" t="s">
        <v>702</v>
      </c>
      <c r="B21" s="863" t="s">
        <v>50</v>
      </c>
      <c r="C21" s="231">
        <v>419.43822910082719</v>
      </c>
      <c r="D21" s="231">
        <v>419.63406563167024</v>
      </c>
      <c r="E21" s="231">
        <v>417.98127336476443</v>
      </c>
      <c r="F21" s="231">
        <v>425.19356771529436</v>
      </c>
      <c r="G21" s="231">
        <v>423.02138887867267</v>
      </c>
      <c r="H21" s="231">
        <v>422.81856204991334</v>
      </c>
      <c r="I21" s="231">
        <v>426.016636158766</v>
      </c>
      <c r="J21" s="231">
        <v>424.21055961278768</v>
      </c>
      <c r="K21" s="231">
        <v>423.42414219023112</v>
      </c>
      <c r="L21" s="231">
        <v>413.61035224342299</v>
      </c>
      <c r="M21" s="231">
        <v>413.04218732425551</v>
      </c>
      <c r="N21" s="231">
        <v>413.7138709632722</v>
      </c>
    </row>
    <row r="22" spans="1:15">
      <c r="A22" s="863" t="s">
        <v>701</v>
      </c>
      <c r="B22" s="863" t="s">
        <v>50</v>
      </c>
      <c r="C22" s="231">
        <f>C21-20</f>
        <v>399.43822910082719</v>
      </c>
      <c r="D22" s="231">
        <f t="shared" ref="D22:N22" si="2">D21-20</f>
        <v>399.63406563167024</v>
      </c>
      <c r="E22" s="231">
        <f t="shared" si="2"/>
        <v>397.98127336476443</v>
      </c>
      <c r="F22" s="231">
        <f t="shared" si="2"/>
        <v>405.19356771529436</v>
      </c>
      <c r="G22" s="231">
        <f t="shared" si="2"/>
        <v>403.02138887867267</v>
      </c>
      <c r="H22" s="231">
        <f t="shared" si="2"/>
        <v>402.81856204991334</v>
      </c>
      <c r="I22" s="231">
        <f t="shared" si="2"/>
        <v>406.016636158766</v>
      </c>
      <c r="J22" s="231">
        <f t="shared" si="2"/>
        <v>404.21055961278768</v>
      </c>
      <c r="K22" s="231">
        <f t="shared" si="2"/>
        <v>403.42414219023112</v>
      </c>
      <c r="L22" s="231">
        <f t="shared" si="2"/>
        <v>393.61035224342299</v>
      </c>
      <c r="M22" s="231">
        <f t="shared" si="2"/>
        <v>393.04218732425551</v>
      </c>
      <c r="N22" s="231">
        <f t="shared" si="2"/>
        <v>393.7138709632722</v>
      </c>
    </row>
    <row r="23" spans="1:15">
      <c r="A23" s="863" t="s">
        <v>700</v>
      </c>
      <c r="B23" s="863" t="s">
        <v>50</v>
      </c>
      <c r="C23" s="706">
        <f>Price!E95</f>
        <v>459.45936955996279</v>
      </c>
      <c r="D23" s="706">
        <f>Price!F95</f>
        <v>459.77629187030374</v>
      </c>
      <c r="E23" s="706">
        <f>Price!G95</f>
        <v>454.95780688484501</v>
      </c>
      <c r="F23" s="706">
        <f>Price!H95</f>
        <v>442.47837407906258</v>
      </c>
      <c r="G23" s="706">
        <f>Price!I95</f>
        <v>440.71164807778246</v>
      </c>
      <c r="H23" s="706">
        <f>Price!J95</f>
        <v>440.28394872879903</v>
      </c>
      <c r="I23" s="706">
        <f>Price!K95</f>
        <v>383.76164746012694</v>
      </c>
      <c r="J23" s="706">
        <f>Price!L95</f>
        <v>385.84467887548249</v>
      </c>
      <c r="K23" s="706">
        <f>Price!M95</f>
        <v>392.23790052932009</v>
      </c>
      <c r="L23" s="706">
        <f>Price!N95</f>
        <v>398.29533595955655</v>
      </c>
      <c r="M23" s="706">
        <f>Price!O95</f>
        <v>401.78228858348729</v>
      </c>
      <c r="N23" s="706">
        <f>Price!P95</f>
        <v>401.79398753009963</v>
      </c>
    </row>
    <row r="26" spans="1:15">
      <c r="C26" t="s">
        <v>687</v>
      </c>
      <c r="D26" t="s">
        <v>688</v>
      </c>
    </row>
    <row r="27" spans="1:15">
      <c r="D27" t="s">
        <v>689</v>
      </c>
    </row>
    <row r="28" spans="1:15">
      <c r="D28" t="s">
        <v>690</v>
      </c>
    </row>
  </sheetData>
  <phoneticPr fontId="16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9"/>
  </sheetPr>
  <dimension ref="A2:AI156"/>
  <sheetViews>
    <sheetView topLeftCell="A13" zoomScale="60" zoomScaleNormal="60" workbookViewId="0">
      <pane xSplit="3" topLeftCell="E1" activePane="topRight" state="frozen"/>
      <selection activeCell="B140" sqref="B140"/>
      <selection pane="topRight" activeCell="M76" sqref="M76"/>
    </sheetView>
  </sheetViews>
  <sheetFormatPr defaultRowHeight="14.5"/>
  <cols>
    <col min="1" max="1" width="31" customWidth="1"/>
    <col min="2" max="2" width="25" customWidth="1"/>
    <col min="3" max="3" width="46" customWidth="1"/>
    <col min="4" max="4" width="30.1796875" customWidth="1"/>
    <col min="5" max="5" width="21" style="824" customWidth="1"/>
    <col min="6" max="9" width="21" customWidth="1"/>
    <col min="10" max="10" width="22.453125" customWidth="1"/>
    <col min="11" max="16" width="21" customWidth="1"/>
    <col min="17" max="17" width="21" style="525" customWidth="1"/>
    <col min="20" max="20" width="23.90625" customWidth="1"/>
    <col min="21" max="32" width="27.1796875" customWidth="1"/>
    <col min="33" max="34" width="23.36328125" customWidth="1"/>
  </cols>
  <sheetData>
    <row r="2" spans="2:32" ht="24.65" customHeight="1">
      <c r="B2" s="1346" t="s">
        <v>141</v>
      </c>
      <c r="C2" s="1347"/>
      <c r="D2" s="43">
        <v>242492</v>
      </c>
      <c r="E2" s="43">
        <v>23377</v>
      </c>
      <c r="F2" s="43">
        <v>23408</v>
      </c>
      <c r="G2" s="43">
        <v>23437</v>
      </c>
      <c r="H2" s="43">
        <v>23468</v>
      </c>
      <c r="I2" s="43">
        <v>23498</v>
      </c>
      <c r="J2" s="43">
        <v>23529</v>
      </c>
      <c r="K2" s="43">
        <v>23559</v>
      </c>
      <c r="L2" s="43">
        <v>23590</v>
      </c>
      <c r="M2" s="43">
        <v>23621</v>
      </c>
      <c r="N2" s="43">
        <v>23651</v>
      </c>
      <c r="O2" s="43">
        <v>23682</v>
      </c>
      <c r="P2" s="43">
        <v>23712</v>
      </c>
      <c r="Q2" s="526" t="s">
        <v>177</v>
      </c>
      <c r="T2" t="s">
        <v>234</v>
      </c>
      <c r="U2" s="43">
        <v>23377</v>
      </c>
      <c r="V2" s="43">
        <v>23408</v>
      </c>
      <c r="W2" s="43">
        <v>23437</v>
      </c>
      <c r="X2" s="43">
        <v>23468</v>
      </c>
      <c r="Y2" s="43">
        <v>23498</v>
      </c>
      <c r="Z2" s="43">
        <v>23529</v>
      </c>
      <c r="AA2" s="43">
        <v>23559</v>
      </c>
      <c r="AB2" s="43">
        <v>23590</v>
      </c>
      <c r="AC2" s="43">
        <v>23621</v>
      </c>
      <c r="AD2" s="43">
        <v>23651</v>
      </c>
      <c r="AE2" s="43">
        <v>23682</v>
      </c>
      <c r="AF2" s="43">
        <v>23712</v>
      </c>
    </row>
    <row r="3" spans="2:32" ht="24.65" customHeight="1">
      <c r="B3" s="1348" t="s">
        <v>190</v>
      </c>
      <c r="C3" s="51" t="s">
        <v>192</v>
      </c>
      <c r="D3" s="878">
        <f>D37+D52+D69+D95+D144+D148+D117+D124</f>
        <v>7726296302.2343884</v>
      </c>
      <c r="E3" s="878">
        <f>E37+E52+E69+E95+E144+E148+E124+E117</f>
        <v>8280577527.526886</v>
      </c>
      <c r="F3" s="878">
        <f>F37+F52+F69+F95+F144+F148+F124+F117</f>
        <v>8348222804.2471189</v>
      </c>
      <c r="G3" s="878">
        <f>G37+G52+G69+G95+G144+G148+G124+G117</f>
        <v>9628834067.8821983</v>
      </c>
      <c r="H3" s="878">
        <f>H37+H52+H69+H95+H144+H148+H124+H117</f>
        <v>8397902879.7596502</v>
      </c>
      <c r="I3" s="878">
        <f t="shared" ref="I3:P3" si="0">I37+I52+I69+I95+I144+I148+I124+I117</f>
        <v>9878472849.9271069</v>
      </c>
      <c r="J3" s="878">
        <f t="shared" si="0"/>
        <v>9802065687.2853565</v>
      </c>
      <c r="K3" s="878">
        <f t="shared" si="0"/>
        <v>9765638761.4991493</v>
      </c>
      <c r="L3" s="878">
        <f t="shared" si="0"/>
        <v>8901569926.0154037</v>
      </c>
      <c r="M3" s="878">
        <f t="shared" si="0"/>
        <v>8953092511.4837646</v>
      </c>
      <c r="N3" s="878">
        <f t="shared" si="0"/>
        <v>8161549350.0912924</v>
      </c>
      <c r="O3" s="878">
        <f t="shared" si="0"/>
        <v>8474143884.8275299</v>
      </c>
      <c r="P3" s="878">
        <f t="shared" si="0"/>
        <v>9368692077.1857395</v>
      </c>
      <c r="Q3" s="1036">
        <f>SUM(E3:P3)</f>
        <v>107960762327.73122</v>
      </c>
      <c r="T3" t="s">
        <v>208</v>
      </c>
      <c r="U3" s="720">
        <f>E37</f>
        <v>2534555512.9400997</v>
      </c>
      <c r="V3" s="720">
        <f>F37</f>
        <v>2314439755.573</v>
      </c>
      <c r="W3" s="720">
        <f t="shared" ref="W3:AF3" si="1">G37</f>
        <v>2671805017.0497003</v>
      </c>
      <c r="X3" s="720">
        <f t="shared" si="1"/>
        <v>2645716804.5981998</v>
      </c>
      <c r="Y3" s="720">
        <f t="shared" si="1"/>
        <v>3117273566.5733004</v>
      </c>
      <c r="Z3" s="720">
        <f t="shared" si="1"/>
        <v>2821505828.1706004</v>
      </c>
      <c r="AA3" s="720">
        <f t="shared" si="1"/>
        <v>2006686175.4866557</v>
      </c>
      <c r="AB3" s="720">
        <f t="shared" si="1"/>
        <v>2644622029.1921644</v>
      </c>
      <c r="AC3" s="720">
        <f t="shared" si="1"/>
        <v>2365246292.1906199</v>
      </c>
      <c r="AD3" s="720">
        <f t="shared" si="1"/>
        <v>2042124373.5971389</v>
      </c>
      <c r="AE3" s="720">
        <f t="shared" si="1"/>
        <v>2547562235.7747126</v>
      </c>
      <c r="AF3" s="720">
        <f t="shared" si="1"/>
        <v>2654767409.3458595</v>
      </c>
    </row>
    <row r="4" spans="2:32" ht="24.65" customHeight="1">
      <c r="B4" s="1348"/>
      <c r="C4" s="52" t="s">
        <v>142</v>
      </c>
      <c r="D4" s="714">
        <v>-437638758.61660016</v>
      </c>
      <c r="E4" s="820">
        <v>-922349538.35930002</v>
      </c>
      <c r="F4" s="714">
        <v>-787903395.1018002</v>
      </c>
      <c r="G4" s="714">
        <v>-860739000.44840002</v>
      </c>
      <c r="H4" s="714">
        <v>-568907294.00940001</v>
      </c>
      <c r="I4" s="714">
        <v>-466686524.13639998</v>
      </c>
      <c r="J4" s="714">
        <v>-765394863.84119999</v>
      </c>
      <c r="K4" s="714"/>
      <c r="L4" s="714"/>
      <c r="M4" s="714"/>
      <c r="N4" s="714"/>
      <c r="O4" s="714"/>
      <c r="P4" s="714"/>
      <c r="Q4" s="715">
        <f>SUM(E4:P4)</f>
        <v>-4371980615.8964996</v>
      </c>
      <c r="T4" t="s">
        <v>38</v>
      </c>
      <c r="U4" s="720">
        <f t="shared" ref="U4" si="2">E52</f>
        <v>1424667049.4393997</v>
      </c>
      <c r="V4" s="720">
        <f t="shared" ref="V4" si="3">F52</f>
        <v>1573741481.1984999</v>
      </c>
      <c r="W4" s="720">
        <f t="shared" ref="W4" si="4">G52</f>
        <v>2004857784.5783</v>
      </c>
      <c r="X4" s="720">
        <f t="shared" ref="X4" si="5">H52</f>
        <v>1222712074.1915002</v>
      </c>
      <c r="Y4" s="720">
        <f t="shared" ref="Y4" si="6">I52</f>
        <v>1728888414.2042999</v>
      </c>
      <c r="Z4" s="720">
        <f t="shared" ref="Z4" si="7">J52</f>
        <v>1933324561.3664999</v>
      </c>
      <c r="AA4" s="720">
        <f t="shared" ref="AA4" si="8">K52</f>
        <v>1432107190.6983638</v>
      </c>
      <c r="AB4" s="720">
        <f t="shared" ref="AB4" si="9">L52</f>
        <v>1472261417.9161088</v>
      </c>
      <c r="AC4" s="720">
        <f t="shared" ref="AC4" si="10">M52</f>
        <v>1308052761.9978447</v>
      </c>
      <c r="AD4" s="720">
        <f t="shared" ref="AD4" si="11">N52</f>
        <v>915522637.42860067</v>
      </c>
      <c r="AE4" s="720">
        <f t="shared" ref="AE4" si="12">O52</f>
        <v>1464541984.8744788</v>
      </c>
      <c r="AF4" s="720">
        <f t="shared" ref="AF4" si="13">P52</f>
        <v>1691448112.6243212</v>
      </c>
    </row>
    <row r="5" spans="2:32" ht="24.65" customHeight="1">
      <c r="B5" s="1348"/>
      <c r="C5" s="52" t="s">
        <v>143</v>
      </c>
      <c r="D5" s="689">
        <v>-378589478.62</v>
      </c>
      <c r="E5" s="895">
        <v>-378660346.25</v>
      </c>
      <c r="F5" s="714">
        <v>-304091098.80000001</v>
      </c>
      <c r="G5" s="714">
        <v>-386242427.38999999</v>
      </c>
      <c r="H5" s="714">
        <v>-293664315.20999998</v>
      </c>
      <c r="I5" s="714">
        <v>-324895882.86000001</v>
      </c>
      <c r="J5" s="714">
        <v>-350908217.76999998</v>
      </c>
      <c r="K5" s="714"/>
      <c r="L5" s="714"/>
      <c r="M5" s="714"/>
      <c r="N5" s="714"/>
      <c r="O5" s="714"/>
      <c r="P5" s="714"/>
      <c r="Q5" s="715">
        <f t="shared" ref="Q5:Q10" si="14">SUM(E5:P5)</f>
        <v>-2038462288.2799997</v>
      </c>
      <c r="T5" t="s">
        <v>214</v>
      </c>
      <c r="U5" s="720">
        <f>E69</f>
        <v>616681091.53530002</v>
      </c>
      <c r="V5" s="720">
        <f t="shared" ref="V5:AF5" si="15">F69</f>
        <v>681041545.17720008</v>
      </c>
      <c r="W5" s="720">
        <f t="shared" si="15"/>
        <v>701620431.94140005</v>
      </c>
      <c r="X5" s="720">
        <f t="shared" si="15"/>
        <v>831842407.01999998</v>
      </c>
      <c r="Y5" s="720">
        <f t="shared" si="15"/>
        <v>1144871517.5903997</v>
      </c>
      <c r="Z5" s="720">
        <f t="shared" si="15"/>
        <v>1111804707.0659001</v>
      </c>
      <c r="AA5" s="720">
        <f t="shared" si="15"/>
        <v>1367954204.5352728</v>
      </c>
      <c r="AB5" s="720">
        <f t="shared" si="15"/>
        <v>717686826.85645175</v>
      </c>
      <c r="AC5" s="720">
        <f t="shared" si="15"/>
        <v>703851067.71070385</v>
      </c>
      <c r="AD5" s="720">
        <f t="shared" si="15"/>
        <v>684263213.83112216</v>
      </c>
      <c r="AE5" s="720">
        <f t="shared" si="15"/>
        <v>680711267.50653732</v>
      </c>
      <c r="AF5" s="720">
        <f t="shared" si="15"/>
        <v>716186052.88904524</v>
      </c>
    </row>
    <row r="6" spans="2:32" ht="24.65" customHeight="1">
      <c r="B6" s="1348"/>
      <c r="C6" s="53" t="s">
        <v>144</v>
      </c>
      <c r="D6" s="689">
        <v>622741432.44300008</v>
      </c>
      <c r="E6" s="820">
        <v>1102893369.2481</v>
      </c>
      <c r="F6" s="714">
        <v>935601331.93900013</v>
      </c>
      <c r="G6" s="714">
        <v>1056142826.9104</v>
      </c>
      <c r="H6" s="714">
        <v>720573794.39740014</v>
      </c>
      <c r="I6" s="714">
        <v>681905569.61600006</v>
      </c>
      <c r="J6" s="714">
        <v>996979998.5237999</v>
      </c>
      <c r="K6" s="714"/>
      <c r="L6" s="714"/>
      <c r="M6" s="714"/>
      <c r="N6" s="714"/>
      <c r="O6" s="714"/>
      <c r="P6" s="714"/>
      <c r="Q6" s="715">
        <f>SUM(E6:P6)</f>
        <v>5494096890.6347008</v>
      </c>
      <c r="T6" t="s">
        <v>215</v>
      </c>
      <c r="U6" s="720">
        <f>E95</f>
        <v>2320306954.7758813</v>
      </c>
      <c r="V6" s="720">
        <f t="shared" ref="V6:AF6" si="16">F95</f>
        <v>1917565342.8653879</v>
      </c>
      <c r="W6" s="720">
        <f t="shared" si="16"/>
        <v>2388958939.1343956</v>
      </c>
      <c r="X6" s="720">
        <f t="shared" si="16"/>
        <v>2052498669.1605945</v>
      </c>
      <c r="Y6" s="720">
        <f t="shared" si="16"/>
        <v>2127870440.4513264</v>
      </c>
      <c r="Z6" s="720">
        <f t="shared" si="16"/>
        <v>2206579155.7171788</v>
      </c>
      <c r="AA6" s="720">
        <f t="shared" si="16"/>
        <v>2433920182.1350446</v>
      </c>
      <c r="AB6" s="720">
        <f t="shared" si="16"/>
        <v>2038177527.7140236</v>
      </c>
      <c r="AC6" s="720">
        <f t="shared" si="16"/>
        <v>2033873130.2260103</v>
      </c>
      <c r="AD6" s="720">
        <f t="shared" si="16"/>
        <v>2062091750.3192987</v>
      </c>
      <c r="AE6" s="720">
        <f t="shared" si="16"/>
        <v>2075516089.7283993</v>
      </c>
      <c r="AF6" s="720">
        <f t="shared" si="16"/>
        <v>2101514102.3039899</v>
      </c>
    </row>
    <row r="7" spans="2:32" ht="24.65" customHeight="1">
      <c r="B7" s="1348"/>
      <c r="C7" s="51" t="s">
        <v>193</v>
      </c>
      <c r="D7" s="689">
        <f>D3+SUM(D4:D6)</f>
        <v>7532809497.4407883</v>
      </c>
      <c r="E7" s="820">
        <f>E3+SUM(E4:E6)</f>
        <v>8082461012.1656857</v>
      </c>
      <c r="F7" s="714">
        <f>F3+SUM(F4:F6)</f>
        <v>8191829642.2843189</v>
      </c>
      <c r="G7" s="714">
        <f t="shared" ref="G7:P7" si="17">G3+SUM(G4:G6)</f>
        <v>9437995466.9541988</v>
      </c>
      <c r="H7" s="714">
        <f t="shared" si="17"/>
        <v>8255905064.9376507</v>
      </c>
      <c r="I7" s="714">
        <f t="shared" si="17"/>
        <v>9768796012.5467072</v>
      </c>
      <c r="J7" s="714">
        <f t="shared" si="17"/>
        <v>9682742604.1979561</v>
      </c>
      <c r="K7" s="714">
        <f t="shared" si="17"/>
        <v>9765638761.4991493</v>
      </c>
      <c r="L7" s="714">
        <f t="shared" si="17"/>
        <v>8901569926.0154037</v>
      </c>
      <c r="M7" s="714">
        <f t="shared" si="17"/>
        <v>8953092511.4837646</v>
      </c>
      <c r="N7" s="714">
        <f t="shared" si="17"/>
        <v>8161549350.0912924</v>
      </c>
      <c r="O7" s="714">
        <f t="shared" si="17"/>
        <v>8474143884.8275299</v>
      </c>
      <c r="P7" s="714">
        <f t="shared" si="17"/>
        <v>9368692077.1857395</v>
      </c>
      <c r="Q7" s="715">
        <f t="shared" si="14"/>
        <v>107044416314.18941</v>
      </c>
      <c r="T7" t="s">
        <v>71</v>
      </c>
      <c r="U7" s="720">
        <f t="shared" ref="U7:AF7" si="18">E144</f>
        <v>850700350.47039998</v>
      </c>
      <c r="V7" s="720">
        <f t="shared" si="18"/>
        <v>879369828.65989995</v>
      </c>
      <c r="W7" s="720">
        <f t="shared" si="18"/>
        <v>1036145807.6905</v>
      </c>
      <c r="X7" s="720">
        <f t="shared" si="18"/>
        <v>876308638.54599988</v>
      </c>
      <c r="Y7" s="720">
        <f t="shared" si="18"/>
        <v>1076199690.168</v>
      </c>
      <c r="Z7" s="720">
        <f t="shared" si="18"/>
        <v>1029837350.2859</v>
      </c>
      <c r="AA7" s="720">
        <f t="shared" si="18"/>
        <v>777465694.31374133</v>
      </c>
      <c r="AB7" s="720">
        <f t="shared" si="18"/>
        <v>995927369.14062881</v>
      </c>
      <c r="AC7" s="720">
        <f t="shared" si="18"/>
        <v>886911855.58708572</v>
      </c>
      <c r="AD7" s="720">
        <f t="shared" si="18"/>
        <v>830565178.42062867</v>
      </c>
      <c r="AE7" s="720">
        <f t="shared" si="18"/>
        <v>900469316.6270858</v>
      </c>
      <c r="AF7" s="720">
        <f t="shared" si="18"/>
        <v>945856202.74062872</v>
      </c>
    </row>
    <row r="8" spans="2:32" ht="24.65" customHeight="1">
      <c r="B8" s="1348"/>
      <c r="C8" s="232" t="s">
        <v>145</v>
      </c>
      <c r="D8" s="714"/>
      <c r="E8" s="820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5">
        <f>SUM(E8:P8)</f>
        <v>0</v>
      </c>
      <c r="T8" t="s">
        <v>79</v>
      </c>
      <c r="U8" s="720">
        <f t="shared" ref="U8:AF8" si="19">E148</f>
        <v>27682702.400000002</v>
      </c>
      <c r="V8" s="720">
        <f t="shared" si="19"/>
        <v>56245578.899999999</v>
      </c>
      <c r="W8" s="720">
        <f t="shared" si="19"/>
        <v>68177595.989999995</v>
      </c>
      <c r="X8" s="720">
        <f t="shared" si="19"/>
        <v>61431282.359999999</v>
      </c>
      <c r="Y8" s="720">
        <f t="shared" si="19"/>
        <v>62533484.039999999</v>
      </c>
      <c r="Z8" s="720">
        <f t="shared" si="19"/>
        <v>64801356.300000004</v>
      </c>
      <c r="AA8" s="720">
        <f t="shared" si="19"/>
        <v>71921735.999999985</v>
      </c>
      <c r="AB8" s="720">
        <f t="shared" si="19"/>
        <v>71355254.400000006</v>
      </c>
      <c r="AC8" s="720">
        <f t="shared" si="19"/>
        <v>67618800</v>
      </c>
      <c r="AD8" s="720">
        <f t="shared" si="19"/>
        <v>69716073.600000009</v>
      </c>
      <c r="AE8" s="720">
        <f t="shared" si="19"/>
        <v>66429072.000000015</v>
      </c>
      <c r="AF8" s="720">
        <f t="shared" si="19"/>
        <v>68703638.399999991</v>
      </c>
    </row>
    <row r="9" spans="2:32" ht="24.65" customHeight="1">
      <c r="B9" s="1349" t="s">
        <v>191</v>
      </c>
      <c r="C9" s="136" t="s">
        <v>192</v>
      </c>
      <c r="D9" s="716"/>
      <c r="E9" s="823">
        <f t="shared" ref="E9:P9" si="20">E3+E117+E124</f>
        <v>8786561393.492691</v>
      </c>
      <c r="F9" s="716">
        <f t="shared" si="20"/>
        <v>9274042076.1202526</v>
      </c>
      <c r="G9" s="716">
        <f t="shared" si="20"/>
        <v>10386102559.3801</v>
      </c>
      <c r="H9" s="716">
        <f t="shared" si="20"/>
        <v>9105295883.6430054</v>
      </c>
      <c r="I9" s="716">
        <f t="shared" si="20"/>
        <v>10499308586.826887</v>
      </c>
      <c r="J9" s="716">
        <f t="shared" si="20"/>
        <v>10436278415.664635</v>
      </c>
      <c r="K9" s="716">
        <f t="shared" si="20"/>
        <v>11441222339.82922</v>
      </c>
      <c r="L9" s="716">
        <f t="shared" si="20"/>
        <v>9863109426.8114319</v>
      </c>
      <c r="M9" s="716">
        <f t="shared" si="20"/>
        <v>10540631115.255266</v>
      </c>
      <c r="N9" s="716">
        <f t="shared" si="20"/>
        <v>9718815472.9857941</v>
      </c>
      <c r="O9" s="716">
        <f t="shared" si="20"/>
        <v>9213057803.1438465</v>
      </c>
      <c r="P9" s="716">
        <f t="shared" si="20"/>
        <v>10558908636.067635</v>
      </c>
      <c r="Q9" s="715">
        <f t="shared" si="14"/>
        <v>119823333709.22076</v>
      </c>
      <c r="T9" s="135" t="s">
        <v>177</v>
      </c>
      <c r="U9" s="720">
        <f>SUM(U3:U8)</f>
        <v>7774593661.5610809</v>
      </c>
      <c r="V9" s="720">
        <f t="shared" ref="V9:AF9" si="21">SUM(V3:V8)</f>
        <v>7422403532.3739872</v>
      </c>
      <c r="W9" s="720">
        <f t="shared" si="21"/>
        <v>8871565576.3842964</v>
      </c>
      <c r="X9" s="720">
        <f t="shared" si="21"/>
        <v>7690509875.8762941</v>
      </c>
      <c r="Y9" s="720">
        <f t="shared" si="21"/>
        <v>9257637113.0273266</v>
      </c>
      <c r="Z9" s="720">
        <f t="shared" si="21"/>
        <v>9167852958.9060783</v>
      </c>
      <c r="AA9" s="720">
        <f t="shared" si="21"/>
        <v>8090055183.1690788</v>
      </c>
      <c r="AB9" s="720">
        <f t="shared" si="21"/>
        <v>7940030425.2193775</v>
      </c>
      <c r="AC9" s="720">
        <f t="shared" si="21"/>
        <v>7365553907.7122641</v>
      </c>
      <c r="AD9" s="720">
        <f t="shared" si="21"/>
        <v>6604283227.1967897</v>
      </c>
      <c r="AE9" s="720">
        <f t="shared" si="21"/>
        <v>7735229966.5112133</v>
      </c>
      <c r="AF9" s="720">
        <f t="shared" si="21"/>
        <v>8178475518.3038445</v>
      </c>
    </row>
    <row r="10" spans="2:32" ht="24.65" customHeight="1">
      <c r="B10" s="1349"/>
      <c r="C10" s="137" t="s">
        <v>193</v>
      </c>
      <c r="D10" s="716"/>
      <c r="E10" s="823">
        <f t="shared" ref="E10:P10" si="22">E7+E117+E124</f>
        <v>8588444878.1314907</v>
      </c>
      <c r="F10" s="716">
        <f t="shared" si="22"/>
        <v>9117648914.1574516</v>
      </c>
      <c r="G10" s="716">
        <f t="shared" si="22"/>
        <v>10195263958.452101</v>
      </c>
      <c r="H10" s="716">
        <f t="shared" si="22"/>
        <v>8963298068.8210068</v>
      </c>
      <c r="I10" s="716">
        <f t="shared" si="22"/>
        <v>10389631749.446487</v>
      </c>
      <c r="J10" s="716">
        <f t="shared" si="22"/>
        <v>10316955332.577234</v>
      </c>
      <c r="K10" s="716">
        <f t="shared" si="22"/>
        <v>11441222339.82922</v>
      </c>
      <c r="L10" s="716">
        <f t="shared" si="22"/>
        <v>9863109426.8114319</v>
      </c>
      <c r="M10" s="716">
        <f t="shared" si="22"/>
        <v>10540631115.255266</v>
      </c>
      <c r="N10" s="716">
        <f t="shared" si="22"/>
        <v>9718815472.9857941</v>
      </c>
      <c r="O10" s="716">
        <f t="shared" si="22"/>
        <v>9213057803.1438465</v>
      </c>
      <c r="P10" s="716">
        <f t="shared" si="22"/>
        <v>10558908636.067635</v>
      </c>
      <c r="Q10" s="715">
        <f t="shared" si="14"/>
        <v>118906987695.67896</v>
      </c>
      <c r="T10" t="s">
        <v>235</v>
      </c>
      <c r="U10" s="43">
        <v>23377</v>
      </c>
      <c r="V10" s="43">
        <v>23408</v>
      </c>
      <c r="W10" s="43">
        <v>23437</v>
      </c>
      <c r="X10" s="43">
        <v>23468</v>
      </c>
      <c r="Y10" s="43">
        <v>23498</v>
      </c>
      <c r="Z10" s="43">
        <v>23529</v>
      </c>
      <c r="AA10" s="43">
        <v>23559</v>
      </c>
      <c r="AB10" s="43">
        <v>23590</v>
      </c>
      <c r="AC10" s="43">
        <v>23621</v>
      </c>
      <c r="AD10" s="43">
        <v>23651</v>
      </c>
      <c r="AE10" s="43">
        <v>23682</v>
      </c>
      <c r="AF10" s="43">
        <v>23712</v>
      </c>
    </row>
    <row r="11" spans="2:32">
      <c r="B11" t="s">
        <v>606</v>
      </c>
      <c r="E11" s="906">
        <f>Price!E20</f>
        <v>30.0059</v>
      </c>
      <c r="F11" s="906">
        <f>Price!F20</f>
        <v>29.9816</v>
      </c>
      <c r="G11" s="906">
        <f>Price!G20</f>
        <v>30.7836</v>
      </c>
      <c r="H11" s="906">
        <f>Price!H20</f>
        <v>31.332999999999998</v>
      </c>
      <c r="I11" s="906">
        <f>Price!I20</f>
        <v>31.2956</v>
      </c>
      <c r="J11" s="906">
        <f>Price!J20</f>
        <v>31.437000000000001</v>
      </c>
      <c r="K11" s="906">
        <f>Price!K20</f>
        <v>30</v>
      </c>
      <c r="L11" s="906">
        <f>Price!L20</f>
        <v>30</v>
      </c>
      <c r="M11" s="906">
        <f>Price!M20</f>
        <v>30</v>
      </c>
      <c r="N11" s="906">
        <f>Price!N20</f>
        <v>30</v>
      </c>
      <c r="O11" s="906">
        <f>Price!O20</f>
        <v>30</v>
      </c>
      <c r="P11" s="906">
        <f>Price!P20</f>
        <v>30</v>
      </c>
      <c r="T11" t="s">
        <v>208</v>
      </c>
      <c r="U11" s="150">
        <f>U3/U9</f>
        <v>0.32600488504902514</v>
      </c>
      <c r="V11" s="150">
        <f t="shared" ref="V11:AF11" si="23">V3/V9</f>
        <v>0.31181809847419434</v>
      </c>
      <c r="W11" s="150">
        <f t="shared" si="23"/>
        <v>0.30116499664522839</v>
      </c>
      <c r="X11" s="150">
        <f t="shared" si="23"/>
        <v>0.34402358846158221</v>
      </c>
      <c r="Y11" s="150">
        <f t="shared" si="23"/>
        <v>0.33672453656524082</v>
      </c>
      <c r="Z11" s="150">
        <f t="shared" si="23"/>
        <v>0.30776080733599231</v>
      </c>
      <c r="AA11" s="150">
        <f t="shared" si="23"/>
        <v>0.24804357078570458</v>
      </c>
      <c r="AB11" s="150">
        <f t="shared" si="23"/>
        <v>0.33307454601083536</v>
      </c>
      <c r="AC11" s="150">
        <f t="shared" si="23"/>
        <v>0.32112266393353489</v>
      </c>
      <c r="AD11" s="150">
        <f t="shared" si="23"/>
        <v>0.30921211331270015</v>
      </c>
      <c r="AE11" s="150">
        <f t="shared" si="23"/>
        <v>0.32934537781088469</v>
      </c>
      <c r="AF11" s="150">
        <f t="shared" si="23"/>
        <v>0.32460418856843859</v>
      </c>
    </row>
    <row r="12" spans="2:32">
      <c r="T12" t="s">
        <v>38</v>
      </c>
      <c r="U12" s="150">
        <f>U4/U9</f>
        <v>0.183246496403175</v>
      </c>
      <c r="V12" s="150">
        <f t="shared" ref="V12:AF12" si="24">V4/V9</f>
        <v>0.21202585851528788</v>
      </c>
      <c r="W12" s="150">
        <f t="shared" si="24"/>
        <v>0.22598692049519875</v>
      </c>
      <c r="X12" s="150">
        <f t="shared" si="24"/>
        <v>0.15898972810982553</v>
      </c>
      <c r="Y12" s="150">
        <f t="shared" si="24"/>
        <v>0.1867526662685246</v>
      </c>
      <c r="Z12" s="150">
        <f t="shared" si="24"/>
        <v>0.21088084309733376</v>
      </c>
      <c r="AA12" s="150">
        <f t="shared" si="24"/>
        <v>0.1770206949487545</v>
      </c>
      <c r="AB12" s="150">
        <f t="shared" si="24"/>
        <v>0.18542264186291593</v>
      </c>
      <c r="AC12" s="150">
        <f t="shared" si="24"/>
        <v>0.17759054897802315</v>
      </c>
      <c r="AD12" s="150">
        <f t="shared" si="24"/>
        <v>0.1386255867492826</v>
      </c>
      <c r="AE12" s="150">
        <f t="shared" si="24"/>
        <v>0.18933399410425347</v>
      </c>
      <c r="AF12" s="150">
        <f t="shared" si="24"/>
        <v>0.20681704173825236</v>
      </c>
    </row>
    <row r="13" spans="2:32">
      <c r="T13" t="s">
        <v>214</v>
      </c>
      <c r="U13" s="150">
        <f>U5/U9</f>
        <v>7.9320041455578139E-2</v>
      </c>
      <c r="V13" s="150">
        <f t="shared" ref="V13:AF13" si="25">V5/V9</f>
        <v>9.1754853021225491E-2</v>
      </c>
      <c r="W13" s="150">
        <f t="shared" si="25"/>
        <v>7.9086427970400358E-2</v>
      </c>
      <c r="X13" s="150">
        <f t="shared" si="25"/>
        <v>0.10816479277002629</v>
      </c>
      <c r="Y13" s="150">
        <f t="shared" si="25"/>
        <v>0.12366778948154482</v>
      </c>
      <c r="Z13" s="150">
        <f t="shared" si="25"/>
        <v>0.12127209195538431</v>
      </c>
      <c r="AA13" s="150">
        <f t="shared" si="25"/>
        <v>0.16909083727651542</v>
      </c>
      <c r="AB13" s="150">
        <f t="shared" si="25"/>
        <v>9.0388422766858934E-2</v>
      </c>
      <c r="AC13" s="150">
        <f t="shared" si="25"/>
        <v>9.5559828429701829E-2</v>
      </c>
      <c r="AD13" s="150">
        <f t="shared" si="25"/>
        <v>0.10360900498835209</v>
      </c>
      <c r="AE13" s="150">
        <f t="shared" si="25"/>
        <v>8.8001426002019115E-2</v>
      </c>
      <c r="AF13" s="150">
        <f t="shared" si="25"/>
        <v>8.7569627283982737E-2</v>
      </c>
    </row>
    <row r="14" spans="2:32">
      <c r="T14" t="s">
        <v>215</v>
      </c>
      <c r="U14" s="150">
        <f>U6/U9</f>
        <v>0.29844736018139123</v>
      </c>
      <c r="V14" s="150">
        <f t="shared" ref="V14:AF14" si="26">V6/V9</f>
        <v>0.25834830112666651</v>
      </c>
      <c r="W14" s="150">
        <f t="shared" si="26"/>
        <v>0.26928267830130181</v>
      </c>
      <c r="X14" s="150">
        <f t="shared" si="26"/>
        <v>0.26688720283669393</v>
      </c>
      <c r="Y14" s="150">
        <f t="shared" si="26"/>
        <v>0.22985027545063219</v>
      </c>
      <c r="Z14" s="150">
        <f t="shared" si="26"/>
        <v>0.24068657793792442</v>
      </c>
      <c r="AA14" s="150">
        <f t="shared" si="26"/>
        <v>0.30085334735400615</v>
      </c>
      <c r="AB14" s="150">
        <f t="shared" si="26"/>
        <v>0.25669643799352448</v>
      </c>
      <c r="AC14" s="150">
        <f t="shared" si="26"/>
        <v>0.2761330859443441</v>
      </c>
      <c r="AD14" s="150">
        <f t="shared" si="26"/>
        <v>0.31223551131597371</v>
      </c>
      <c r="AE14" s="150">
        <f t="shared" si="26"/>
        <v>0.26831989465266154</v>
      </c>
      <c r="AF14" s="150">
        <f t="shared" si="26"/>
        <v>0.25695670270097337</v>
      </c>
    </row>
    <row r="15" spans="2:32">
      <c r="T15" t="s">
        <v>71</v>
      </c>
      <c r="U15" s="150">
        <f>U7/U9</f>
        <v>0.1094205546299362</v>
      </c>
      <c r="V15" s="150">
        <f t="shared" ref="V15:AF15" si="27">V7/V9</f>
        <v>0.11847507681634249</v>
      </c>
      <c r="W15" s="150">
        <f t="shared" si="27"/>
        <v>0.11679402003730581</v>
      </c>
      <c r="X15" s="150">
        <f t="shared" si="27"/>
        <v>0.11394675420609209</v>
      </c>
      <c r="Y15" s="150">
        <f t="shared" si="27"/>
        <v>0.11624993257227313</v>
      </c>
      <c r="Z15" s="150">
        <f t="shared" si="27"/>
        <v>0.11233135554224484</v>
      </c>
      <c r="AA15" s="150">
        <f t="shared" si="27"/>
        <v>9.6101408051111517E-2</v>
      </c>
      <c r="AB15" s="150">
        <f t="shared" si="27"/>
        <v>0.12543117794326489</v>
      </c>
      <c r="AC15" s="150">
        <f t="shared" si="27"/>
        <v>0.12041346335927638</v>
      </c>
      <c r="AD15" s="150">
        <f t="shared" si="27"/>
        <v>0.12576159287056574</v>
      </c>
      <c r="AE15" s="150">
        <f t="shared" si="27"/>
        <v>0.11641144743279307</v>
      </c>
      <c r="AF15" s="150">
        <f t="shared" si="27"/>
        <v>0.11565189632514696</v>
      </c>
    </row>
    <row r="16" spans="2:32"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</row>
    <row r="17" spans="1:34"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</row>
    <row r="18" spans="1:34">
      <c r="T18" t="s">
        <v>79</v>
      </c>
      <c r="U18" s="150">
        <f>U8/U9</f>
        <v>3.5606622808942428E-3</v>
      </c>
      <c r="V18" s="150">
        <f t="shared" ref="V18:AF18" si="28">V8/V9</f>
        <v>7.5778120462833918E-3</v>
      </c>
      <c r="W18" s="150">
        <f t="shared" si="28"/>
        <v>7.6849565505648348E-3</v>
      </c>
      <c r="X18" s="150">
        <f t="shared" si="28"/>
        <v>7.9879336157799574E-3</v>
      </c>
      <c r="Y18" s="150">
        <f t="shared" si="28"/>
        <v>6.7547996617844325E-3</v>
      </c>
      <c r="Z18" s="150">
        <f t="shared" si="28"/>
        <v>7.0683241311204669E-3</v>
      </c>
      <c r="AA18" s="150">
        <f t="shared" si="28"/>
        <v>8.8901415839077666E-3</v>
      </c>
      <c r="AB18" s="150">
        <f t="shared" si="28"/>
        <v>8.9867734226003939E-3</v>
      </c>
      <c r="AC18" s="150">
        <f t="shared" si="28"/>
        <v>9.1804093551196824E-3</v>
      </c>
      <c r="AD18" s="150">
        <f t="shared" si="28"/>
        <v>1.0556190763125589E-2</v>
      </c>
      <c r="AE18" s="150">
        <f t="shared" si="28"/>
        <v>8.5878599973881874E-3</v>
      </c>
      <c r="AF18" s="150">
        <f t="shared" si="28"/>
        <v>8.4005433832060449E-3</v>
      </c>
    </row>
    <row r="19" spans="1:34">
      <c r="T19" t="s">
        <v>177</v>
      </c>
      <c r="U19" s="150">
        <f>SUM(U11:U18)</f>
        <v>1</v>
      </c>
      <c r="V19" s="150">
        <f t="shared" ref="V19:AF19" si="29">SUM(V11:V18)</f>
        <v>1.0000000000000002</v>
      </c>
      <c r="W19" s="150">
        <f t="shared" si="29"/>
        <v>0.99999999999999978</v>
      </c>
      <c r="X19" s="150">
        <f t="shared" si="29"/>
        <v>1</v>
      </c>
      <c r="Y19" s="150">
        <f t="shared" si="29"/>
        <v>0.99999999999999989</v>
      </c>
      <c r="Z19" s="150">
        <f t="shared" si="29"/>
        <v>1.0000000000000002</v>
      </c>
      <c r="AA19" s="150">
        <f t="shared" si="29"/>
        <v>1</v>
      </c>
      <c r="AB19" s="150">
        <f t="shared" si="29"/>
        <v>0.99999999999999989</v>
      </c>
      <c r="AC19" s="150">
        <f t="shared" si="29"/>
        <v>0.99999999999999989</v>
      </c>
      <c r="AD19" s="150">
        <f t="shared" si="29"/>
        <v>1</v>
      </c>
      <c r="AE19" s="150">
        <f t="shared" si="29"/>
        <v>1</v>
      </c>
      <c r="AF19" s="150">
        <f t="shared" si="29"/>
        <v>1</v>
      </c>
    </row>
    <row r="21" spans="1:34">
      <c r="C21" t="s">
        <v>177</v>
      </c>
      <c r="E21" s="1324">
        <f>E37+E52+E69+E95+E117+E124+E144+E148</f>
        <v>8280577527.526886</v>
      </c>
      <c r="F21" s="1324">
        <f t="shared" ref="F21:P21" si="30">F37+F52+F69+F95+F117+F124+F144+F148</f>
        <v>8348222804.2471189</v>
      </c>
      <c r="G21" s="1324">
        <f t="shared" si="30"/>
        <v>9628834067.8821964</v>
      </c>
      <c r="H21" s="1324">
        <f t="shared" si="30"/>
        <v>8397902879.7596502</v>
      </c>
      <c r="I21" s="1324">
        <f t="shared" si="30"/>
        <v>9878472849.9271049</v>
      </c>
      <c r="J21" s="1324">
        <f t="shared" si="30"/>
        <v>9802065687.2853565</v>
      </c>
      <c r="K21" s="1324">
        <f t="shared" si="30"/>
        <v>9765638761.4991493</v>
      </c>
      <c r="L21" s="1324">
        <f t="shared" si="30"/>
        <v>8901569926.0154057</v>
      </c>
      <c r="M21" s="1324">
        <f t="shared" si="30"/>
        <v>8953092511.4837646</v>
      </c>
      <c r="N21" s="1324">
        <f t="shared" si="30"/>
        <v>8161549350.0912924</v>
      </c>
      <c r="O21" s="1324">
        <f t="shared" si="30"/>
        <v>8474143884.8275299</v>
      </c>
      <c r="P21" s="1324">
        <f t="shared" si="30"/>
        <v>9368692077.1857395</v>
      </c>
    </row>
    <row r="22" spans="1:34">
      <c r="C22" t="s">
        <v>549</v>
      </c>
      <c r="E22" s="1243">
        <f>E37+E52+E69+E95+E144+E148</f>
        <v>7774593661.5610809</v>
      </c>
      <c r="F22" s="1243">
        <f>F37+F52+F69+F95+F144+F148</f>
        <v>7422403532.3739872</v>
      </c>
      <c r="G22" s="231">
        <f t="shared" ref="G22:P22" si="31">G37+G52+G69+G95+G144</f>
        <v>8803387980.3942966</v>
      </c>
      <c r="H22" s="231">
        <f t="shared" si="31"/>
        <v>7629078593.5162945</v>
      </c>
      <c r="I22" s="231">
        <f t="shared" si="31"/>
        <v>9195103628.9873257</v>
      </c>
      <c r="J22" s="231">
        <f t="shared" si="31"/>
        <v>9103051602.6060791</v>
      </c>
      <c r="K22" s="231">
        <f t="shared" si="31"/>
        <v>8018133447.1690788</v>
      </c>
      <c r="L22" s="231">
        <f t="shared" si="31"/>
        <v>7868675170.8193779</v>
      </c>
      <c r="M22" s="231">
        <f t="shared" si="31"/>
        <v>7297935107.7122641</v>
      </c>
      <c r="N22" s="231">
        <f t="shared" si="31"/>
        <v>6534567153.5967894</v>
      </c>
      <c r="O22" s="231">
        <f t="shared" si="31"/>
        <v>7668800894.5112133</v>
      </c>
      <c r="P22" s="231">
        <f t="shared" si="31"/>
        <v>8109771879.9038448</v>
      </c>
    </row>
    <row r="23" spans="1:34">
      <c r="C23" t="s">
        <v>667</v>
      </c>
      <c r="E23" s="231">
        <f>E37+E52+E69+E144+E148</f>
        <v>5454286706.7851992</v>
      </c>
      <c r="F23" s="231">
        <f>F37+F52+F69+F144+F148</f>
        <v>5504838189.5085993</v>
      </c>
      <c r="G23" s="231">
        <f t="shared" ref="G23:P23" si="32">G37+G52+G69+G144+G148</f>
        <v>6482606637.2499008</v>
      </c>
      <c r="H23" s="231">
        <f t="shared" si="32"/>
        <v>5638011206.7156992</v>
      </c>
      <c r="I23" s="231">
        <f>I37+I52+I69+I144+I148</f>
        <v>7129766672.5760002</v>
      </c>
      <c r="J23" s="231">
        <f t="shared" si="32"/>
        <v>6961273803.1889</v>
      </c>
      <c r="K23" s="231">
        <f t="shared" si="32"/>
        <v>5656135001.0340338</v>
      </c>
      <c r="L23" s="231">
        <f t="shared" si="32"/>
        <v>5901852897.5053539</v>
      </c>
      <c r="M23" s="231">
        <f t="shared" si="32"/>
        <v>5331680777.4862537</v>
      </c>
      <c r="N23" s="231">
        <f t="shared" si="32"/>
        <v>4542191476.877491</v>
      </c>
      <c r="O23" s="231">
        <f t="shared" si="32"/>
        <v>5659713876.782814</v>
      </c>
      <c r="P23" s="231">
        <f t="shared" si="32"/>
        <v>6076961415.999855</v>
      </c>
      <c r="Q23" s="910">
        <f>SUM(E23:P23)</f>
        <v>70339318661.710098</v>
      </c>
    </row>
    <row r="24" spans="1:34" ht="23.5">
      <c r="C24" t="s">
        <v>646</v>
      </c>
      <c r="E24" s="231">
        <f t="shared" ref="E24:P24" si="33">E49+E95+E117+SUM(E118:E122)</f>
        <v>2791684145.8045998</v>
      </c>
      <c r="F24" s="231">
        <f t="shared" si="33"/>
        <v>2816926160.7824001</v>
      </c>
      <c r="G24" s="231">
        <f t="shared" si="33"/>
        <v>3111732665.2077742</v>
      </c>
      <c r="H24" s="231">
        <f t="shared" si="33"/>
        <v>2729259187.3917994</v>
      </c>
      <c r="I24" s="231">
        <f t="shared" si="33"/>
        <v>2751297486.4374003</v>
      </c>
      <c r="J24" s="231">
        <f t="shared" si="33"/>
        <v>2823897985.7434006</v>
      </c>
      <c r="K24" s="231">
        <f t="shared" si="33"/>
        <v>3912835250.2817154</v>
      </c>
      <c r="L24" s="231">
        <f t="shared" si="33"/>
        <v>2805585936.9069204</v>
      </c>
      <c r="M24" s="231">
        <f t="shared" si="33"/>
        <v>3430646686.7599077</v>
      </c>
      <c r="N24" s="231">
        <f t="shared" si="33"/>
        <v>3437729766.0550642</v>
      </c>
      <c r="O24" s="231">
        <f t="shared" si="33"/>
        <v>2631217264.7516437</v>
      </c>
      <c r="P24" s="231">
        <f t="shared" si="33"/>
        <v>3106042917.8928137</v>
      </c>
      <c r="T24" s="44" t="s">
        <v>208</v>
      </c>
      <c r="U24" s="702"/>
    </row>
    <row r="25" spans="1:34" ht="24.65" customHeight="1">
      <c r="A25" s="869" t="s">
        <v>0</v>
      </c>
      <c r="B25" s="840" t="s">
        <v>23</v>
      </c>
      <c r="C25" s="841" t="s">
        <v>22</v>
      </c>
      <c r="D25" s="842" t="s">
        <v>578</v>
      </c>
      <c r="E25" s="842" t="s">
        <v>579</v>
      </c>
      <c r="F25" s="842" t="s">
        <v>580</v>
      </c>
      <c r="G25" s="842" t="s">
        <v>581</v>
      </c>
      <c r="H25" s="842" t="s">
        <v>582</v>
      </c>
      <c r="I25" s="842" t="s">
        <v>583</v>
      </c>
      <c r="J25" s="842" t="s">
        <v>584</v>
      </c>
      <c r="K25" s="842" t="s">
        <v>585</v>
      </c>
      <c r="L25" s="842" t="s">
        <v>586</v>
      </c>
      <c r="M25" s="842" t="s">
        <v>587</v>
      </c>
      <c r="N25" s="842" t="s">
        <v>588</v>
      </c>
      <c r="O25" s="842" t="s">
        <v>589</v>
      </c>
      <c r="P25" s="842" t="s">
        <v>590</v>
      </c>
      <c r="Q25" s="843" t="s">
        <v>177</v>
      </c>
      <c r="V25" s="43">
        <v>23377</v>
      </c>
      <c r="W25" s="43">
        <v>23408</v>
      </c>
      <c r="X25" s="43">
        <v>23437</v>
      </c>
      <c r="Y25" s="43">
        <v>23468</v>
      </c>
      <c r="Z25" s="43">
        <v>23498</v>
      </c>
      <c r="AA25" s="43">
        <v>23529</v>
      </c>
      <c r="AB25" s="43">
        <v>23559</v>
      </c>
      <c r="AC25" s="43">
        <v>23590</v>
      </c>
      <c r="AD25" s="43">
        <v>23621</v>
      </c>
      <c r="AE25" s="43">
        <v>23651</v>
      </c>
      <c r="AF25" s="43">
        <v>23682</v>
      </c>
      <c r="AG25" s="43">
        <v>23712</v>
      </c>
      <c r="AH25" s="526" t="s">
        <v>177</v>
      </c>
    </row>
    <row r="26" spans="1:34" ht="25.5" customHeight="1">
      <c r="A26" s="866" t="str">
        <f>Table3[[#This Row],[Product]]</f>
        <v>Ethane</v>
      </c>
      <c r="B26" s="829" t="s">
        <v>25</v>
      </c>
      <c r="C26" s="27" t="s">
        <v>86</v>
      </c>
      <c r="D26" s="689">
        <v>369421603.44</v>
      </c>
      <c r="E26" s="820">
        <v>569022515.13599992</v>
      </c>
      <c r="F26" s="971">
        <v>471509503.00559998</v>
      </c>
      <c r="G26" s="1006">
        <v>504696708.24720001</v>
      </c>
      <c r="H26" s="1136">
        <v>496152937.12</v>
      </c>
      <c r="I26" s="1234">
        <v>561951370.76400006</v>
      </c>
      <c r="J26" s="1282">
        <v>512914428.51840001</v>
      </c>
      <c r="K26" s="230">
        <f>Price!K26*Delivery!K26*'Revenue (Baht)'!K$11</f>
        <v>560991276.00000012</v>
      </c>
      <c r="L26" s="230">
        <f>Price!L26*Delivery!L26*'Revenue (Baht)'!L$11</f>
        <v>540460252.79999995</v>
      </c>
      <c r="M26" s="230">
        <f>Price!M26*Delivery!M26*'Revenue (Baht)'!M$11</f>
        <v>497344993.19999999</v>
      </c>
      <c r="N26" s="230">
        <f>Price!N26*Delivery!N26*'Revenue (Baht)'!N$11</f>
        <v>435835487.99999994</v>
      </c>
      <c r="O26" s="230">
        <f>Price!O26*Delivery!O26*'Revenue (Baht)'!O$11</f>
        <v>496840203</v>
      </c>
      <c r="P26" s="230">
        <f>Price!P26*Delivery!P26*'Revenue (Baht)'!P$11</f>
        <v>525963277.80000007</v>
      </c>
      <c r="Q26" s="230">
        <f>SUM(E26:P26)</f>
        <v>6173682953.5911999</v>
      </c>
      <c r="T26" t="s">
        <v>217</v>
      </c>
      <c r="V26" s="705">
        <f t="shared" ref="V26:AG27" si="34">SUM(E26)</f>
        <v>569022515.13599992</v>
      </c>
      <c r="W26" s="705">
        <f t="shared" si="34"/>
        <v>471509503.00559998</v>
      </c>
      <c r="X26" s="705">
        <f t="shared" si="34"/>
        <v>504696708.24720001</v>
      </c>
      <c r="Y26" s="705">
        <f t="shared" si="34"/>
        <v>496152937.12</v>
      </c>
      <c r="Z26" s="705">
        <f t="shared" si="34"/>
        <v>561951370.76400006</v>
      </c>
      <c r="AA26" s="705">
        <f t="shared" si="34"/>
        <v>512914428.51840001</v>
      </c>
      <c r="AB26" s="705">
        <f t="shared" si="34"/>
        <v>560991276.00000012</v>
      </c>
      <c r="AC26" s="705">
        <f t="shared" si="34"/>
        <v>540460252.79999995</v>
      </c>
      <c r="AD26" s="705">
        <f t="shared" si="34"/>
        <v>497344993.19999999</v>
      </c>
      <c r="AE26" s="705">
        <f t="shared" si="34"/>
        <v>435835487.99999994</v>
      </c>
      <c r="AF26" s="705">
        <f t="shared" si="34"/>
        <v>496840203</v>
      </c>
      <c r="AG26" s="705">
        <f t="shared" si="34"/>
        <v>525963277.80000007</v>
      </c>
      <c r="AH26" s="705">
        <f>SUM(V26:AG26)</f>
        <v>6173682953.5911999</v>
      </c>
    </row>
    <row r="27" spans="1:34" ht="25.5" customHeight="1">
      <c r="A27" s="866" t="str">
        <f>Table3[[#This Row],[Product]]</f>
        <v>Ethane</v>
      </c>
      <c r="B27" s="829" t="s">
        <v>25</v>
      </c>
      <c r="C27" s="27" t="s">
        <v>26</v>
      </c>
      <c r="D27" s="689">
        <v>401372710.1904</v>
      </c>
      <c r="E27" s="820">
        <v>419850968.93489999</v>
      </c>
      <c r="F27" s="971">
        <v>390922970.01359999</v>
      </c>
      <c r="G27" s="1006">
        <v>437053230.99090004</v>
      </c>
      <c r="H27" s="1136">
        <v>511931599.63919997</v>
      </c>
      <c r="I27" s="1234">
        <v>441404277.9752</v>
      </c>
      <c r="J27" s="1282">
        <v>462143991.77399999</v>
      </c>
      <c r="K27" s="230">
        <f>Price!K27*Delivery!K27*'Revenue (Baht)'!K$11</f>
        <v>583773020.50299227</v>
      </c>
      <c r="L27" s="230">
        <f>Price!L27*Delivery!L27*'Revenue (Baht)'!L$11</f>
        <v>570219462.02831042</v>
      </c>
      <c r="M27" s="230">
        <f>Price!M27*Delivery!M27*'Revenue (Baht)'!M$11</f>
        <v>563889126.24872708</v>
      </c>
      <c r="N27" s="230">
        <f>Price!N27*Delivery!N27*'Revenue (Baht)'!N$11</f>
        <v>559572366.6893388</v>
      </c>
      <c r="O27" s="230">
        <f>Price!O27*Delivery!O27*'Revenue (Baht)'!O$11</f>
        <v>564721575.79568803</v>
      </c>
      <c r="P27" s="230">
        <f>Price!P27*Delivery!P27*'Revenue (Baht)'!P$11</f>
        <v>579051385.26874316</v>
      </c>
      <c r="Q27" s="230">
        <f>SUM(E27:P27)</f>
        <v>6084533975.8615999</v>
      </c>
      <c r="T27" t="s">
        <v>218</v>
      </c>
      <c r="V27" s="705">
        <f t="shared" si="34"/>
        <v>419850968.93489999</v>
      </c>
      <c r="W27" s="705">
        <f t="shared" si="34"/>
        <v>390922970.01359999</v>
      </c>
      <c r="X27" s="705">
        <f t="shared" si="34"/>
        <v>437053230.99090004</v>
      </c>
      <c r="Y27" s="705">
        <f t="shared" si="34"/>
        <v>511931599.63919997</v>
      </c>
      <c r="Z27" s="705">
        <f t="shared" si="34"/>
        <v>441404277.9752</v>
      </c>
      <c r="AA27" s="705">
        <f t="shared" si="34"/>
        <v>462143991.77399999</v>
      </c>
      <c r="AB27" s="705">
        <f t="shared" si="34"/>
        <v>583773020.50299227</v>
      </c>
      <c r="AC27" s="705">
        <f t="shared" si="34"/>
        <v>570219462.02831042</v>
      </c>
      <c r="AD27" s="705">
        <f t="shared" si="34"/>
        <v>563889126.24872708</v>
      </c>
      <c r="AE27" s="705">
        <f t="shared" si="34"/>
        <v>559572366.6893388</v>
      </c>
      <c r="AF27" s="705">
        <f t="shared" si="34"/>
        <v>564721575.79568803</v>
      </c>
      <c r="AG27" s="705">
        <f t="shared" si="34"/>
        <v>579051385.26874316</v>
      </c>
      <c r="AH27" s="705">
        <f t="shared" ref="AH27:AH40" si="35">SUM(V27:AG27)</f>
        <v>6084533975.8615999</v>
      </c>
    </row>
    <row r="28" spans="1:34" ht="25.5" customHeight="1">
      <c r="A28" s="866" t="str">
        <f>Table3[[#This Row],[Product]]</f>
        <v>Ethane</v>
      </c>
      <c r="B28" s="829" t="s">
        <v>25</v>
      </c>
      <c r="C28" s="221" t="s">
        <v>27</v>
      </c>
      <c r="D28" s="689">
        <v>1325140199.2639999</v>
      </c>
      <c r="E28" s="820">
        <v>1322407046.8188</v>
      </c>
      <c r="F28" s="971">
        <v>1249073436.0552001</v>
      </c>
      <c r="G28" s="1006">
        <v>1479397525.1763</v>
      </c>
      <c r="H28" s="1136">
        <v>1404257906.2428</v>
      </c>
      <c r="I28" s="1234">
        <v>1728729684.8016</v>
      </c>
      <c r="J28" s="1282">
        <v>1500241446.9782002</v>
      </c>
      <c r="K28" s="230">
        <f>Price!K28*Delivery!K28*'Revenue (Baht)'!K$11</f>
        <v>697898584.64638329</v>
      </c>
      <c r="L28" s="230">
        <f>Price!L28*Delivery!L28*'Revenue (Baht)'!L$11</f>
        <v>1305054767.2115982</v>
      </c>
      <c r="M28" s="230">
        <f>Price!M28*Delivery!M28*'Revenue (Baht)'!M$11</f>
        <v>1097610863.0276816</v>
      </c>
      <c r="N28" s="230">
        <f>Price!N28*Delivery!N28*'Revenue (Baht)'!N$11</f>
        <v>861429742.59815729</v>
      </c>
      <c r="O28" s="230">
        <f>Price!O28*Delivery!O28*'Revenue (Baht)'!O$11</f>
        <v>1270635662.2240469</v>
      </c>
      <c r="P28" s="230">
        <f>Price!P28*Delivery!P28*'Revenue (Baht)'!P$11</f>
        <v>1328699086.8892999</v>
      </c>
      <c r="Q28" s="230">
        <f t="shared" ref="Q28:Q37" si="36">SUM(E28:P28)</f>
        <v>15245435752.670067</v>
      </c>
      <c r="T28" t="s">
        <v>219</v>
      </c>
      <c r="V28" s="705">
        <f t="shared" ref="V28:AG28" si="37">SUM(E28:E31)</f>
        <v>1545682028.8692</v>
      </c>
      <c r="W28" s="705">
        <f t="shared" si="37"/>
        <v>1452007282.5538001</v>
      </c>
      <c r="X28" s="705">
        <f t="shared" si="37"/>
        <v>1650738483.3516002</v>
      </c>
      <c r="Y28" s="705">
        <f t="shared" si="37"/>
        <v>1551021888.7889998</v>
      </c>
      <c r="Z28" s="705">
        <f t="shared" si="37"/>
        <v>1934264089.5441</v>
      </c>
      <c r="AA28" s="705">
        <f t="shared" si="37"/>
        <v>1674352117.9582002</v>
      </c>
      <c r="AB28" s="705">
        <f t="shared" si="37"/>
        <v>745476885.51166332</v>
      </c>
      <c r="AC28" s="705">
        <f t="shared" si="37"/>
        <v>1351735717.4038541</v>
      </c>
      <c r="AD28" s="705">
        <f t="shared" si="37"/>
        <v>1142380378.7128017</v>
      </c>
      <c r="AE28" s="705">
        <f t="shared" si="37"/>
        <v>907405772.51534128</v>
      </c>
      <c r="AF28" s="705">
        <f t="shared" si="37"/>
        <v>1315458514.633647</v>
      </c>
      <c r="AG28" s="705">
        <f t="shared" si="37"/>
        <v>1375964778.8878279</v>
      </c>
      <c r="AH28" s="705">
        <f t="shared" si="35"/>
        <v>16646487938.731037</v>
      </c>
    </row>
    <row r="29" spans="1:34" ht="43.5" customHeight="1">
      <c r="A29" s="866" t="str">
        <f>Table3[[#This Row],[Product]]</f>
        <v>Ethane</v>
      </c>
      <c r="B29" s="829" t="s">
        <v>25</v>
      </c>
      <c r="C29" s="228" t="s">
        <v>28</v>
      </c>
      <c r="D29" s="689">
        <v>0</v>
      </c>
      <c r="E29" s="820">
        <v>4946549.7648</v>
      </c>
      <c r="F29" s="971">
        <v>7175104.6320000002</v>
      </c>
      <c r="G29" s="1006">
        <v>788338.32960000006</v>
      </c>
      <c r="H29" s="1136">
        <v>5972777.2008000007</v>
      </c>
      <c r="I29" s="1234">
        <v>0</v>
      </c>
      <c r="J29" s="1282">
        <v>0</v>
      </c>
      <c r="K29" s="230">
        <f>Price!K29*Delivery!K29*'Revenue (Baht)'!K$11</f>
        <v>0</v>
      </c>
      <c r="L29" s="230">
        <f>Price!L29*Delivery!L29*'Revenue (Baht)'!L$11</f>
        <v>0</v>
      </c>
      <c r="M29" s="230">
        <f>Price!M29*Delivery!M29*'Revenue (Baht)'!M$11</f>
        <v>0</v>
      </c>
      <c r="N29" s="230">
        <f>Price!N29*Delivery!N29*'Revenue (Baht)'!N$11</f>
        <v>0</v>
      </c>
      <c r="O29" s="230">
        <f>Price!O29*Delivery!O29*'Revenue (Baht)'!O$11</f>
        <v>0</v>
      </c>
      <c r="P29" s="230">
        <f>Price!P29*Delivery!P29*'Revenue (Baht)'!P$11</f>
        <v>0</v>
      </c>
      <c r="Q29" s="230">
        <f>SUM(E29:P29)</f>
        <v>18882769.927200001</v>
      </c>
      <c r="T29" s="148" t="s">
        <v>220</v>
      </c>
      <c r="U29" s="148"/>
      <c r="V29" s="705">
        <f t="shared" ref="V29:AG29" si="38">SUM(E32:E34)</f>
        <v>0</v>
      </c>
      <c r="W29" s="705">
        <f t="shared" si="38"/>
        <v>0</v>
      </c>
      <c r="X29" s="705">
        <f t="shared" si="38"/>
        <v>79316594.459999993</v>
      </c>
      <c r="Y29" s="705">
        <f t="shared" si="38"/>
        <v>86610379.050000012</v>
      </c>
      <c r="Z29" s="705">
        <f t="shared" si="38"/>
        <v>179653828.29000002</v>
      </c>
      <c r="AA29" s="705">
        <f t="shared" si="38"/>
        <v>172095289.91999999</v>
      </c>
      <c r="AB29" s="705">
        <f t="shared" si="38"/>
        <v>116444993.472</v>
      </c>
      <c r="AC29" s="705">
        <f t="shared" si="38"/>
        <v>182206596.96000004</v>
      </c>
      <c r="AD29" s="705">
        <f t="shared" si="38"/>
        <v>161631794.02909091</v>
      </c>
      <c r="AE29" s="705">
        <f t="shared" si="38"/>
        <v>139310746.39245859</v>
      </c>
      <c r="AF29" s="705">
        <f t="shared" si="38"/>
        <v>170541942.34537777</v>
      </c>
      <c r="AG29" s="705">
        <f t="shared" si="38"/>
        <v>173787967.38928849</v>
      </c>
      <c r="AH29" s="705">
        <f t="shared" si="35"/>
        <v>1461600132.3082156</v>
      </c>
    </row>
    <row r="30" spans="1:34" ht="33" customHeight="1">
      <c r="A30" s="866" t="str">
        <f>Table3[[#This Row],[Product]]</f>
        <v>Ethane</v>
      </c>
      <c r="B30" s="829" t="s">
        <v>25</v>
      </c>
      <c r="C30" s="228" t="s">
        <v>29</v>
      </c>
      <c r="D30" s="689">
        <v>32831628.148800001</v>
      </c>
      <c r="E30" s="820">
        <v>172033478.68559998</v>
      </c>
      <c r="F30" s="971">
        <v>153992329.06659999</v>
      </c>
      <c r="G30" s="1006">
        <v>122109887.0457</v>
      </c>
      <c r="H30" s="1136">
        <v>90835531.745399997</v>
      </c>
      <c r="I30" s="1234">
        <v>150365614.3425</v>
      </c>
      <c r="J30" s="1282">
        <v>124209774.97999999</v>
      </c>
      <c r="K30" s="230">
        <f>Price!K30*Delivery!K30*'Revenue (Baht)'!K$11</f>
        <v>0</v>
      </c>
      <c r="L30" s="230">
        <f>Price!L30*Delivery!L30*'Revenue (Baht)'!L$11</f>
        <v>0</v>
      </c>
      <c r="M30" s="230">
        <f>Price!M30*Delivery!M30*'Revenue (Baht)'!M$11</f>
        <v>0</v>
      </c>
      <c r="N30" s="230">
        <f>Price!N30*Delivery!N30*'Revenue (Baht)'!N$11</f>
        <v>0</v>
      </c>
      <c r="O30" s="230">
        <f>Price!O30*Delivery!O30*'Revenue (Baht)'!O$11</f>
        <v>0</v>
      </c>
      <c r="P30" s="230">
        <f>Price!P30*Delivery!P30*'Revenue (Baht)'!P$11</f>
        <v>0</v>
      </c>
      <c r="Q30" s="230">
        <f t="shared" si="36"/>
        <v>813546615.86580002</v>
      </c>
      <c r="T30" t="s">
        <v>177</v>
      </c>
      <c r="V30" s="705">
        <f>SUM(V26:V29)</f>
        <v>2534555512.9400997</v>
      </c>
      <c r="W30" s="705">
        <f t="shared" ref="W30:AF30" si="39">SUM(W26:W29)</f>
        <v>2314439755.573</v>
      </c>
      <c r="X30" s="705">
        <f t="shared" si="39"/>
        <v>2671805017.0497003</v>
      </c>
      <c r="Y30" s="705">
        <f t="shared" si="39"/>
        <v>2645716804.5981998</v>
      </c>
      <c r="Z30" s="705">
        <f t="shared" si="39"/>
        <v>3117273566.5733004</v>
      </c>
      <c r="AA30" s="705">
        <f t="shared" si="39"/>
        <v>2821505828.1706004</v>
      </c>
      <c r="AB30" s="705">
        <f t="shared" si="39"/>
        <v>2006686175.4866557</v>
      </c>
      <c r="AC30" s="705">
        <f t="shared" si="39"/>
        <v>2644622029.1921644</v>
      </c>
      <c r="AD30" s="705">
        <f t="shared" si="39"/>
        <v>2365246292.1906195</v>
      </c>
      <c r="AE30" s="705">
        <f t="shared" si="39"/>
        <v>2042124373.5971386</v>
      </c>
      <c r="AF30" s="705">
        <f t="shared" si="39"/>
        <v>2547562235.774713</v>
      </c>
      <c r="AG30" s="705">
        <f>SUM(AG26:AG29)</f>
        <v>2654767409.3458595</v>
      </c>
      <c r="AH30" s="705">
        <f t="shared" si="35"/>
        <v>30366305000.49205</v>
      </c>
    </row>
    <row r="31" spans="1:34" ht="33" customHeight="1">
      <c r="A31" s="866" t="str">
        <f>Table3[[#This Row],[Product]]</f>
        <v>Ethane</v>
      </c>
      <c r="B31" s="829" t="s">
        <v>25</v>
      </c>
      <c r="C31" s="228" t="s">
        <v>30</v>
      </c>
      <c r="D31" s="689">
        <v>42953798.399999999</v>
      </c>
      <c r="E31" s="820">
        <v>46294953.600000001</v>
      </c>
      <c r="F31" s="971">
        <v>41766412.799999997</v>
      </c>
      <c r="G31" s="1006">
        <v>48442732.799999997</v>
      </c>
      <c r="H31" s="1134">
        <v>49955673.600000001</v>
      </c>
      <c r="I31" s="1234">
        <v>55168790.399999999</v>
      </c>
      <c r="J31" s="1282">
        <v>49900896</v>
      </c>
      <c r="K31" s="230">
        <f>Price!K31*Delivery!K31*'Revenue (Baht)'!K$11</f>
        <v>47578300.86528001</v>
      </c>
      <c r="L31" s="230">
        <f>Price!L31*Delivery!L31*'Revenue (Baht)'!L$11</f>
        <v>46680950.192255996</v>
      </c>
      <c r="M31" s="230">
        <f>Price!M31*Delivery!M31*'Revenue (Baht)'!M$11</f>
        <v>44769515.685119994</v>
      </c>
      <c r="N31" s="230">
        <f>Price!N31*Delivery!N31*'Revenue (Baht)'!N$11</f>
        <v>45976029.917184003</v>
      </c>
      <c r="O31" s="230">
        <f>Price!O31*Delivery!O31*'Revenue (Baht)'!O$11</f>
        <v>44822852.409599997</v>
      </c>
      <c r="P31" s="230">
        <f>Price!P31*Delivery!P31*'Revenue (Baht)'!P$11</f>
        <v>47265691.998527996</v>
      </c>
      <c r="Q31" s="230">
        <f t="shared" si="36"/>
        <v>568622800.26796794</v>
      </c>
      <c r="T31" s="44" t="s">
        <v>38</v>
      </c>
      <c r="U31" s="702"/>
      <c r="V31" s="705"/>
      <c r="W31" s="705"/>
      <c r="X31" s="705"/>
      <c r="Y31" s="705"/>
      <c r="Z31" s="705"/>
      <c r="AA31" s="705"/>
      <c r="AB31" s="705"/>
      <c r="AC31" s="705"/>
      <c r="AD31" s="705"/>
      <c r="AE31" s="705"/>
      <c r="AF31" s="705"/>
      <c r="AG31" s="705"/>
      <c r="AH31" s="705"/>
    </row>
    <row r="32" spans="1:34" ht="25.5" customHeight="1">
      <c r="A32" s="866" t="str">
        <f>Table3[[#This Row],[Product]]</f>
        <v>Ethane</v>
      </c>
      <c r="B32" s="829" t="s">
        <v>25</v>
      </c>
      <c r="C32" s="227" t="s">
        <v>31</v>
      </c>
      <c r="D32" s="689">
        <v>0</v>
      </c>
      <c r="E32" s="820">
        <v>0</v>
      </c>
      <c r="F32" s="971">
        <v>0</v>
      </c>
      <c r="G32" s="1006">
        <v>79316594.459999993</v>
      </c>
      <c r="H32" s="1136">
        <v>86610379.050000012</v>
      </c>
      <c r="I32" s="1234">
        <v>179653828.29000002</v>
      </c>
      <c r="J32" s="1282">
        <v>172095289.91999999</v>
      </c>
      <c r="K32" s="230">
        <f>Price!K32*Delivery!K32*'Revenue (Baht)'!K$11</f>
        <v>116444993.472</v>
      </c>
      <c r="L32" s="230">
        <f>Price!L32*Delivery!L32*'Revenue (Baht)'!L$11</f>
        <v>182206596.96000004</v>
      </c>
      <c r="M32" s="230">
        <f>Price!M32*Delivery!M32*'Revenue (Baht)'!M$11</f>
        <v>161631794.02909091</v>
      </c>
      <c r="N32" s="230">
        <f>Price!N32*Delivery!N32*'Revenue (Baht)'!N$11</f>
        <v>139310746.39245859</v>
      </c>
      <c r="O32" s="230">
        <f>Price!O32*Delivery!O32*'Revenue (Baht)'!O$11</f>
        <v>170541942.34537777</v>
      </c>
      <c r="P32" s="230">
        <f>Price!P32*Delivery!P32*'Revenue (Baht)'!P$11</f>
        <v>173787967.38928849</v>
      </c>
      <c r="Q32" s="230">
        <f t="shared" si="36"/>
        <v>1461600132.3082156</v>
      </c>
      <c r="T32" t="s">
        <v>217</v>
      </c>
      <c r="V32" s="705">
        <f t="shared" ref="V32:AG32" si="40">SUM(E38:E40)</f>
        <v>425969232.54079998</v>
      </c>
      <c r="W32" s="705">
        <f t="shared" si="40"/>
        <v>397237393.78400004</v>
      </c>
      <c r="X32" s="705">
        <f t="shared" si="40"/>
        <v>384784351.7166</v>
      </c>
      <c r="Y32" s="705">
        <f t="shared" si="40"/>
        <v>224267106.43899998</v>
      </c>
      <c r="Z32" s="705">
        <f t="shared" si="40"/>
        <v>418743753.07499999</v>
      </c>
      <c r="AA32" s="705">
        <f t="shared" si="40"/>
        <v>350215180.47289997</v>
      </c>
      <c r="AB32" s="705">
        <f t="shared" si="40"/>
        <v>445398769.43999994</v>
      </c>
      <c r="AC32" s="705">
        <f t="shared" si="40"/>
        <v>440345030.39999998</v>
      </c>
      <c r="AD32" s="705">
        <f t="shared" si="40"/>
        <v>406484116.99200004</v>
      </c>
      <c r="AE32" s="705">
        <f t="shared" si="40"/>
        <v>422738032.32000005</v>
      </c>
      <c r="AF32" s="705">
        <f t="shared" si="40"/>
        <v>416101924.80000001</v>
      </c>
      <c r="AG32" s="705">
        <f t="shared" si="40"/>
        <v>438879945.60000002</v>
      </c>
      <c r="AH32" s="705">
        <f t="shared" si="35"/>
        <v>4771164837.5803003</v>
      </c>
    </row>
    <row r="33" spans="1:34" ht="25.5" customHeight="1">
      <c r="A33" s="866" t="str">
        <f>Table3[[#This Row],[Product]]</f>
        <v>Ethane</v>
      </c>
      <c r="B33" s="829" t="s">
        <v>25</v>
      </c>
      <c r="C33" s="227" t="s">
        <v>32</v>
      </c>
      <c r="D33" s="689">
        <v>0</v>
      </c>
      <c r="E33" s="820">
        <v>0</v>
      </c>
      <c r="F33" s="971">
        <v>0</v>
      </c>
      <c r="G33" s="1006">
        <v>0</v>
      </c>
      <c r="H33" s="1136">
        <v>0</v>
      </c>
      <c r="I33" s="1234">
        <v>0</v>
      </c>
      <c r="J33" s="1282">
        <v>0</v>
      </c>
      <c r="K33" s="230">
        <f>Price!K33*Delivery!K33*'Revenue (Baht)'!K$11</f>
        <v>0</v>
      </c>
      <c r="L33" s="230">
        <f>Price!L33*Delivery!L33*'Revenue (Baht)'!L$11</f>
        <v>0</v>
      </c>
      <c r="M33" s="230">
        <f>Price!M33*Delivery!M33*'Revenue (Baht)'!M$11</f>
        <v>0</v>
      </c>
      <c r="N33" s="230">
        <f>Price!N33*Delivery!N33*'Revenue (Baht)'!N$11</f>
        <v>0</v>
      </c>
      <c r="O33" s="230">
        <f>Price!O33*Delivery!O33*'Revenue (Baht)'!O$11</f>
        <v>0</v>
      </c>
      <c r="P33" s="230">
        <f>Price!P33*Delivery!P33*'Revenue (Baht)'!P$11</f>
        <v>0</v>
      </c>
      <c r="Q33" s="230">
        <f t="shared" si="36"/>
        <v>0</v>
      </c>
      <c r="T33" t="s">
        <v>223</v>
      </c>
      <c r="V33" s="705">
        <f t="shared" ref="V33:AG33" si="41">SUM(E41:E42)</f>
        <v>638971437.34799993</v>
      </c>
      <c r="W33" s="705">
        <f t="shared" si="41"/>
        <v>601692926.45410001</v>
      </c>
      <c r="X33" s="705">
        <f t="shared" si="41"/>
        <v>679507984.77840006</v>
      </c>
      <c r="Y33" s="705">
        <f t="shared" si="41"/>
        <v>472048326.23000002</v>
      </c>
      <c r="Z33" s="705">
        <f t="shared" si="41"/>
        <v>475924476.83400005</v>
      </c>
      <c r="AA33" s="705">
        <f t="shared" si="41"/>
        <v>572013026.8096</v>
      </c>
      <c r="AB33" s="705">
        <f t="shared" si="41"/>
        <v>501437359.5</v>
      </c>
      <c r="AC33" s="705">
        <f t="shared" si="41"/>
        <v>652550786.16000009</v>
      </c>
      <c r="AD33" s="705">
        <f t="shared" si="41"/>
        <v>456599399.69999999</v>
      </c>
      <c r="AE33" s="705">
        <f t="shared" si="41"/>
        <v>0</v>
      </c>
      <c r="AF33" s="705">
        <f t="shared" si="41"/>
        <v>617000810.39999998</v>
      </c>
      <c r="AG33" s="705">
        <f t="shared" si="41"/>
        <v>650434552.56000018</v>
      </c>
      <c r="AH33" s="705">
        <f t="shared" si="35"/>
        <v>6318181086.7741003</v>
      </c>
    </row>
    <row r="34" spans="1:34" ht="25.5" customHeight="1">
      <c r="A34" s="866" t="str">
        <f>Table3[[#This Row],[Product]]</f>
        <v>Ethane</v>
      </c>
      <c r="B34" s="830" t="s">
        <v>34</v>
      </c>
      <c r="C34" s="227" t="s">
        <v>33</v>
      </c>
      <c r="D34" s="689">
        <v>0</v>
      </c>
      <c r="E34" s="820">
        <v>0</v>
      </c>
      <c r="F34" s="971">
        <v>0</v>
      </c>
      <c r="G34" s="1006">
        <v>0</v>
      </c>
      <c r="H34" s="1136">
        <v>0</v>
      </c>
      <c r="I34" s="1234">
        <v>0</v>
      </c>
      <c r="J34" s="1282">
        <v>0</v>
      </c>
      <c r="K34" s="230">
        <f>Price!K34*Delivery!K34*'Revenue (Baht)'!K$11</f>
        <v>0</v>
      </c>
      <c r="L34" s="230">
        <f>Price!L34*Delivery!L34*'Revenue (Baht)'!L$11</f>
        <v>0</v>
      </c>
      <c r="M34" s="230">
        <f>Price!M34*Delivery!M34*'Revenue (Baht)'!M$11</f>
        <v>0</v>
      </c>
      <c r="N34" s="230">
        <f>Price!N34*Delivery!N34*'Revenue (Baht)'!N$11</f>
        <v>0</v>
      </c>
      <c r="O34" s="230">
        <f>Price!O34*Delivery!O34*'Revenue (Baht)'!O$11</f>
        <v>0</v>
      </c>
      <c r="P34" s="230">
        <f>Price!P34*Delivery!P34*'Revenue (Baht)'!P$11</f>
        <v>0</v>
      </c>
      <c r="Q34" s="230">
        <f t="shared" si="36"/>
        <v>0</v>
      </c>
      <c r="T34" t="s">
        <v>224</v>
      </c>
      <c r="V34" s="705">
        <f t="shared" ref="V34:AG34" si="42">SUM(E43:E44)</f>
        <v>351569031.45059997</v>
      </c>
      <c r="W34" s="705">
        <f t="shared" si="42"/>
        <v>375976876.33039999</v>
      </c>
      <c r="X34" s="705">
        <f t="shared" si="42"/>
        <v>495960483.49330002</v>
      </c>
      <c r="Y34" s="705">
        <f t="shared" si="42"/>
        <v>322943463.98249996</v>
      </c>
      <c r="Z34" s="705">
        <f t="shared" si="42"/>
        <v>350103473.2353</v>
      </c>
      <c r="AA34" s="705">
        <f t="shared" si="42"/>
        <v>449750226.78399998</v>
      </c>
      <c r="AB34" s="705">
        <f t="shared" si="42"/>
        <v>11765975.25</v>
      </c>
      <c r="AC34" s="705">
        <f t="shared" si="42"/>
        <v>273413620.79999995</v>
      </c>
      <c r="AD34" s="705">
        <f t="shared" si="42"/>
        <v>322779951.00000006</v>
      </c>
      <c r="AE34" s="705">
        <f t="shared" si="42"/>
        <v>295633458.89999998</v>
      </c>
      <c r="AF34" s="705">
        <f t="shared" si="42"/>
        <v>326546091.00000006</v>
      </c>
      <c r="AG34" s="705">
        <f t="shared" si="42"/>
        <v>345581173.80000001</v>
      </c>
      <c r="AH34" s="705">
        <f t="shared" si="35"/>
        <v>3922023826.0260997</v>
      </c>
    </row>
    <row r="35" spans="1:34" ht="25.5" customHeight="1">
      <c r="A35" s="866" t="str">
        <f>Table3[[#This Row],[Product]]</f>
        <v>Ethane</v>
      </c>
      <c r="B35" s="830"/>
      <c r="C35" s="33" t="s">
        <v>35</v>
      </c>
      <c r="D35" s="803">
        <f>SUM(D26:D31)</f>
        <v>2171719939.4431996</v>
      </c>
      <c r="E35" s="822">
        <f t="shared" ref="E35:P35" si="43">SUM(E26:E31)</f>
        <v>2534555512.9400997</v>
      </c>
      <c r="F35" s="822">
        <v>2314439755.573</v>
      </c>
      <c r="G35" s="822">
        <f>SUM(G26:G31)</f>
        <v>2592488422.5897002</v>
      </c>
      <c r="H35" s="822">
        <f t="shared" si="43"/>
        <v>2559106425.5481997</v>
      </c>
      <c r="I35" s="822">
        <f>SUM(I26:I31)</f>
        <v>2937619738.2833004</v>
      </c>
      <c r="J35" s="822">
        <f t="shared" si="43"/>
        <v>2649410538.2506003</v>
      </c>
      <c r="K35" s="230">
        <f t="shared" si="43"/>
        <v>1890241182.0146556</v>
      </c>
      <c r="L35" s="230">
        <f t="shared" si="43"/>
        <v>2462415432.2321644</v>
      </c>
      <c r="M35" s="230">
        <f t="shared" si="43"/>
        <v>2203614498.1615291</v>
      </c>
      <c r="N35" s="230">
        <f t="shared" si="43"/>
        <v>1902813627.2046802</v>
      </c>
      <c r="O35" s="230">
        <f t="shared" si="43"/>
        <v>2377020293.4293346</v>
      </c>
      <c r="P35" s="230">
        <f t="shared" si="43"/>
        <v>2480979441.9565711</v>
      </c>
      <c r="Q35" s="230">
        <f t="shared" si="36"/>
        <v>28904704868.183842</v>
      </c>
      <c r="T35" t="s">
        <v>220</v>
      </c>
      <c r="V35" s="705">
        <f t="shared" ref="V35:AG35" si="44">SUM(E45:E48)</f>
        <v>0</v>
      </c>
      <c r="W35" s="705">
        <f t="shared" si="44"/>
        <v>189999318.83999997</v>
      </c>
      <c r="X35" s="705">
        <f t="shared" si="44"/>
        <v>434438761.78999996</v>
      </c>
      <c r="Y35" s="705">
        <f t="shared" si="44"/>
        <v>195946914.80000001</v>
      </c>
      <c r="Z35" s="705">
        <f t="shared" si="44"/>
        <v>474490396.36000001</v>
      </c>
      <c r="AA35" s="705">
        <f t="shared" si="44"/>
        <v>552767839.38</v>
      </c>
      <c r="AB35" s="705">
        <f t="shared" si="44"/>
        <v>465573596.69176364</v>
      </c>
      <c r="AC35" s="705">
        <f t="shared" si="44"/>
        <v>97958072.159240231</v>
      </c>
      <c r="AD35" s="705">
        <f t="shared" si="44"/>
        <v>114129341.54344708</v>
      </c>
      <c r="AE35" s="705">
        <f t="shared" si="44"/>
        <v>189029253.36733752</v>
      </c>
      <c r="AF35" s="705">
        <f t="shared" si="44"/>
        <v>96705901.967551231</v>
      </c>
      <c r="AG35" s="705">
        <f t="shared" si="44"/>
        <v>248365183.95739341</v>
      </c>
      <c r="AH35" s="705">
        <f t="shared" si="35"/>
        <v>3059404580.8567333</v>
      </c>
    </row>
    <row r="36" spans="1:34" ht="25.5" customHeight="1">
      <c r="A36" s="866" t="str">
        <f>Table3[[#This Row],[Product]]</f>
        <v>Ethane</v>
      </c>
      <c r="B36" s="830"/>
      <c r="C36" s="33" t="s">
        <v>36</v>
      </c>
      <c r="D36" s="803">
        <f>SUM(D32:D34)</f>
        <v>0</v>
      </c>
      <c r="E36" s="822">
        <f t="shared" ref="E36:P36" si="45">SUM(E32:E34)</f>
        <v>0</v>
      </c>
      <c r="F36" s="822">
        <f>SUM(F32:F34)</f>
        <v>0</v>
      </c>
      <c r="G36" s="822">
        <f t="shared" si="45"/>
        <v>79316594.459999993</v>
      </c>
      <c r="H36" s="822">
        <f t="shared" si="45"/>
        <v>86610379.050000012</v>
      </c>
      <c r="I36" s="822">
        <f t="shared" si="45"/>
        <v>179653828.29000002</v>
      </c>
      <c r="J36" s="822">
        <f t="shared" si="45"/>
        <v>172095289.91999999</v>
      </c>
      <c r="K36" s="230">
        <f t="shared" si="45"/>
        <v>116444993.472</v>
      </c>
      <c r="L36" s="230">
        <f t="shared" si="45"/>
        <v>182206596.96000004</v>
      </c>
      <c r="M36" s="230">
        <f t="shared" si="45"/>
        <v>161631794.02909091</v>
      </c>
      <c r="N36" s="230">
        <f t="shared" si="45"/>
        <v>139310746.39245859</v>
      </c>
      <c r="O36" s="230">
        <f t="shared" si="45"/>
        <v>170541942.34537777</v>
      </c>
      <c r="P36" s="230">
        <f t="shared" si="45"/>
        <v>173787967.38928849</v>
      </c>
      <c r="Q36" s="230">
        <f t="shared" si="36"/>
        <v>1461600132.3082156</v>
      </c>
      <c r="T36" t="s">
        <v>225</v>
      </c>
      <c r="V36" s="705">
        <f t="shared" ref="V36:AG36" si="46">SUM(E49)</f>
        <v>8157348.0999999996</v>
      </c>
      <c r="W36" s="705">
        <f t="shared" si="46"/>
        <v>8834965.7899999991</v>
      </c>
      <c r="X36" s="705">
        <f t="shared" si="46"/>
        <v>10166202.800000001</v>
      </c>
      <c r="Y36" s="705">
        <f t="shared" si="46"/>
        <v>7506262.7400000002</v>
      </c>
      <c r="Z36" s="705">
        <f t="shared" si="46"/>
        <v>9626314.6999999993</v>
      </c>
      <c r="AA36" s="705">
        <f t="shared" si="46"/>
        <v>8578287.9200000018</v>
      </c>
      <c r="AB36" s="705">
        <f t="shared" si="46"/>
        <v>7931489.8166002426</v>
      </c>
      <c r="AC36" s="705">
        <f t="shared" si="46"/>
        <v>7993908.3968688045</v>
      </c>
      <c r="AD36" s="705">
        <f t="shared" si="46"/>
        <v>8059952.7623974327</v>
      </c>
      <c r="AE36" s="705">
        <f t="shared" si="46"/>
        <v>8121892.8412631173</v>
      </c>
      <c r="AF36" s="705">
        <f t="shared" si="46"/>
        <v>8187256.7069274466</v>
      </c>
      <c r="AG36" s="705">
        <f t="shared" si="46"/>
        <v>8187256.7069274466</v>
      </c>
      <c r="AH36" s="705">
        <f t="shared" si="35"/>
        <v>101351139.28098449</v>
      </c>
    </row>
    <row r="37" spans="1:34" ht="25.5" customHeight="1">
      <c r="A37" s="866" t="str">
        <f>Table3[[#This Row],[Product]]</f>
        <v>Ethane</v>
      </c>
      <c r="B37" s="829"/>
      <c r="C37" s="34" t="s">
        <v>37</v>
      </c>
      <c r="D37" s="822">
        <f>SUM(D26:D34)</f>
        <v>2171719939.4431996</v>
      </c>
      <c r="E37" s="950">
        <f t="shared" ref="E37:P37" si="47">SUM(E26:E34)</f>
        <v>2534555512.9400997</v>
      </c>
      <c r="F37" s="822">
        <f>SUM(F26:F34)</f>
        <v>2314439755.573</v>
      </c>
      <c r="G37" s="822">
        <f>SUM(G26:G34)</f>
        <v>2671805017.0497003</v>
      </c>
      <c r="H37" s="822">
        <f>SUM(H26:H34)</f>
        <v>2645716804.5981998</v>
      </c>
      <c r="I37" s="822">
        <f t="shared" si="47"/>
        <v>3117273566.5733004</v>
      </c>
      <c r="J37" s="822">
        <f t="shared" si="47"/>
        <v>2821505828.1706004</v>
      </c>
      <c r="K37" s="230">
        <f t="shared" si="47"/>
        <v>2006686175.4866557</v>
      </c>
      <c r="L37" s="230">
        <f t="shared" si="47"/>
        <v>2644622029.1921644</v>
      </c>
      <c r="M37" s="230">
        <f t="shared" si="47"/>
        <v>2365246292.1906199</v>
      </c>
      <c r="N37" s="230">
        <f t="shared" si="47"/>
        <v>2042124373.5971389</v>
      </c>
      <c r="O37" s="230">
        <f t="shared" si="47"/>
        <v>2547562235.7747126</v>
      </c>
      <c r="P37" s="230">
        <f t="shared" si="47"/>
        <v>2654767409.3458595</v>
      </c>
      <c r="Q37" s="230">
        <f t="shared" si="36"/>
        <v>30366305000.49205</v>
      </c>
      <c r="T37" t="s">
        <v>177</v>
      </c>
      <c r="V37" s="705">
        <f>SUM(V32:V36)</f>
        <v>1424667049.4393997</v>
      </c>
      <c r="W37" s="705">
        <f t="shared" ref="W37:AG37" si="48">SUM(W32:W36)</f>
        <v>1573741481.1984999</v>
      </c>
      <c r="X37" s="705">
        <f t="shared" si="48"/>
        <v>2004857784.5783</v>
      </c>
      <c r="Y37" s="705">
        <f t="shared" si="48"/>
        <v>1222712074.1914999</v>
      </c>
      <c r="Z37" s="705">
        <f t="shared" si="48"/>
        <v>1728888414.2043002</v>
      </c>
      <c r="AA37" s="705">
        <f t="shared" si="48"/>
        <v>1933324561.3664999</v>
      </c>
      <c r="AB37" s="705">
        <f t="shared" si="48"/>
        <v>1432107190.6983638</v>
      </c>
      <c r="AC37" s="705">
        <f t="shared" si="48"/>
        <v>1472261417.9161088</v>
      </c>
      <c r="AD37" s="705">
        <f t="shared" si="48"/>
        <v>1308052761.9978447</v>
      </c>
      <c r="AE37" s="705">
        <f t="shared" si="48"/>
        <v>915522637.42860067</v>
      </c>
      <c r="AF37" s="705">
        <f t="shared" si="48"/>
        <v>1464541984.8744788</v>
      </c>
      <c r="AG37" s="705">
        <f t="shared" si="48"/>
        <v>1691448112.6243212</v>
      </c>
      <c r="AH37" s="705">
        <f t="shared" si="35"/>
        <v>18172125470.518219</v>
      </c>
    </row>
    <row r="38" spans="1:34" ht="23.5">
      <c r="A38" s="867" t="str">
        <f>Table3[[#This Row],[Product]]</f>
        <v>Propane</v>
      </c>
      <c r="B38" s="829" t="s">
        <v>25</v>
      </c>
      <c r="C38" s="35" t="s">
        <v>39</v>
      </c>
      <c r="D38" s="689">
        <v>442734583.80059999</v>
      </c>
      <c r="E38" s="825">
        <v>425969232.54079998</v>
      </c>
      <c r="F38" s="972">
        <v>397237393.78400004</v>
      </c>
      <c r="G38" s="1009">
        <v>384784351.7166</v>
      </c>
      <c r="H38" s="1138">
        <v>224267106.43899998</v>
      </c>
      <c r="I38" s="1235">
        <v>418743753.07499999</v>
      </c>
      <c r="J38" s="1283">
        <v>350215180.47289997</v>
      </c>
      <c r="K38" s="229">
        <f>Price!K38*Delivery!K38*K$11</f>
        <v>445398769.43999994</v>
      </c>
      <c r="L38" s="229">
        <f>Price!L38*Delivery!L38*L$11</f>
        <v>440345030.39999998</v>
      </c>
      <c r="M38" s="229">
        <f>Price!M38*Delivery!M38*M$11</f>
        <v>406484116.99200004</v>
      </c>
      <c r="N38" s="229">
        <f>Price!N38*Delivery!N38*N$11</f>
        <v>422738032.32000005</v>
      </c>
      <c r="O38" s="229">
        <f>Price!O38*Delivery!O38*O$11</f>
        <v>416101924.80000001</v>
      </c>
      <c r="P38" s="229">
        <f>Price!P38*Delivery!P38*P$11</f>
        <v>438879945.60000002</v>
      </c>
      <c r="Q38" s="229">
        <f>SUM(E38:P38)</f>
        <v>4771164837.5803003</v>
      </c>
      <c r="T38" s="44" t="s">
        <v>214</v>
      </c>
      <c r="U38" s="747"/>
      <c r="V38" s="705"/>
      <c r="W38" s="705"/>
      <c r="X38" s="705"/>
      <c r="Y38" s="705"/>
      <c r="Z38" s="705"/>
      <c r="AA38" s="705"/>
      <c r="AB38" s="705"/>
      <c r="AC38" s="705"/>
      <c r="AD38" s="705"/>
      <c r="AE38" s="705"/>
      <c r="AF38" s="705"/>
      <c r="AG38" s="705"/>
      <c r="AH38" s="705"/>
    </row>
    <row r="39" spans="1:34" ht="29" customHeight="1">
      <c r="A39" s="867" t="str">
        <f>Table3[[#This Row],[Product]]</f>
        <v>Propane</v>
      </c>
      <c r="B39" s="829" t="s">
        <v>25</v>
      </c>
      <c r="C39" s="35" t="s">
        <v>40</v>
      </c>
      <c r="D39" s="689">
        <v>0</v>
      </c>
      <c r="E39" s="825">
        <v>0</v>
      </c>
      <c r="F39" s="972">
        <v>0</v>
      </c>
      <c r="G39" s="1009">
        <v>0</v>
      </c>
      <c r="H39" s="1138">
        <v>0</v>
      </c>
      <c r="I39" s="1235">
        <v>0</v>
      </c>
      <c r="J39" s="1283">
        <v>0</v>
      </c>
      <c r="K39" s="229">
        <f>Price!K39*Delivery!K39*K$11</f>
        <v>0</v>
      </c>
      <c r="L39" s="229">
        <f>Price!L39*Delivery!L39*L$11</f>
        <v>0</v>
      </c>
      <c r="M39" s="229">
        <f>Price!M39*Delivery!M39*M$11</f>
        <v>0</v>
      </c>
      <c r="N39" s="229">
        <f>Price!N39*Delivery!N39*N$11</f>
        <v>0</v>
      </c>
      <c r="O39" s="229">
        <f>Price!O39*Delivery!O39*O$11</f>
        <v>0</v>
      </c>
      <c r="P39" s="229">
        <f>Price!P39*Delivery!P39*P$11</f>
        <v>0</v>
      </c>
      <c r="Q39" s="229">
        <f t="shared" ref="Q39:Q52" si="49">SUM(E39:P39)</f>
        <v>0</v>
      </c>
      <c r="T39" t="s">
        <v>217</v>
      </c>
      <c r="V39" s="705">
        <f t="shared" ref="V39:AG39" si="50">SUM(E53:E55)</f>
        <v>45602507.748599999</v>
      </c>
      <c r="W39" s="705">
        <f t="shared" si="50"/>
        <v>37885582.794500001</v>
      </c>
      <c r="X39" s="705">
        <f t="shared" si="50"/>
        <v>166022934.7561</v>
      </c>
      <c r="Y39" s="705">
        <f t="shared" si="50"/>
        <v>38586595.5</v>
      </c>
      <c r="Z39" s="705">
        <f t="shared" si="50"/>
        <v>157949263.57319999</v>
      </c>
      <c r="AA39" s="705">
        <f t="shared" si="50"/>
        <v>80090590.676799998</v>
      </c>
      <c r="AB39" s="705">
        <f t="shared" si="50"/>
        <v>1319354204.5352728</v>
      </c>
      <c r="AC39" s="705">
        <f t="shared" si="50"/>
        <v>669761826.85645175</v>
      </c>
      <c r="AD39" s="705">
        <f t="shared" si="50"/>
        <v>656826067.71070385</v>
      </c>
      <c r="AE39" s="705">
        <f t="shared" si="50"/>
        <v>639713213.83112216</v>
      </c>
      <c r="AF39" s="705">
        <f t="shared" si="50"/>
        <v>635711267.50653732</v>
      </c>
      <c r="AG39" s="705">
        <f t="shared" si="50"/>
        <v>670511052.88904524</v>
      </c>
      <c r="AH39" s="705">
        <f t="shared" si="35"/>
        <v>5118015108.378334</v>
      </c>
    </row>
    <row r="40" spans="1:34" ht="21.65" customHeight="1">
      <c r="A40" s="867" t="str">
        <f>Table3[[#This Row],[Product]]</f>
        <v>Propane</v>
      </c>
      <c r="B40" s="830" t="s">
        <v>34</v>
      </c>
      <c r="C40" s="35" t="s">
        <v>41</v>
      </c>
      <c r="D40" s="689">
        <v>0</v>
      </c>
      <c r="E40" s="825">
        <v>0</v>
      </c>
      <c r="F40" s="972">
        <v>0</v>
      </c>
      <c r="G40" s="1009">
        <v>0</v>
      </c>
      <c r="H40" s="1138">
        <v>0</v>
      </c>
      <c r="I40" s="1235">
        <v>0</v>
      </c>
      <c r="J40" s="1283">
        <v>0</v>
      </c>
      <c r="K40" s="229">
        <f>Price!K40*Delivery!K40*K$11</f>
        <v>0</v>
      </c>
      <c r="L40" s="229">
        <f>Price!L40*Delivery!L40*L$11</f>
        <v>0</v>
      </c>
      <c r="M40" s="229">
        <f>Price!M40*Delivery!M40*M$11</f>
        <v>0</v>
      </c>
      <c r="N40" s="229">
        <f>Price!N40*Delivery!N40*N$11</f>
        <v>0</v>
      </c>
      <c r="O40" s="229">
        <f>Price!O40*Delivery!O40*O$11</f>
        <v>0</v>
      </c>
      <c r="P40" s="229">
        <f>Price!P40*Delivery!P40*P$11</f>
        <v>0</v>
      </c>
      <c r="Q40" s="229">
        <f t="shared" si="49"/>
        <v>0</v>
      </c>
      <c r="T40" t="s">
        <v>218</v>
      </c>
      <c r="V40" s="705">
        <f t="shared" ref="V40:AG40" si="51">SUM(E56:E58)</f>
        <v>571078583.78670001</v>
      </c>
      <c r="W40" s="705">
        <f t="shared" si="51"/>
        <v>377738691.95270002</v>
      </c>
      <c r="X40" s="705">
        <f t="shared" si="51"/>
        <v>465147667.18529999</v>
      </c>
      <c r="Y40" s="705">
        <f t="shared" si="51"/>
        <v>347329518.12</v>
      </c>
      <c r="Z40" s="705">
        <f t="shared" si="51"/>
        <v>494184531.87719995</v>
      </c>
      <c r="AA40" s="705">
        <f t="shared" si="51"/>
        <v>690570654.48909998</v>
      </c>
      <c r="AB40" s="705">
        <f t="shared" si="51"/>
        <v>0</v>
      </c>
      <c r="AC40" s="705">
        <f t="shared" si="51"/>
        <v>0</v>
      </c>
      <c r="AD40" s="705">
        <f t="shared" si="51"/>
        <v>0</v>
      </c>
      <c r="AE40" s="705">
        <f t="shared" si="51"/>
        <v>0</v>
      </c>
      <c r="AF40" s="705">
        <f t="shared" si="51"/>
        <v>0</v>
      </c>
      <c r="AG40" s="705">
        <f t="shared" si="51"/>
        <v>0</v>
      </c>
      <c r="AH40" s="705">
        <f t="shared" si="35"/>
        <v>2946049647.4110003</v>
      </c>
    </row>
    <row r="41" spans="1:34" ht="21.65" customHeight="1">
      <c r="A41" s="867" t="str">
        <f>Table3[[#This Row],[Product]]</f>
        <v>Propane</v>
      </c>
      <c r="B41" s="829" t="s">
        <v>25</v>
      </c>
      <c r="C41" s="36" t="s">
        <v>42</v>
      </c>
      <c r="D41" s="689">
        <v>408283792.5776</v>
      </c>
      <c r="E41" s="825">
        <v>638971437.34799993</v>
      </c>
      <c r="F41" s="972">
        <v>601692926.45410001</v>
      </c>
      <c r="G41" s="1009">
        <v>679507984.77840006</v>
      </c>
      <c r="H41" s="1138">
        <v>472048326.23000002</v>
      </c>
      <c r="I41" s="1235">
        <v>475924476.83400005</v>
      </c>
      <c r="J41" s="1283">
        <v>572013026.8096</v>
      </c>
      <c r="K41" s="229">
        <f>Price!K41*Delivery!K41*K$11</f>
        <v>501437359.5</v>
      </c>
      <c r="L41" s="229">
        <f>Price!L41*Delivery!L41*L$11</f>
        <v>652550786.16000009</v>
      </c>
      <c r="M41" s="229">
        <f>Price!M41*Delivery!M41*M$11</f>
        <v>456599399.69999999</v>
      </c>
      <c r="N41" s="229">
        <f>Price!N41*Delivery!N41*N$11</f>
        <v>0</v>
      </c>
      <c r="O41" s="229">
        <f>Price!O41*Delivery!O41*O$11</f>
        <v>617000810.39999998</v>
      </c>
      <c r="P41" s="229">
        <f>Price!P41*Delivery!P41*P$11</f>
        <v>650434552.56000018</v>
      </c>
      <c r="Q41" s="229">
        <f t="shared" si="49"/>
        <v>6318181086.7741003</v>
      </c>
      <c r="T41" t="s">
        <v>220</v>
      </c>
      <c r="V41" s="705">
        <f t="shared" ref="V41:AG41" si="52">SUM(E59:E66)</f>
        <v>0</v>
      </c>
      <c r="W41" s="705">
        <f t="shared" si="52"/>
        <v>265417270.43000001</v>
      </c>
      <c r="X41" s="705">
        <f t="shared" si="52"/>
        <v>70449830</v>
      </c>
      <c r="Y41" s="705">
        <f t="shared" si="52"/>
        <v>445926293.40000004</v>
      </c>
      <c r="Z41" s="705">
        <f t="shared" si="52"/>
        <v>492737722.13999999</v>
      </c>
      <c r="AA41" s="705">
        <f t="shared" si="52"/>
        <v>341143461.90000004</v>
      </c>
      <c r="AB41" s="705">
        <f t="shared" si="52"/>
        <v>48600000</v>
      </c>
      <c r="AC41" s="705">
        <f t="shared" si="52"/>
        <v>47925000</v>
      </c>
      <c r="AD41" s="705">
        <f t="shared" si="52"/>
        <v>47025000</v>
      </c>
      <c r="AE41" s="705">
        <f t="shared" si="52"/>
        <v>44550000</v>
      </c>
      <c r="AF41" s="705">
        <f t="shared" si="52"/>
        <v>45000000</v>
      </c>
      <c r="AG41" s="705">
        <f t="shared" si="52"/>
        <v>45675000</v>
      </c>
      <c r="AH41" s="705">
        <f>SUM(V41:AG41)</f>
        <v>1894449577.8700001</v>
      </c>
    </row>
    <row r="42" spans="1:34" ht="21.65" customHeight="1" thickBot="1">
      <c r="A42" s="867" t="str">
        <f>Table3[[#This Row],[Product]]</f>
        <v>Propane</v>
      </c>
      <c r="B42" s="830" t="s">
        <v>34</v>
      </c>
      <c r="C42" s="36" t="s">
        <v>43</v>
      </c>
      <c r="D42" s="689">
        <v>0</v>
      </c>
      <c r="E42" s="825">
        <v>0</v>
      </c>
      <c r="F42" s="972">
        <v>0</v>
      </c>
      <c r="G42" s="1009">
        <v>0</v>
      </c>
      <c r="H42" s="1138">
        <v>0</v>
      </c>
      <c r="I42" s="1235">
        <v>0</v>
      </c>
      <c r="J42" s="1283">
        <v>0</v>
      </c>
      <c r="K42" s="229">
        <f>Price!K42*Delivery!K42*K$11</f>
        <v>0</v>
      </c>
      <c r="L42" s="229">
        <f>Price!L42*Delivery!L42*L$11</f>
        <v>0</v>
      </c>
      <c r="M42" s="229">
        <f>Price!M42*Delivery!M42*M$11</f>
        <v>0</v>
      </c>
      <c r="N42" s="229">
        <f>Price!N42*Delivery!N42*N$11</f>
        <v>0</v>
      </c>
      <c r="O42" s="229">
        <f>Price!O42*Delivery!O42*O$11</f>
        <v>0</v>
      </c>
      <c r="P42" s="229">
        <f>Price!P42*Delivery!P42*P$11</f>
        <v>0</v>
      </c>
      <c r="Q42" s="229">
        <f t="shared" si="49"/>
        <v>0</v>
      </c>
      <c r="T42" t="s">
        <v>177</v>
      </c>
      <c r="V42" s="705">
        <f>SUM(V39:V41)</f>
        <v>616681091.53530002</v>
      </c>
      <c r="W42" s="705">
        <f t="shared" ref="W42:AG42" si="53">SUM(W39:W41)</f>
        <v>681041545.17720008</v>
      </c>
      <c r="X42" s="705">
        <f t="shared" si="53"/>
        <v>701620431.94140005</v>
      </c>
      <c r="Y42" s="705">
        <f t="shared" si="53"/>
        <v>831842407.01999998</v>
      </c>
      <c r="Z42" s="705">
        <f t="shared" si="53"/>
        <v>1144871517.5903997</v>
      </c>
      <c r="AA42" s="705">
        <f t="shared" si="53"/>
        <v>1111804707.0659001</v>
      </c>
      <c r="AB42" s="705">
        <f t="shared" si="53"/>
        <v>1367954204.5352728</v>
      </c>
      <c r="AC42" s="705">
        <f t="shared" si="53"/>
        <v>717686826.85645175</v>
      </c>
      <c r="AD42" s="705">
        <f t="shared" si="53"/>
        <v>703851067.71070385</v>
      </c>
      <c r="AE42" s="705">
        <f t="shared" si="53"/>
        <v>684263213.83112216</v>
      </c>
      <c r="AF42" s="705">
        <f t="shared" si="53"/>
        <v>680711267.50653732</v>
      </c>
      <c r="AG42" s="705">
        <f t="shared" si="53"/>
        <v>716186052.88904524</v>
      </c>
      <c r="AH42" s="705">
        <f>SUM(V42:AG42)</f>
        <v>9958514333.6593342</v>
      </c>
    </row>
    <row r="43" spans="1:34" ht="21.65" customHeight="1" thickBot="1">
      <c r="A43" s="867" t="str">
        <f>Table3[[#This Row],[Product]]</f>
        <v>Propane</v>
      </c>
      <c r="B43" s="829" t="s">
        <v>25</v>
      </c>
      <c r="C43" s="36" t="s">
        <v>44</v>
      </c>
      <c r="D43" s="689">
        <v>347595587.56440002</v>
      </c>
      <c r="E43" s="825">
        <v>351569031.45059997</v>
      </c>
      <c r="F43" s="972">
        <v>278424118.80000001</v>
      </c>
      <c r="G43" s="1009">
        <v>338794170</v>
      </c>
      <c r="H43" s="1138">
        <v>245437032.62669998</v>
      </c>
      <c r="I43" s="1235">
        <v>282677312.60000002</v>
      </c>
      <c r="J43" s="1283">
        <v>318616320.39999998</v>
      </c>
      <c r="K43" s="229">
        <f>Price!K43*Delivery!K43*K$11</f>
        <v>11765975.25</v>
      </c>
      <c r="L43" s="229">
        <f>Price!L43*Delivery!L43*L$11</f>
        <v>273413620.79999995</v>
      </c>
      <c r="M43" s="229">
        <f>Price!M43*Delivery!M43*M$11</f>
        <v>272898951.00000006</v>
      </c>
      <c r="N43" s="229">
        <f>Price!N43*Delivery!N43*N$11</f>
        <v>246885258.90000001</v>
      </c>
      <c r="O43" s="229">
        <f>Price!O43*Delivery!O43*O$11</f>
        <v>277550091.00000006</v>
      </c>
      <c r="P43" s="229">
        <f>Price!P43*Delivery!P43*P$11</f>
        <v>295416973.80000001</v>
      </c>
      <c r="Q43" s="229">
        <f t="shared" si="49"/>
        <v>3193448856.6273007</v>
      </c>
      <c r="T43" s="769" t="s">
        <v>570</v>
      </c>
      <c r="U43" s="770" t="s">
        <v>554</v>
      </c>
      <c r="V43" s="768">
        <v>23377</v>
      </c>
      <c r="W43" s="752">
        <v>23408</v>
      </c>
      <c r="X43" s="752">
        <v>23437</v>
      </c>
      <c r="Y43" s="752">
        <v>23468</v>
      </c>
      <c r="Z43" s="752">
        <v>23498</v>
      </c>
      <c r="AA43" s="752">
        <v>23529</v>
      </c>
      <c r="AB43" s="752">
        <v>23559</v>
      </c>
      <c r="AC43" s="752">
        <v>23590</v>
      </c>
      <c r="AD43" s="752">
        <v>23621</v>
      </c>
      <c r="AE43" s="752">
        <v>23651</v>
      </c>
      <c r="AF43" s="752">
        <v>23682</v>
      </c>
      <c r="AG43" s="752">
        <v>23712</v>
      </c>
      <c r="AH43" s="756" t="s">
        <v>177</v>
      </c>
    </row>
    <row r="44" spans="1:34" ht="21.65" customHeight="1">
      <c r="A44" s="867" t="str">
        <f>Table3[[#This Row],[Product]]</f>
        <v>Propane</v>
      </c>
      <c r="B44" s="830" t="s">
        <v>34</v>
      </c>
      <c r="C44" s="36" t="s">
        <v>45</v>
      </c>
      <c r="D44" s="689">
        <v>0</v>
      </c>
      <c r="E44" s="825">
        <v>0</v>
      </c>
      <c r="F44" s="972">
        <v>97552757.530400008</v>
      </c>
      <c r="G44" s="1009">
        <v>157166313.49330002</v>
      </c>
      <c r="H44" s="1146">
        <v>77506431.355800003</v>
      </c>
      <c r="I44" s="1235">
        <v>67426160.635299996</v>
      </c>
      <c r="J44" s="1283">
        <v>131133906.38399999</v>
      </c>
      <c r="K44" s="229">
        <f>Price!K44*Delivery!K44*K$11</f>
        <v>0</v>
      </c>
      <c r="L44" s="229">
        <f>Price!L44*Delivery!L44*L$11</f>
        <v>0</v>
      </c>
      <c r="M44" s="229">
        <f>Price!M44*Delivery!M44*M$11</f>
        <v>49881000</v>
      </c>
      <c r="N44" s="229">
        <f>Price!N44*Delivery!N44*N$11</f>
        <v>48748200</v>
      </c>
      <c r="O44" s="229">
        <f>Price!O44*Delivery!O44*O$11</f>
        <v>48996000</v>
      </c>
      <c r="P44" s="229">
        <f>Price!P44*Delivery!P44*P$11</f>
        <v>50164200</v>
      </c>
      <c r="Q44" s="229">
        <f t="shared" si="49"/>
        <v>728574969.39880002</v>
      </c>
      <c r="T44" s="760" t="s">
        <v>225</v>
      </c>
      <c r="U44" s="761" t="s">
        <v>536</v>
      </c>
      <c r="V44" s="762">
        <f t="shared" ref="V44:AG44" si="54">SUM(E70)/10^6</f>
        <v>6.8316613499999992</v>
      </c>
      <c r="W44" s="762">
        <f t="shared" si="54"/>
        <v>6.5243530299999994</v>
      </c>
      <c r="X44" s="762">
        <f t="shared" si="54"/>
        <v>7.8442093699999997</v>
      </c>
      <c r="Y44" s="762">
        <f t="shared" si="54"/>
        <v>5.788736909999999</v>
      </c>
      <c r="Z44" s="762">
        <f t="shared" si="54"/>
        <v>12.088810570000001</v>
      </c>
      <c r="AA44" s="762">
        <f t="shared" si="54"/>
        <v>12.348191590000004</v>
      </c>
      <c r="AB44" s="762">
        <f t="shared" si="54"/>
        <v>12.068901901221402</v>
      </c>
      <c r="AC44" s="762">
        <f t="shared" si="54"/>
        <v>13.667194142734658</v>
      </c>
      <c r="AD44" s="762">
        <f t="shared" si="54"/>
        <v>12.248986905312876</v>
      </c>
      <c r="AE44" s="762">
        <f t="shared" si="54"/>
        <v>12.343119369522775</v>
      </c>
      <c r="AF44" s="762">
        <f t="shared" si="54"/>
        <v>10.876487291607479</v>
      </c>
      <c r="AG44" s="762">
        <f t="shared" si="54"/>
        <v>10.099595342206944</v>
      </c>
      <c r="AH44" s="763">
        <f>SUM(V44:AG44)</f>
        <v>122.73024777260612</v>
      </c>
    </row>
    <row r="45" spans="1:34" ht="21.65" customHeight="1">
      <c r="A45" s="867" t="str">
        <f>Table3[[#This Row],[Product]]</f>
        <v>Propane</v>
      </c>
      <c r="B45" s="829" t="s">
        <v>25</v>
      </c>
      <c r="C45" s="36" t="s">
        <v>668</v>
      </c>
      <c r="D45" s="689">
        <v>0</v>
      </c>
      <c r="E45" s="825">
        <v>0</v>
      </c>
      <c r="F45" s="972">
        <v>189999318.83999997</v>
      </c>
      <c r="G45" s="1009">
        <v>215796080.51999998</v>
      </c>
      <c r="H45" s="1138">
        <v>0</v>
      </c>
      <c r="I45" s="1235">
        <v>90088727.200000003</v>
      </c>
      <c r="J45" s="1283">
        <v>182134826.50000003</v>
      </c>
      <c r="K45" s="229">
        <f>Price!K45*Delivery!K45*K$11</f>
        <v>0</v>
      </c>
      <c r="L45" s="229">
        <f>Price!L45*Delivery!L45*L$11</f>
        <v>97958072.159240231</v>
      </c>
      <c r="M45" s="229">
        <f>Price!M45*Delivery!M45*M$11</f>
        <v>114129341.54344708</v>
      </c>
      <c r="N45" s="229">
        <f>Price!N45*Delivery!N45*N$11</f>
        <v>189029253.36733752</v>
      </c>
      <c r="O45" s="229">
        <f>Price!O45*Delivery!O45*O$11</f>
        <v>96705901.967551231</v>
      </c>
      <c r="P45" s="229">
        <f>Price!P45*Delivery!P45*P$11</f>
        <v>113806459.21781884</v>
      </c>
      <c r="Q45" s="229">
        <f t="shared" si="49"/>
        <v>1289647981.3153946</v>
      </c>
      <c r="T45" s="760" t="s">
        <v>225</v>
      </c>
      <c r="U45" s="761" t="s">
        <v>76</v>
      </c>
      <c r="V45" s="762">
        <f t="shared" ref="V45:AG45" si="55">SUM(E74)/10^6</f>
        <v>153.08717978339999</v>
      </c>
      <c r="W45" s="762">
        <f t="shared" si="55"/>
        <v>94.011140150000003</v>
      </c>
      <c r="X45" s="762">
        <f t="shared" si="55"/>
        <v>185.73315647219997</v>
      </c>
      <c r="Y45" s="762">
        <f t="shared" si="55"/>
        <v>205.13805389459998</v>
      </c>
      <c r="Z45" s="762">
        <f t="shared" si="55"/>
        <v>212.79309519000003</v>
      </c>
      <c r="AA45" s="762">
        <f t="shared" si="55"/>
        <v>170.96080071999995</v>
      </c>
      <c r="AB45" s="762">
        <f t="shared" si="55"/>
        <v>114.46657762457258</v>
      </c>
      <c r="AC45" s="762">
        <f t="shared" si="55"/>
        <v>161.85269934744281</v>
      </c>
      <c r="AD45" s="762">
        <f t="shared" si="55"/>
        <v>185.58366176727608</v>
      </c>
      <c r="AE45" s="762">
        <f t="shared" si="55"/>
        <v>193.24351895645381</v>
      </c>
      <c r="AF45" s="762">
        <f t="shared" si="55"/>
        <v>188.64395369624091</v>
      </c>
      <c r="AG45" s="762">
        <f t="shared" si="55"/>
        <v>189.65005478262088</v>
      </c>
      <c r="AH45" s="763">
        <f>SUM(V45:AG45)</f>
        <v>2055.1638923848072</v>
      </c>
    </row>
    <row r="46" spans="1:34" ht="21.65" customHeight="1">
      <c r="A46" s="867" t="str">
        <f>Table3[[#This Row],[Product]]</f>
        <v>Propane</v>
      </c>
      <c r="B46" s="830" t="s">
        <v>34</v>
      </c>
      <c r="C46" s="36" t="s">
        <v>47</v>
      </c>
      <c r="D46" s="689">
        <v>0</v>
      </c>
      <c r="E46" s="825">
        <v>0</v>
      </c>
      <c r="F46" s="972">
        <v>0</v>
      </c>
      <c r="G46" s="1009">
        <v>218642681.27000001</v>
      </c>
      <c r="H46" s="1138">
        <v>195946914.80000001</v>
      </c>
      <c r="I46" s="1235">
        <v>305252632.04000002</v>
      </c>
      <c r="J46" s="1283">
        <v>370633012.88</v>
      </c>
      <c r="K46" s="229">
        <f>Price!K46*Delivery!K46*K$11</f>
        <v>465573596.69176364</v>
      </c>
      <c r="L46" s="229">
        <f>Price!L46*Delivery!L46*L$11</f>
        <v>0</v>
      </c>
      <c r="M46" s="229">
        <f>Price!M46*Delivery!M46*M$11</f>
        <v>0</v>
      </c>
      <c r="N46" s="229">
        <f>Price!N46*Delivery!N46*N$11</f>
        <v>0</v>
      </c>
      <c r="O46" s="229">
        <f>Price!O46*Delivery!O46*O$11</f>
        <v>0</v>
      </c>
      <c r="P46" s="229">
        <f>Price!P46*Delivery!P46*P$11</f>
        <v>134558724.73957455</v>
      </c>
      <c r="Q46" s="229">
        <f t="shared" si="49"/>
        <v>1690607562.4213386</v>
      </c>
      <c r="T46" s="760" t="s">
        <v>225</v>
      </c>
      <c r="U46" s="761" t="s">
        <v>537</v>
      </c>
      <c r="V46" s="762">
        <f t="shared" ref="V46:AG46" si="56">SUM(E73)/10^6</f>
        <v>844.02290059000006</v>
      </c>
      <c r="W46" s="762">
        <f t="shared" si="56"/>
        <v>779.27417351999998</v>
      </c>
      <c r="X46" s="762">
        <f t="shared" si="56"/>
        <v>863.81003762999978</v>
      </c>
      <c r="Y46" s="762">
        <f t="shared" si="56"/>
        <v>742.70197057000007</v>
      </c>
      <c r="Z46" s="762">
        <f t="shared" si="56"/>
        <v>748.10298470000021</v>
      </c>
      <c r="AA46" s="762">
        <f t="shared" si="56"/>
        <v>752.92763564000029</v>
      </c>
      <c r="AB46" s="762">
        <f t="shared" si="56"/>
        <v>734.35942019479376</v>
      </c>
      <c r="AC46" s="762">
        <f t="shared" si="56"/>
        <v>751.16012872380941</v>
      </c>
      <c r="AD46" s="762">
        <f t="shared" si="56"/>
        <v>737.27765287767465</v>
      </c>
      <c r="AE46" s="762">
        <f t="shared" si="56"/>
        <v>755.88182720552925</v>
      </c>
      <c r="AF46" s="762">
        <f t="shared" si="56"/>
        <v>753.5930654305613</v>
      </c>
      <c r="AG46" s="762">
        <f t="shared" si="56"/>
        <v>774.90089864940251</v>
      </c>
      <c r="AH46" s="763">
        <f>SUM(V46:AG46)</f>
        <v>9238.0126957317716</v>
      </c>
    </row>
    <row r="47" spans="1:34" ht="21.65" customHeight="1">
      <c r="A47" s="867" t="str">
        <f>Table3[[#This Row],[Product]]</f>
        <v>Propane</v>
      </c>
      <c r="B47" s="829" t="s">
        <v>25</v>
      </c>
      <c r="C47" s="36" t="s">
        <v>48</v>
      </c>
      <c r="D47" s="689">
        <v>0</v>
      </c>
      <c r="E47" s="825">
        <v>0</v>
      </c>
      <c r="F47" s="972">
        <v>0</v>
      </c>
      <c r="G47" s="1009">
        <v>0</v>
      </c>
      <c r="H47" s="1138">
        <v>0</v>
      </c>
      <c r="I47" s="1235">
        <v>79149037.11999999</v>
      </c>
      <c r="J47" s="1283">
        <v>0</v>
      </c>
      <c r="K47" s="229">
        <f>Price!K47*Delivery!K47*K$11</f>
        <v>0</v>
      </c>
      <c r="L47" s="229">
        <f>Price!L47*Delivery!L47*L$11</f>
        <v>0</v>
      </c>
      <c r="M47" s="229">
        <f>Price!M47*Delivery!M47*M$11</f>
        <v>0</v>
      </c>
      <c r="N47" s="229">
        <f>Price!N47*Delivery!N47*N$11</f>
        <v>0</v>
      </c>
      <c r="O47" s="229">
        <f>Price!O47*Delivery!O47*O$11</f>
        <v>0</v>
      </c>
      <c r="P47" s="229">
        <f>Price!P47*Delivery!P47*P$11</f>
        <v>0</v>
      </c>
      <c r="Q47" s="229">
        <f t="shared" si="49"/>
        <v>79149037.11999999</v>
      </c>
      <c r="T47" s="760" t="s">
        <v>225</v>
      </c>
      <c r="U47" s="761" t="s">
        <v>276</v>
      </c>
      <c r="V47" s="762">
        <f t="shared" ref="V47:AG47" si="57">SUM(E71:E72)/10^6</f>
        <v>656.07654459959997</v>
      </c>
      <c r="W47" s="762">
        <f t="shared" si="57"/>
        <v>244.02496905179999</v>
      </c>
      <c r="X47" s="762">
        <f t="shared" si="57"/>
        <v>274.34070393119998</v>
      </c>
      <c r="Y47" s="762">
        <f t="shared" si="57"/>
        <v>212.6415367674</v>
      </c>
      <c r="Z47" s="762">
        <f t="shared" si="57"/>
        <v>433.60375796819994</v>
      </c>
      <c r="AA47" s="762">
        <f t="shared" si="57"/>
        <v>429.11283396059997</v>
      </c>
      <c r="AB47" s="762">
        <f t="shared" si="57"/>
        <v>782.98079329215193</v>
      </c>
      <c r="AC47" s="762">
        <f t="shared" si="57"/>
        <v>740.88671146860747</v>
      </c>
      <c r="AD47" s="762">
        <f t="shared" si="57"/>
        <v>725.09010879594871</v>
      </c>
      <c r="AE47" s="762">
        <f t="shared" si="57"/>
        <v>724.0789205669397</v>
      </c>
      <c r="AF47" s="762">
        <f t="shared" si="57"/>
        <v>742.52684073577734</v>
      </c>
      <c r="AG47" s="762">
        <f t="shared" si="57"/>
        <v>746.98781095554762</v>
      </c>
      <c r="AH47" s="763">
        <f>SUM(V47:AG47)</f>
        <v>6712.3515320937722</v>
      </c>
    </row>
    <row r="48" spans="1:34" ht="21.65" customHeight="1">
      <c r="A48" s="867" t="str">
        <f>Table3[[#This Row],[Product]]</f>
        <v>Propane</v>
      </c>
      <c r="B48" s="830" t="s">
        <v>34</v>
      </c>
      <c r="C48" s="36" t="s">
        <v>49</v>
      </c>
      <c r="D48" s="689">
        <v>0</v>
      </c>
      <c r="E48" s="825">
        <v>0</v>
      </c>
      <c r="F48" s="972">
        <v>0</v>
      </c>
      <c r="G48" s="1009">
        <v>0</v>
      </c>
      <c r="H48" s="1138">
        <v>0</v>
      </c>
      <c r="I48" s="1235">
        <v>0</v>
      </c>
      <c r="J48" s="1283">
        <v>0</v>
      </c>
      <c r="K48" s="229">
        <f>Price!K48*Delivery!K48*K$11</f>
        <v>0</v>
      </c>
      <c r="L48" s="229">
        <f>Price!L48*Delivery!L48*L$11</f>
        <v>0</v>
      </c>
      <c r="M48" s="229">
        <f>Price!M48*Delivery!M48*M$11</f>
        <v>0</v>
      </c>
      <c r="N48" s="229">
        <f>Price!N48*Delivery!N48*N$11</f>
        <v>0</v>
      </c>
      <c r="O48" s="229">
        <f>Price!O48*Delivery!O48*O$11</f>
        <v>0</v>
      </c>
      <c r="P48" s="229">
        <f>Price!P48*Delivery!P48*P$11</f>
        <v>0</v>
      </c>
      <c r="Q48" s="229">
        <f t="shared" si="49"/>
        <v>0</v>
      </c>
      <c r="T48" s="760" t="s">
        <v>225</v>
      </c>
      <c r="U48" s="761" t="s">
        <v>538</v>
      </c>
      <c r="V48" s="762">
        <f t="shared" ref="V48:AG48" si="58">SUM(E75:E76)/10^6</f>
        <v>54.019584920200003</v>
      </c>
      <c r="W48" s="762">
        <f t="shared" si="58"/>
        <v>173.9776828766</v>
      </c>
      <c r="X48" s="762">
        <f t="shared" si="58"/>
        <v>275.31849354540003</v>
      </c>
      <c r="Y48" s="762">
        <f t="shared" si="58"/>
        <v>238.41779241000003</v>
      </c>
      <c r="Z48" s="762">
        <f t="shared" si="58"/>
        <v>236.30705041420001</v>
      </c>
      <c r="AA48" s="762">
        <f t="shared" si="58"/>
        <v>271.82396367260003</v>
      </c>
      <c r="AB48" s="762">
        <f t="shared" si="58"/>
        <v>184.92252832372571</v>
      </c>
      <c r="AC48" s="762">
        <f t="shared" si="58"/>
        <v>186.58194443775767</v>
      </c>
      <c r="AD48" s="762">
        <f t="shared" si="58"/>
        <v>188.12345398824445</v>
      </c>
      <c r="AE48" s="762">
        <f t="shared" si="58"/>
        <v>189.56916737143939</v>
      </c>
      <c r="AF48" s="762">
        <f t="shared" si="58"/>
        <v>191.25773390110123</v>
      </c>
      <c r="AG48" s="762">
        <f t="shared" si="58"/>
        <v>191.25773390110123</v>
      </c>
      <c r="AH48" s="763">
        <f t="shared" ref="AH48:AH64" si="59">SUM(V48:AG48)</f>
        <v>2381.5771297623696</v>
      </c>
    </row>
    <row r="49" spans="1:34" ht="21.65" customHeight="1">
      <c r="A49" s="867" t="str">
        <f>Table3[[#This Row],[Product]]</f>
        <v>Propane</v>
      </c>
      <c r="B49" s="1304" t="s">
        <v>25</v>
      </c>
      <c r="C49" s="1303" t="s">
        <v>189</v>
      </c>
      <c r="D49" s="1313">
        <v>8801725.8399999999</v>
      </c>
      <c r="E49" s="1321">
        <v>8157348.0999999996</v>
      </c>
      <c r="F49" s="1322">
        <v>8834965.7899999991</v>
      </c>
      <c r="G49" s="1056">
        <v>10166202.800000001</v>
      </c>
      <c r="H49" s="1316">
        <v>7506262.7400000002</v>
      </c>
      <c r="I49" s="1317">
        <v>9626314.6999999993</v>
      </c>
      <c r="J49" s="1318">
        <v>8578287.9200000018</v>
      </c>
      <c r="K49" s="1319">
        <f>Price!K49*Delivery!K49*K$11</f>
        <v>7931489.8166002426</v>
      </c>
      <c r="L49" s="1319">
        <f>Price!L49*Delivery!L49*L$11</f>
        <v>7993908.3968688045</v>
      </c>
      <c r="M49" s="1319">
        <f>Price!M49*Delivery!M49*M$11</f>
        <v>8059952.7623974327</v>
      </c>
      <c r="N49" s="1319">
        <f>Price!N49*Delivery!N49*N$11</f>
        <v>8121892.8412631173</v>
      </c>
      <c r="O49" s="1319">
        <f>Price!O49*Delivery!O49*O$11</f>
        <v>8187256.7069274466</v>
      </c>
      <c r="P49" s="1319">
        <f>Price!P49*Delivery!P49*P$11</f>
        <v>8187256.7069274466</v>
      </c>
      <c r="Q49" s="1319">
        <f t="shared" si="49"/>
        <v>101351139.28098449</v>
      </c>
      <c r="T49" s="760" t="s">
        <v>226</v>
      </c>
      <c r="U49" s="761" t="s">
        <v>276</v>
      </c>
      <c r="V49" s="762">
        <f t="shared" ref="V49:AG50" si="60">SUM(E77)/10^6</f>
        <v>349.27670110000003</v>
      </c>
      <c r="W49" s="762">
        <f t="shared" si="60"/>
        <v>343.73828462000006</v>
      </c>
      <c r="X49" s="762">
        <f t="shared" si="60"/>
        <v>349.72670175999997</v>
      </c>
      <c r="Y49" s="762">
        <f t="shared" si="60"/>
        <v>325.63047881</v>
      </c>
      <c r="Z49" s="762">
        <f t="shared" si="60"/>
        <v>203.74744845519999</v>
      </c>
      <c r="AA49" s="762">
        <f t="shared" si="60"/>
        <v>159.41962285079998</v>
      </c>
      <c r="AB49" s="762">
        <f t="shared" si="60"/>
        <v>329.53786142287072</v>
      </c>
      <c r="AC49" s="762">
        <f t="shared" si="60"/>
        <v>0</v>
      </c>
      <c r="AD49" s="762">
        <f t="shared" si="60"/>
        <v>0</v>
      </c>
      <c r="AE49" s="762">
        <f t="shared" si="60"/>
        <v>0</v>
      </c>
      <c r="AF49" s="762">
        <f t="shared" si="60"/>
        <v>0</v>
      </c>
      <c r="AG49" s="762">
        <f t="shared" si="60"/>
        <v>0</v>
      </c>
      <c r="AH49" s="763">
        <f t="shared" si="59"/>
        <v>2061.0770990188707</v>
      </c>
    </row>
    <row r="50" spans="1:34" ht="21.65" customHeight="1">
      <c r="A50" s="867" t="str">
        <f>Table3[[#This Row],[Product]]</f>
        <v>Propane</v>
      </c>
      <c r="B50" s="831"/>
      <c r="C50" s="33" t="s">
        <v>35</v>
      </c>
      <c r="D50" s="803">
        <f>SUM(D38:D40)</f>
        <v>442734583.80059999</v>
      </c>
      <c r="E50" s="827">
        <f t="shared" ref="E50:P50" si="61">SUM(E38:E40)</f>
        <v>425969232.54079998</v>
      </c>
      <c r="F50" s="827">
        <f t="shared" si="61"/>
        <v>397237393.78400004</v>
      </c>
      <c r="G50" s="827">
        <f t="shared" si="61"/>
        <v>384784351.7166</v>
      </c>
      <c r="H50" s="1042">
        <f t="shared" si="61"/>
        <v>224267106.43899998</v>
      </c>
      <c r="I50" s="827">
        <f t="shared" si="61"/>
        <v>418743753.07499999</v>
      </c>
      <c r="J50" s="827">
        <f t="shared" si="61"/>
        <v>350215180.47289997</v>
      </c>
      <c r="K50" s="229">
        <f t="shared" si="61"/>
        <v>445398769.43999994</v>
      </c>
      <c r="L50" s="229">
        <f t="shared" si="61"/>
        <v>440345030.39999998</v>
      </c>
      <c r="M50" s="229">
        <f t="shared" si="61"/>
        <v>406484116.99200004</v>
      </c>
      <c r="N50" s="229">
        <f t="shared" si="61"/>
        <v>422738032.32000005</v>
      </c>
      <c r="O50" s="229">
        <f t="shared" si="61"/>
        <v>416101924.80000001</v>
      </c>
      <c r="P50" s="229">
        <f t="shared" si="61"/>
        <v>438879945.60000002</v>
      </c>
      <c r="Q50" s="229">
        <f t="shared" si="49"/>
        <v>4771164837.5803003</v>
      </c>
      <c r="T50" s="760" t="s">
        <v>226</v>
      </c>
      <c r="U50" s="761" t="s">
        <v>538</v>
      </c>
      <c r="V50" s="762">
        <f t="shared" si="60"/>
        <v>0</v>
      </c>
      <c r="W50" s="762">
        <f t="shared" si="60"/>
        <v>0</v>
      </c>
      <c r="X50" s="762">
        <f t="shared" si="60"/>
        <v>0</v>
      </c>
      <c r="Y50" s="762">
        <f t="shared" si="60"/>
        <v>0</v>
      </c>
      <c r="Z50" s="762">
        <f t="shared" si="60"/>
        <v>0</v>
      </c>
      <c r="AA50" s="762">
        <f t="shared" si="60"/>
        <v>0</v>
      </c>
      <c r="AB50" s="762">
        <f t="shared" si="60"/>
        <v>0</v>
      </c>
      <c r="AC50" s="762">
        <f t="shared" si="60"/>
        <v>0</v>
      </c>
      <c r="AD50" s="762">
        <f t="shared" si="60"/>
        <v>0</v>
      </c>
      <c r="AE50" s="762">
        <f t="shared" si="60"/>
        <v>0</v>
      </c>
      <c r="AF50" s="762">
        <f t="shared" si="60"/>
        <v>0</v>
      </c>
      <c r="AG50" s="762">
        <f t="shared" si="60"/>
        <v>0</v>
      </c>
      <c r="AH50" s="763">
        <f t="shared" si="59"/>
        <v>0</v>
      </c>
    </row>
    <row r="51" spans="1:34" ht="21.65" customHeight="1">
      <c r="A51" s="867" t="str">
        <f>Table3[[#This Row],[Product]]</f>
        <v>Propane</v>
      </c>
      <c r="B51" s="831"/>
      <c r="C51" s="33" t="s">
        <v>36</v>
      </c>
      <c r="D51" s="803">
        <f>SUM(D45:D48)</f>
        <v>0</v>
      </c>
      <c r="E51" s="827">
        <f t="shared" ref="E51:P51" si="62">SUM(E45:E48)</f>
        <v>0</v>
      </c>
      <c r="F51" s="827">
        <f>SUM(F45:F48)</f>
        <v>189999318.83999997</v>
      </c>
      <c r="G51" s="827">
        <f t="shared" si="62"/>
        <v>434438761.78999996</v>
      </c>
      <c r="H51" s="1042">
        <f t="shared" si="62"/>
        <v>195946914.80000001</v>
      </c>
      <c r="I51" s="827">
        <f t="shared" si="62"/>
        <v>474490396.36000001</v>
      </c>
      <c r="J51" s="827">
        <f t="shared" si="62"/>
        <v>552767839.38</v>
      </c>
      <c r="K51" s="229">
        <f t="shared" si="62"/>
        <v>465573596.69176364</v>
      </c>
      <c r="L51" s="229">
        <f t="shared" si="62"/>
        <v>97958072.159240231</v>
      </c>
      <c r="M51" s="229">
        <f t="shared" si="62"/>
        <v>114129341.54344708</v>
      </c>
      <c r="N51" s="229">
        <f t="shared" si="62"/>
        <v>189029253.36733752</v>
      </c>
      <c r="O51" s="229">
        <f t="shared" si="62"/>
        <v>96705901.967551231</v>
      </c>
      <c r="P51" s="229">
        <f t="shared" si="62"/>
        <v>248365183.95739341</v>
      </c>
      <c r="Q51" s="229">
        <f t="shared" si="49"/>
        <v>3059404580.8567333</v>
      </c>
      <c r="T51" s="760" t="s">
        <v>227</v>
      </c>
      <c r="U51" s="761" t="s">
        <v>276</v>
      </c>
      <c r="V51" s="762">
        <f t="shared" ref="V51:AG52" si="63">SUM(E91)/10^6</f>
        <v>209.27570132000002</v>
      </c>
      <c r="W51" s="762">
        <f t="shared" si="63"/>
        <v>202.67513682000001</v>
      </c>
      <c r="X51" s="762">
        <f t="shared" si="63"/>
        <v>230.86658220000001</v>
      </c>
      <c r="Y51" s="762">
        <f t="shared" si="63"/>
        <v>178.04627300999999</v>
      </c>
      <c r="Z51" s="762">
        <f t="shared" si="63"/>
        <v>124.6641909344</v>
      </c>
      <c r="AA51" s="762">
        <f t="shared" si="63"/>
        <v>186.31640463019997</v>
      </c>
      <c r="AB51" s="762">
        <f t="shared" si="63"/>
        <v>93.163806370777991</v>
      </c>
      <c r="AC51" s="762">
        <f t="shared" si="63"/>
        <v>0</v>
      </c>
      <c r="AD51" s="762">
        <f t="shared" si="63"/>
        <v>0</v>
      </c>
      <c r="AE51" s="762">
        <f t="shared" si="63"/>
        <v>0</v>
      </c>
      <c r="AF51" s="762">
        <f t="shared" si="63"/>
        <v>0</v>
      </c>
      <c r="AG51" s="762">
        <f t="shared" si="63"/>
        <v>0</v>
      </c>
      <c r="AH51" s="763">
        <f t="shared" si="59"/>
        <v>1225.008095285378</v>
      </c>
    </row>
    <row r="52" spans="1:34" ht="21.65" customHeight="1">
      <c r="A52" s="867" t="str">
        <f>Table3[[#This Row],[Product]]</f>
        <v>Propane</v>
      </c>
      <c r="B52" s="829"/>
      <c r="C52" s="34" t="s">
        <v>37</v>
      </c>
      <c r="D52" s="806">
        <f>SUM(D38:D49)</f>
        <v>1207415689.7825999</v>
      </c>
      <c r="E52" s="951">
        <f t="shared" ref="E52:P52" si="64">SUM(E38:E49)</f>
        <v>1424667049.4393997</v>
      </c>
      <c r="F52" s="827">
        <f t="shared" si="64"/>
        <v>1573741481.1984999</v>
      </c>
      <c r="G52" s="827">
        <f t="shared" si="64"/>
        <v>2004857784.5783</v>
      </c>
      <c r="H52" s="1042">
        <f t="shared" si="64"/>
        <v>1222712074.1915002</v>
      </c>
      <c r="I52" s="827">
        <f>SUM(I38:I49)</f>
        <v>1728888414.2042999</v>
      </c>
      <c r="J52" s="827">
        <f t="shared" si="64"/>
        <v>1933324561.3664999</v>
      </c>
      <c r="K52" s="229">
        <f t="shared" si="64"/>
        <v>1432107190.6983638</v>
      </c>
      <c r="L52" s="229">
        <f t="shared" si="64"/>
        <v>1472261417.9161088</v>
      </c>
      <c r="M52" s="229">
        <f t="shared" si="64"/>
        <v>1308052761.9978447</v>
      </c>
      <c r="N52" s="229">
        <f t="shared" si="64"/>
        <v>915522637.42860067</v>
      </c>
      <c r="O52" s="229">
        <f t="shared" si="64"/>
        <v>1464541984.8744788</v>
      </c>
      <c r="P52" s="229">
        <f t="shared" si="64"/>
        <v>1691448112.6243212</v>
      </c>
      <c r="Q52" s="229">
        <f t="shared" si="49"/>
        <v>18172125470.518219</v>
      </c>
      <c r="T52" s="760" t="s">
        <v>227</v>
      </c>
      <c r="U52" s="761" t="s">
        <v>538</v>
      </c>
      <c r="V52" s="762">
        <f t="shared" si="63"/>
        <v>0</v>
      </c>
      <c r="W52" s="762">
        <f t="shared" si="63"/>
        <v>0</v>
      </c>
      <c r="X52" s="762">
        <f t="shared" si="63"/>
        <v>0</v>
      </c>
      <c r="Y52" s="762">
        <f t="shared" si="63"/>
        <v>0</v>
      </c>
      <c r="Z52" s="762">
        <f t="shared" si="63"/>
        <v>0</v>
      </c>
      <c r="AA52" s="762">
        <f t="shared" si="63"/>
        <v>0</v>
      </c>
      <c r="AB52" s="762">
        <f t="shared" si="63"/>
        <v>0</v>
      </c>
      <c r="AC52" s="762">
        <f t="shared" si="63"/>
        <v>0</v>
      </c>
      <c r="AD52" s="762">
        <f t="shared" si="63"/>
        <v>0</v>
      </c>
      <c r="AE52" s="762">
        <f t="shared" si="63"/>
        <v>0</v>
      </c>
      <c r="AF52" s="762">
        <f t="shared" si="63"/>
        <v>0</v>
      </c>
      <c r="AG52" s="762">
        <f t="shared" si="63"/>
        <v>0</v>
      </c>
      <c r="AH52" s="763">
        <f t="shared" si="59"/>
        <v>0</v>
      </c>
    </row>
    <row r="53" spans="1:34" ht="21.65" customHeight="1">
      <c r="A53" s="866" t="str">
        <f>Table3[[#This Row],[Product]]</f>
        <v>LPG-P</v>
      </c>
      <c r="B53" s="829" t="s">
        <v>25</v>
      </c>
      <c r="C53" s="37" t="s">
        <v>51</v>
      </c>
      <c r="D53" s="689">
        <v>36346050.5634</v>
      </c>
      <c r="E53" s="820">
        <v>45602507.748599999</v>
      </c>
      <c r="F53" s="971">
        <v>37885582.794500001</v>
      </c>
      <c r="G53" s="1006">
        <v>166022934.7561</v>
      </c>
      <c r="H53" s="1136">
        <v>38586595.5</v>
      </c>
      <c r="I53" s="1234">
        <v>157949263.57319999</v>
      </c>
      <c r="J53" s="1282">
        <v>80090590.676799998</v>
      </c>
      <c r="K53" s="230">
        <f>Price!K53*Delivery!K53*'Revenue (Baht)'!K$11</f>
        <v>1319354204.5352728</v>
      </c>
      <c r="L53" s="230">
        <f>Price!L53*Delivery!L53*'Revenue (Baht)'!L$11</f>
        <v>669761826.85645175</v>
      </c>
      <c r="M53" s="230">
        <f>Price!M53*Delivery!M53*'Revenue (Baht)'!M$11</f>
        <v>656826067.71070385</v>
      </c>
      <c r="N53" s="230">
        <f>Price!N53*Delivery!N53*'Revenue (Baht)'!N$11</f>
        <v>639713213.83112216</v>
      </c>
      <c r="O53" s="230">
        <f>Price!O53*Delivery!O53*'Revenue (Baht)'!O$11</f>
        <v>635711267.50653732</v>
      </c>
      <c r="P53" s="230">
        <f>Price!P53*Delivery!P53*'Revenue (Baht)'!P$11</f>
        <v>670511052.88904524</v>
      </c>
      <c r="Q53" s="230">
        <f>SUM(E53:P53)</f>
        <v>5118015108.378334</v>
      </c>
      <c r="T53" s="760" t="s">
        <v>228</v>
      </c>
      <c r="U53" s="761" t="s">
        <v>276</v>
      </c>
      <c r="V53" s="762">
        <f t="shared" ref="V53:AG54" si="65">SUM(E79)/10^6</f>
        <v>0</v>
      </c>
      <c r="W53" s="762">
        <f t="shared" si="65"/>
        <v>0</v>
      </c>
      <c r="X53" s="762">
        <f t="shared" si="65"/>
        <v>0</v>
      </c>
      <c r="Y53" s="762">
        <f t="shared" si="65"/>
        <v>0</v>
      </c>
      <c r="Z53" s="762">
        <f t="shared" si="65"/>
        <v>0</v>
      </c>
      <c r="AA53" s="762">
        <f t="shared" si="65"/>
        <v>0</v>
      </c>
      <c r="AB53" s="762">
        <f t="shared" si="65"/>
        <v>0</v>
      </c>
      <c r="AC53" s="762">
        <f t="shared" si="65"/>
        <v>0</v>
      </c>
      <c r="AD53" s="762">
        <f t="shared" si="65"/>
        <v>0</v>
      </c>
      <c r="AE53" s="762">
        <f t="shared" si="65"/>
        <v>0</v>
      </c>
      <c r="AF53" s="762">
        <f t="shared" si="65"/>
        <v>0</v>
      </c>
      <c r="AG53" s="762">
        <f t="shared" si="65"/>
        <v>0</v>
      </c>
      <c r="AH53" s="763">
        <f t="shared" si="59"/>
        <v>0</v>
      </c>
    </row>
    <row r="54" spans="1:34" ht="21.65" customHeight="1">
      <c r="A54" s="866" t="str">
        <f>Table3[[#This Row],[Product]]</f>
        <v>LPG-P</v>
      </c>
      <c r="B54" s="829" t="s">
        <v>25</v>
      </c>
      <c r="C54" s="37" t="s">
        <v>52</v>
      </c>
      <c r="D54" s="689">
        <v>0</v>
      </c>
      <c r="E54" s="820">
        <v>0</v>
      </c>
      <c r="F54" s="971">
        <v>0</v>
      </c>
      <c r="G54" s="1006">
        <v>0</v>
      </c>
      <c r="H54" s="1136">
        <v>0</v>
      </c>
      <c r="I54" s="1234">
        <v>0</v>
      </c>
      <c r="J54" s="1282">
        <v>0</v>
      </c>
      <c r="K54" s="230">
        <f>Price!K54*Delivery!K54*'Revenue (Baht)'!K$11</f>
        <v>0</v>
      </c>
      <c r="L54" s="230">
        <f>Price!L54*Delivery!L54*'Revenue (Baht)'!L$11</f>
        <v>0</v>
      </c>
      <c r="M54" s="230">
        <f>Price!M54*Delivery!M54*'Revenue (Baht)'!M$11</f>
        <v>0</v>
      </c>
      <c r="N54" s="230">
        <f>Price!N54*Delivery!N54*'Revenue (Baht)'!N$11</f>
        <v>0</v>
      </c>
      <c r="O54" s="230">
        <f>Price!O54*Delivery!O54*'Revenue (Baht)'!O$11</f>
        <v>0</v>
      </c>
      <c r="P54" s="230">
        <f>Price!P54*Delivery!P54*'Revenue (Baht)'!P$11</f>
        <v>0</v>
      </c>
      <c r="Q54" s="230">
        <f t="shared" ref="Q54:Q69" si="66">SUM(E54:P54)</f>
        <v>0</v>
      </c>
      <c r="T54" s="760" t="s">
        <v>228</v>
      </c>
      <c r="U54" s="761" t="s">
        <v>538</v>
      </c>
      <c r="V54" s="762">
        <f t="shared" si="65"/>
        <v>25.936824116881237</v>
      </c>
      <c r="W54" s="762">
        <f t="shared" si="65"/>
        <v>0</v>
      </c>
      <c r="X54" s="762">
        <f t="shared" si="65"/>
        <v>141.45172942459615</v>
      </c>
      <c r="Y54" s="762">
        <f t="shared" si="65"/>
        <v>84.286295454194757</v>
      </c>
      <c r="Z54" s="762">
        <f t="shared" si="65"/>
        <v>105.78235772712611</v>
      </c>
      <c r="AA54" s="762">
        <f t="shared" si="65"/>
        <v>164.02359654197824</v>
      </c>
      <c r="AB54" s="762">
        <f t="shared" si="65"/>
        <v>131.14178921537655</v>
      </c>
      <c r="AC54" s="762">
        <f t="shared" si="65"/>
        <v>132.30344795394478</v>
      </c>
      <c r="AD54" s="762">
        <f t="shared" si="65"/>
        <v>133.39651743179755</v>
      </c>
      <c r="AE54" s="762">
        <f t="shared" si="65"/>
        <v>134.42165877613414</v>
      </c>
      <c r="AF54" s="762">
        <f t="shared" si="65"/>
        <v>135.60692354018062</v>
      </c>
      <c r="AG54" s="762">
        <f t="shared" si="65"/>
        <v>135.60692354018062</v>
      </c>
      <c r="AH54" s="763">
        <f t="shared" si="59"/>
        <v>1323.9580637223908</v>
      </c>
    </row>
    <row r="55" spans="1:34" ht="15.5">
      <c r="A55" s="866" t="str">
        <f>Table3[[#This Row],[Product]]</f>
        <v>LPG-P</v>
      </c>
      <c r="B55" s="830" t="s">
        <v>34</v>
      </c>
      <c r="C55" s="37" t="s">
        <v>53</v>
      </c>
      <c r="D55" s="689">
        <v>0</v>
      </c>
      <c r="E55" s="820">
        <v>0</v>
      </c>
      <c r="F55" s="971">
        <v>0</v>
      </c>
      <c r="G55" s="1006">
        <v>0</v>
      </c>
      <c r="H55" s="1136">
        <v>0</v>
      </c>
      <c r="I55" s="1234">
        <v>0</v>
      </c>
      <c r="J55" s="1282">
        <v>0</v>
      </c>
      <c r="K55" s="230">
        <f>Price!K55*Delivery!K55*'Revenue (Baht)'!K$11</f>
        <v>0</v>
      </c>
      <c r="L55" s="230">
        <f>Price!L55*Delivery!L55*'Revenue (Baht)'!L$11</f>
        <v>0</v>
      </c>
      <c r="M55" s="230">
        <f>Price!M55*Delivery!M55*'Revenue (Baht)'!M$11</f>
        <v>0</v>
      </c>
      <c r="N55" s="230">
        <f>Price!N55*Delivery!N55*'Revenue (Baht)'!N$11</f>
        <v>0</v>
      </c>
      <c r="O55" s="230">
        <f>Price!O55*Delivery!O55*'Revenue (Baht)'!O$11</f>
        <v>0</v>
      </c>
      <c r="P55" s="230">
        <f>Price!P55*Delivery!P55*'Revenue (Baht)'!P$11</f>
        <v>0</v>
      </c>
      <c r="Q55" s="230">
        <f t="shared" si="66"/>
        <v>0</v>
      </c>
      <c r="T55" s="760" t="s">
        <v>229</v>
      </c>
      <c r="U55" s="761" t="s">
        <v>276</v>
      </c>
      <c r="V55" s="762">
        <f t="shared" ref="V55:AG55" si="67">SUM(E82)/10^6</f>
        <v>0</v>
      </c>
      <c r="W55" s="762">
        <f t="shared" si="67"/>
        <v>0</v>
      </c>
      <c r="X55" s="762">
        <f t="shared" si="67"/>
        <v>0</v>
      </c>
      <c r="Y55" s="762">
        <f t="shared" si="67"/>
        <v>0</v>
      </c>
      <c r="Z55" s="762">
        <f t="shared" si="67"/>
        <v>0</v>
      </c>
      <c r="AA55" s="762">
        <f t="shared" si="67"/>
        <v>0</v>
      </c>
      <c r="AB55" s="762">
        <f t="shared" si="67"/>
        <v>0</v>
      </c>
      <c r="AC55" s="762">
        <f t="shared" si="67"/>
        <v>0</v>
      </c>
      <c r="AD55" s="762">
        <f t="shared" si="67"/>
        <v>0</v>
      </c>
      <c r="AE55" s="762">
        <f t="shared" si="67"/>
        <v>0</v>
      </c>
      <c r="AF55" s="762">
        <f t="shared" si="67"/>
        <v>0</v>
      </c>
      <c r="AG55" s="762">
        <f t="shared" si="67"/>
        <v>0</v>
      </c>
      <c r="AH55" s="763">
        <f t="shared" si="59"/>
        <v>0</v>
      </c>
    </row>
    <row r="56" spans="1:34" ht="24.65" customHeight="1">
      <c r="A56" s="866" t="str">
        <f>Table3[[#This Row],[Product]]</f>
        <v>LPG-P</v>
      </c>
      <c r="B56" s="829" t="s">
        <v>25</v>
      </c>
      <c r="C56" s="37" t="s">
        <v>54</v>
      </c>
      <c r="D56" s="689">
        <v>427599503.44920003</v>
      </c>
      <c r="E56" s="820">
        <v>571078583.78670001</v>
      </c>
      <c r="F56" s="971">
        <v>377738691.95270002</v>
      </c>
      <c r="G56" s="1006">
        <v>465147667.18529999</v>
      </c>
      <c r="H56" s="1136">
        <v>347329518.12</v>
      </c>
      <c r="I56" s="1234">
        <v>494184531.87719995</v>
      </c>
      <c r="J56" s="1282">
        <v>690570654.48909998</v>
      </c>
      <c r="K56" s="230">
        <f>Price!K56*Delivery!K56*'Revenue (Baht)'!K$11</f>
        <v>0</v>
      </c>
      <c r="L56" s="230">
        <f>Price!L56*Delivery!L56*'Revenue (Baht)'!L$11</f>
        <v>0</v>
      </c>
      <c r="M56" s="230">
        <f>Price!M56*Delivery!M56*'Revenue (Baht)'!M$11</f>
        <v>0</v>
      </c>
      <c r="N56" s="230">
        <f>Price!N56*Delivery!N56*'Revenue (Baht)'!N$11</f>
        <v>0</v>
      </c>
      <c r="O56" s="230">
        <f>Price!O56*Delivery!O56*'Revenue (Baht)'!O$11</f>
        <v>0</v>
      </c>
      <c r="P56" s="230">
        <f>Price!P56*Delivery!P56*'Revenue (Baht)'!P$11</f>
        <v>0</v>
      </c>
      <c r="Q56" s="230">
        <f t="shared" si="66"/>
        <v>2946049647.4110003</v>
      </c>
      <c r="T56" s="760" t="s">
        <v>229</v>
      </c>
      <c r="U56" s="761" t="s">
        <v>538</v>
      </c>
      <c r="V56" s="762">
        <f t="shared" ref="V56:AG56" si="68">SUM(E83:E84)/10^6</f>
        <v>21.779856995799999</v>
      </c>
      <c r="W56" s="762">
        <f t="shared" si="68"/>
        <v>38.080664035400005</v>
      </c>
      <c r="X56" s="762">
        <f t="shared" si="68"/>
        <v>59.867324801000002</v>
      </c>
      <c r="Y56" s="762">
        <f t="shared" si="68"/>
        <v>59.847531334399996</v>
      </c>
      <c r="Z56" s="762">
        <f t="shared" si="68"/>
        <v>50.7807444922</v>
      </c>
      <c r="AA56" s="762">
        <f t="shared" si="68"/>
        <v>59.646106111000002</v>
      </c>
      <c r="AB56" s="762">
        <f t="shared" si="68"/>
        <v>51.278503789554023</v>
      </c>
      <c r="AC56" s="762">
        <f t="shared" si="68"/>
        <v>51.725401639726762</v>
      </c>
      <c r="AD56" s="762">
        <f t="shared" si="68"/>
        <v>52.152748459756275</v>
      </c>
      <c r="AE56" s="762">
        <f t="shared" si="68"/>
        <v>52.553538073279874</v>
      </c>
      <c r="AF56" s="762">
        <f t="shared" si="68"/>
        <v>53.011085132930177</v>
      </c>
      <c r="AG56" s="762">
        <f t="shared" si="68"/>
        <v>53.011085132930177</v>
      </c>
      <c r="AH56" s="763">
        <f t="shared" si="59"/>
        <v>603.7345899979772</v>
      </c>
    </row>
    <row r="57" spans="1:34" ht="23" customHeight="1">
      <c r="A57" s="866" t="str">
        <f>Table3[[#This Row],[Product]]</f>
        <v>LPG-P</v>
      </c>
      <c r="B57" s="829" t="s">
        <v>25</v>
      </c>
      <c r="C57" s="37" t="s">
        <v>55</v>
      </c>
      <c r="D57" s="689">
        <v>0</v>
      </c>
      <c r="E57" s="820">
        <v>0</v>
      </c>
      <c r="F57" s="971">
        <v>0</v>
      </c>
      <c r="G57" s="1006">
        <v>0</v>
      </c>
      <c r="H57" s="1136">
        <v>0</v>
      </c>
      <c r="I57" s="1234">
        <v>0</v>
      </c>
      <c r="J57" s="1282">
        <v>0</v>
      </c>
      <c r="K57" s="230">
        <f>Price!K57*Delivery!K57*'Revenue (Baht)'!K$11</f>
        <v>0</v>
      </c>
      <c r="L57" s="230">
        <f>Price!L57*Delivery!L57*'Revenue (Baht)'!L$11</f>
        <v>0</v>
      </c>
      <c r="M57" s="230">
        <f>Price!M57*Delivery!M57*'Revenue (Baht)'!M$11</f>
        <v>0</v>
      </c>
      <c r="N57" s="230">
        <f>Price!N57*Delivery!N57*'Revenue (Baht)'!N$11</f>
        <v>0</v>
      </c>
      <c r="O57" s="230">
        <f>Price!O57*Delivery!O57*'Revenue (Baht)'!O$11</f>
        <v>0</v>
      </c>
      <c r="P57" s="230">
        <f>Price!P57*Delivery!P57*'Revenue (Baht)'!P$11</f>
        <v>0</v>
      </c>
      <c r="Q57" s="230">
        <f t="shared" si="66"/>
        <v>0</v>
      </c>
      <c r="T57" s="760" t="s">
        <v>133</v>
      </c>
      <c r="U57" s="761" t="s">
        <v>276</v>
      </c>
      <c r="V57" s="762">
        <f t="shared" ref="V57:AG58" si="69">SUM(E89)/10^6</f>
        <v>0</v>
      </c>
      <c r="W57" s="762">
        <f t="shared" si="69"/>
        <v>0</v>
      </c>
      <c r="X57" s="762">
        <f t="shared" si="69"/>
        <v>0</v>
      </c>
      <c r="Y57" s="762">
        <f t="shared" si="69"/>
        <v>0</v>
      </c>
      <c r="Z57" s="762">
        <f t="shared" si="69"/>
        <v>0</v>
      </c>
      <c r="AA57" s="762">
        <f t="shared" si="69"/>
        <v>0</v>
      </c>
      <c r="AB57" s="762">
        <f t="shared" si="69"/>
        <v>0</v>
      </c>
      <c r="AC57" s="762">
        <f t="shared" si="69"/>
        <v>0</v>
      </c>
      <c r="AD57" s="762">
        <f t="shared" si="69"/>
        <v>0</v>
      </c>
      <c r="AE57" s="762">
        <f t="shared" si="69"/>
        <v>0</v>
      </c>
      <c r="AF57" s="762">
        <f t="shared" si="69"/>
        <v>0</v>
      </c>
      <c r="AG57" s="762">
        <f t="shared" si="69"/>
        <v>0</v>
      </c>
      <c r="AH57" s="763">
        <f t="shared" si="59"/>
        <v>0</v>
      </c>
    </row>
    <row r="58" spans="1:34" ht="23" customHeight="1">
      <c r="A58" s="866" t="str">
        <f>Table3[[#This Row],[Product]]</f>
        <v>LPG-P</v>
      </c>
      <c r="B58" s="830" t="s">
        <v>34</v>
      </c>
      <c r="C58" s="37" t="s">
        <v>56</v>
      </c>
      <c r="D58" s="689">
        <v>0</v>
      </c>
      <c r="E58" s="820">
        <v>0</v>
      </c>
      <c r="F58" s="971">
        <v>0</v>
      </c>
      <c r="G58" s="1006">
        <v>0</v>
      </c>
      <c r="H58" s="1136">
        <v>0</v>
      </c>
      <c r="I58" s="1234">
        <v>0</v>
      </c>
      <c r="J58" s="1282">
        <v>0</v>
      </c>
      <c r="K58" s="230">
        <f>Price!K58*Delivery!K58*'Revenue (Baht)'!K$11</f>
        <v>0</v>
      </c>
      <c r="L58" s="230">
        <f>Price!L58*Delivery!L58*'Revenue (Baht)'!L$11</f>
        <v>0</v>
      </c>
      <c r="M58" s="230">
        <f>Price!M58*Delivery!M58*'Revenue (Baht)'!M$11</f>
        <v>0</v>
      </c>
      <c r="N58" s="230">
        <f>Price!N58*Delivery!N58*'Revenue (Baht)'!N$11</f>
        <v>0</v>
      </c>
      <c r="O58" s="230">
        <f>Price!O58*Delivery!O58*'Revenue (Baht)'!O$11</f>
        <v>0</v>
      </c>
      <c r="P58" s="230">
        <f>Price!P58*Delivery!P58*'Revenue (Baht)'!P$11</f>
        <v>0</v>
      </c>
      <c r="Q58" s="230">
        <f t="shared" si="66"/>
        <v>0</v>
      </c>
      <c r="T58" s="760" t="s">
        <v>133</v>
      </c>
      <c r="U58" s="761" t="s">
        <v>538</v>
      </c>
      <c r="V58" s="762">
        <f t="shared" si="69"/>
        <v>0</v>
      </c>
      <c r="W58" s="762">
        <f t="shared" si="69"/>
        <v>0</v>
      </c>
      <c r="X58" s="762">
        <f t="shared" si="69"/>
        <v>0</v>
      </c>
      <c r="Y58" s="762">
        <f t="shared" si="69"/>
        <v>0</v>
      </c>
      <c r="Z58" s="762">
        <f t="shared" si="69"/>
        <v>0</v>
      </c>
      <c r="AA58" s="762">
        <f t="shared" si="69"/>
        <v>0</v>
      </c>
      <c r="AB58" s="762">
        <f t="shared" si="69"/>
        <v>0</v>
      </c>
      <c r="AC58" s="762">
        <f t="shared" si="69"/>
        <v>0</v>
      </c>
      <c r="AD58" s="762">
        <f t="shared" si="69"/>
        <v>0</v>
      </c>
      <c r="AE58" s="762">
        <f t="shared" si="69"/>
        <v>0</v>
      </c>
      <c r="AF58" s="762">
        <f t="shared" si="69"/>
        <v>0</v>
      </c>
      <c r="AG58" s="762">
        <f t="shared" si="69"/>
        <v>0</v>
      </c>
      <c r="AH58" s="763">
        <f t="shared" si="59"/>
        <v>0</v>
      </c>
    </row>
    <row r="59" spans="1:34" ht="23" customHeight="1">
      <c r="A59" s="866" t="str">
        <f>Table3[[#This Row],[Product]]</f>
        <v>LPG-P</v>
      </c>
      <c r="B59" s="829" t="s">
        <v>25</v>
      </c>
      <c r="C59" s="28" t="s">
        <v>57</v>
      </c>
      <c r="D59" s="689">
        <v>0</v>
      </c>
      <c r="E59" s="820">
        <v>0</v>
      </c>
      <c r="F59" s="971">
        <v>0</v>
      </c>
      <c r="G59" s="1006">
        <v>70449830</v>
      </c>
      <c r="H59" s="1136">
        <v>358326293.40000004</v>
      </c>
      <c r="I59" s="1234">
        <v>362737722.13999999</v>
      </c>
      <c r="J59" s="1282">
        <v>341143461.90000004</v>
      </c>
      <c r="K59" s="230">
        <f>Price!K59*Delivery!K59*'Revenue (Baht)'!K$11</f>
        <v>48600000</v>
      </c>
      <c r="L59" s="230">
        <f>Price!L59*Delivery!L59*'Revenue (Baht)'!L$11</f>
        <v>47925000</v>
      </c>
      <c r="M59" s="230">
        <f>Price!M59*Delivery!M59*'Revenue (Baht)'!M$11</f>
        <v>47025000</v>
      </c>
      <c r="N59" s="230">
        <f>Price!N59*Delivery!N59*'Revenue (Baht)'!N$11</f>
        <v>44550000</v>
      </c>
      <c r="O59" s="230">
        <f>Price!O59*Delivery!O59*'Revenue (Baht)'!O$11</f>
        <v>45000000</v>
      </c>
      <c r="P59" s="230">
        <f>Price!P59*Delivery!P59*'Revenue (Baht)'!P$11</f>
        <v>45675000</v>
      </c>
      <c r="Q59" s="230">
        <f t="shared" si="66"/>
        <v>1411432307.4400001</v>
      </c>
      <c r="T59" s="760" t="s">
        <v>230</v>
      </c>
      <c r="U59" s="761" t="s">
        <v>276</v>
      </c>
      <c r="V59" s="762">
        <f t="shared" ref="V59:AG60" si="70">SUM(E93)/10^6</f>
        <v>0</v>
      </c>
      <c r="W59" s="762">
        <f t="shared" si="70"/>
        <v>0</v>
      </c>
      <c r="X59" s="762">
        <f t="shared" si="70"/>
        <v>0</v>
      </c>
      <c r="Y59" s="762">
        <f t="shared" si="70"/>
        <v>0</v>
      </c>
      <c r="Z59" s="762">
        <f t="shared" si="70"/>
        <v>0</v>
      </c>
      <c r="AA59" s="762">
        <f t="shared" si="70"/>
        <v>0</v>
      </c>
      <c r="AB59" s="762">
        <f t="shared" si="70"/>
        <v>0</v>
      </c>
      <c r="AC59" s="762">
        <f t="shared" si="70"/>
        <v>0</v>
      </c>
      <c r="AD59" s="762">
        <f t="shared" si="70"/>
        <v>0</v>
      </c>
      <c r="AE59" s="762">
        <f t="shared" si="70"/>
        <v>0</v>
      </c>
      <c r="AF59" s="762">
        <f t="shared" si="70"/>
        <v>0</v>
      </c>
      <c r="AG59" s="762">
        <f t="shared" si="70"/>
        <v>0</v>
      </c>
      <c r="AH59" s="763">
        <f t="shared" si="59"/>
        <v>0</v>
      </c>
    </row>
    <row r="60" spans="1:34" ht="23" customHeight="1">
      <c r="A60" s="866" t="str">
        <f>Table3[[#This Row],[Product]]</f>
        <v>LPG-P</v>
      </c>
      <c r="B60" s="829" t="s">
        <v>25</v>
      </c>
      <c r="C60" s="28" t="s">
        <v>58</v>
      </c>
      <c r="D60" s="689">
        <v>0</v>
      </c>
      <c r="E60" s="820">
        <v>0</v>
      </c>
      <c r="F60" s="971">
        <v>0</v>
      </c>
      <c r="G60" s="1006">
        <v>0</v>
      </c>
      <c r="H60" s="1136">
        <v>0</v>
      </c>
      <c r="I60" s="1234">
        <v>0</v>
      </c>
      <c r="J60" s="1282">
        <v>0</v>
      </c>
      <c r="K60" s="230">
        <f>Table3[[#This Row],[ก.ค.-64]]*Table4[[#This Row],[ก.ค.-64]]*'Revenue (Baht)'!K$11</f>
        <v>0</v>
      </c>
      <c r="L60" s="230">
        <f>Table3[[#This Row],[ส.ค.-64]]*Table4[[#This Row],[ส.ค.-64]]*'Revenue (Baht)'!L$11</f>
        <v>0</v>
      </c>
      <c r="M60" s="230">
        <f>Table3[[#This Row],[ก.ย.-64]]*Table4[[#This Row],[ก.ย.-64]]*'Revenue (Baht)'!M$11</f>
        <v>0</v>
      </c>
      <c r="N60" s="230">
        <f>Table3[[#This Row],[ต.ค.-64]]*Table4[[#This Row],[ต.ค.-64]]*'Revenue (Baht)'!N$11</f>
        <v>0</v>
      </c>
      <c r="O60" s="230">
        <f>Table3[[#This Row],[พ.ย.-64]]*Table4[[#This Row],[พ.ย.-64]]*'Revenue (Baht)'!O$11</f>
        <v>0</v>
      </c>
      <c r="P60" s="230">
        <f>Table3[[#This Row],[ธ.ค.-64]]*Table4[[#This Row],[ธ.ค.-64]]*'Revenue (Baht)'!P$11</f>
        <v>0</v>
      </c>
      <c r="Q60" s="230">
        <f t="shared" si="66"/>
        <v>0</v>
      </c>
      <c r="T60" s="760" t="s">
        <v>230</v>
      </c>
      <c r="U60" s="761" t="s">
        <v>538</v>
      </c>
      <c r="V60" s="762">
        <f t="shared" si="70"/>
        <v>0</v>
      </c>
      <c r="W60" s="762">
        <f t="shared" si="70"/>
        <v>0</v>
      </c>
      <c r="X60" s="762">
        <f t="shared" si="70"/>
        <v>0</v>
      </c>
      <c r="Y60" s="762">
        <f t="shared" si="70"/>
        <v>0</v>
      </c>
      <c r="Z60" s="762">
        <f t="shared" si="70"/>
        <v>0</v>
      </c>
      <c r="AA60" s="762">
        <f t="shared" si="70"/>
        <v>0</v>
      </c>
      <c r="AB60" s="762">
        <f t="shared" si="70"/>
        <v>0</v>
      </c>
      <c r="AC60" s="762">
        <f t="shared" si="70"/>
        <v>0</v>
      </c>
      <c r="AD60" s="762">
        <f t="shared" si="70"/>
        <v>0</v>
      </c>
      <c r="AE60" s="762">
        <f t="shared" si="70"/>
        <v>0</v>
      </c>
      <c r="AF60" s="762">
        <f t="shared" si="70"/>
        <v>0</v>
      </c>
      <c r="AG60" s="762">
        <f t="shared" si="70"/>
        <v>0</v>
      </c>
      <c r="AH60" s="763">
        <f t="shared" si="59"/>
        <v>0</v>
      </c>
    </row>
    <row r="61" spans="1:34" ht="23" customHeight="1">
      <c r="A61" s="866" t="str">
        <f>Table3[[#This Row],[Product]]</f>
        <v>LPG-P</v>
      </c>
      <c r="B61" s="829" t="s">
        <v>25</v>
      </c>
      <c r="C61" s="28" t="s">
        <v>59</v>
      </c>
      <c r="D61" s="689">
        <v>0</v>
      </c>
      <c r="E61" s="820">
        <v>0</v>
      </c>
      <c r="F61" s="971">
        <v>0</v>
      </c>
      <c r="G61" s="1006">
        <v>0</v>
      </c>
      <c r="H61" s="1136">
        <v>0</v>
      </c>
      <c r="I61" s="1234">
        <v>0</v>
      </c>
      <c r="J61" s="1282">
        <v>0</v>
      </c>
      <c r="K61" s="230">
        <f>Table3[[#This Row],[ก.ค.-64]]*Table4[[#This Row],[ก.ค.-64]]*'Revenue (Baht)'!K$11</f>
        <v>0</v>
      </c>
      <c r="L61" s="230">
        <f>Table3[[#This Row],[ส.ค.-64]]*Table4[[#This Row],[ส.ค.-64]]*'Revenue (Baht)'!L$11</f>
        <v>0</v>
      </c>
      <c r="M61" s="230">
        <f>Table3[[#This Row],[ก.ย.-64]]*Table4[[#This Row],[ก.ย.-64]]*'Revenue (Baht)'!M$11</f>
        <v>0</v>
      </c>
      <c r="N61" s="230">
        <f>Table3[[#This Row],[ต.ค.-64]]*Table4[[#This Row],[ต.ค.-64]]*'Revenue (Baht)'!N$11</f>
        <v>0</v>
      </c>
      <c r="O61" s="230">
        <f>Table3[[#This Row],[พ.ย.-64]]*Table4[[#This Row],[พ.ย.-64]]*'Revenue (Baht)'!O$11</f>
        <v>0</v>
      </c>
      <c r="P61" s="230">
        <f>Table3[[#This Row],[ธ.ค.-64]]*Table4[[#This Row],[ธ.ค.-64]]*'Revenue (Baht)'!P$11</f>
        <v>0</v>
      </c>
      <c r="Q61" s="230">
        <f t="shared" si="66"/>
        <v>0</v>
      </c>
      <c r="T61" s="760" t="s">
        <v>231</v>
      </c>
      <c r="U61" s="761" t="s">
        <v>276</v>
      </c>
      <c r="V61" s="762">
        <f t="shared" ref="V61:AG64" si="71">SUM(E85)/10^6</f>
        <v>0</v>
      </c>
      <c r="W61" s="762">
        <f t="shared" si="71"/>
        <v>0</v>
      </c>
      <c r="X61" s="762">
        <f t="shared" si="71"/>
        <v>0</v>
      </c>
      <c r="Y61" s="762">
        <f t="shared" si="71"/>
        <v>0</v>
      </c>
      <c r="Z61" s="762">
        <f t="shared" si="71"/>
        <v>0</v>
      </c>
      <c r="AA61" s="762">
        <f t="shared" si="71"/>
        <v>0</v>
      </c>
      <c r="AB61" s="762">
        <f t="shared" si="71"/>
        <v>0</v>
      </c>
      <c r="AC61" s="762">
        <f t="shared" si="71"/>
        <v>0</v>
      </c>
      <c r="AD61" s="762">
        <f t="shared" si="71"/>
        <v>0</v>
      </c>
      <c r="AE61" s="762">
        <f t="shared" si="71"/>
        <v>0</v>
      </c>
      <c r="AF61" s="762">
        <f t="shared" si="71"/>
        <v>0</v>
      </c>
      <c r="AG61" s="762">
        <f t="shared" si="71"/>
        <v>0</v>
      </c>
      <c r="AH61" s="763">
        <f t="shared" si="59"/>
        <v>0</v>
      </c>
    </row>
    <row r="62" spans="1:34" ht="23" customHeight="1">
      <c r="A62" s="866" t="str">
        <f>Table3[[#This Row],[Product]]</f>
        <v>LPG-P</v>
      </c>
      <c r="B62" s="830" t="s">
        <v>34</v>
      </c>
      <c r="C62" s="28" t="s">
        <v>60</v>
      </c>
      <c r="D62" s="689">
        <v>0</v>
      </c>
      <c r="E62" s="820">
        <v>0</v>
      </c>
      <c r="F62" s="971">
        <v>265417270.43000001</v>
      </c>
      <c r="G62" s="1006">
        <v>0</v>
      </c>
      <c r="H62" s="1136">
        <v>87600000</v>
      </c>
      <c r="I62" s="1234">
        <v>130000000</v>
      </c>
      <c r="J62" s="1282">
        <v>0</v>
      </c>
      <c r="K62" s="230">
        <f>Table3[[#This Row],[ก.ค.-64]]*Table4[[#This Row],[ก.ค.-64]]*'Revenue (Baht)'!K$11</f>
        <v>0</v>
      </c>
      <c r="L62" s="230">
        <f>Table3[[#This Row],[ส.ค.-64]]*Table4[[#This Row],[ส.ค.-64]]*'Revenue (Baht)'!L$11</f>
        <v>0</v>
      </c>
      <c r="M62" s="230">
        <f>Table3[[#This Row],[ก.ย.-64]]*Table4[[#This Row],[ก.ย.-64]]*'Revenue (Baht)'!M$11</f>
        <v>0</v>
      </c>
      <c r="N62" s="230">
        <f>Table3[[#This Row],[ต.ค.-64]]*Table4[[#This Row],[ต.ค.-64]]*'Revenue (Baht)'!N$11</f>
        <v>0</v>
      </c>
      <c r="O62" s="230">
        <f>Table3[[#This Row],[พ.ย.-64]]*Table4[[#This Row],[พ.ย.-64]]*'Revenue (Baht)'!O$11</f>
        <v>0</v>
      </c>
      <c r="P62" s="230">
        <f>Table3[[#This Row],[ธ.ค.-64]]*Table4[[#This Row],[ธ.ค.-64]]*'Revenue (Baht)'!P$11</f>
        <v>0</v>
      </c>
      <c r="Q62" s="230">
        <f t="shared" si="66"/>
        <v>483017270.43000001</v>
      </c>
      <c r="T62" s="760" t="s">
        <v>231</v>
      </c>
      <c r="U62" s="761" t="s">
        <v>538</v>
      </c>
      <c r="V62" s="762">
        <f t="shared" si="71"/>
        <v>0</v>
      </c>
      <c r="W62" s="762">
        <f t="shared" si="71"/>
        <v>0</v>
      </c>
      <c r="X62" s="762">
        <f t="shared" si="71"/>
        <v>0</v>
      </c>
      <c r="Y62" s="762">
        <f t="shared" si="71"/>
        <v>0</v>
      </c>
      <c r="Z62" s="762">
        <f t="shared" si="71"/>
        <v>0</v>
      </c>
      <c r="AA62" s="762">
        <f t="shared" si="71"/>
        <v>0</v>
      </c>
      <c r="AB62" s="762">
        <f t="shared" si="71"/>
        <v>0</v>
      </c>
      <c r="AC62" s="762">
        <f t="shared" si="71"/>
        <v>0</v>
      </c>
      <c r="AD62" s="762">
        <f t="shared" si="71"/>
        <v>0</v>
      </c>
      <c r="AE62" s="762">
        <f t="shared" si="71"/>
        <v>0</v>
      </c>
      <c r="AF62" s="762">
        <f t="shared" si="71"/>
        <v>0</v>
      </c>
      <c r="AG62" s="762">
        <f t="shared" si="71"/>
        <v>0</v>
      </c>
      <c r="AH62" s="763">
        <f t="shared" si="59"/>
        <v>0</v>
      </c>
    </row>
    <row r="63" spans="1:34" ht="23" customHeight="1">
      <c r="A63" s="866" t="str">
        <f>Table3[[#This Row],[Product]]</f>
        <v>LPG-P</v>
      </c>
      <c r="B63" s="829" t="s">
        <v>25</v>
      </c>
      <c r="C63" s="28" t="s">
        <v>61</v>
      </c>
      <c r="D63" s="689">
        <v>0</v>
      </c>
      <c r="E63" s="820">
        <v>0</v>
      </c>
      <c r="F63" s="971">
        <v>0</v>
      </c>
      <c r="G63" s="1006">
        <v>0</v>
      </c>
      <c r="H63" s="1136">
        <v>0</v>
      </c>
      <c r="I63" s="1234">
        <v>0</v>
      </c>
      <c r="J63" s="1282">
        <v>0</v>
      </c>
      <c r="K63" s="230">
        <f>Price!K63*Delivery!K63*'Revenue (Baht)'!K$11</f>
        <v>0</v>
      </c>
      <c r="L63" s="230">
        <f>Price!L63*Delivery!L63*'Revenue (Baht)'!L$11</f>
        <v>0</v>
      </c>
      <c r="M63" s="230">
        <f>Price!M63*Delivery!M63*'Revenue (Baht)'!M$11</f>
        <v>0</v>
      </c>
      <c r="N63" s="230">
        <f>Price!N63*Delivery!N63*'Revenue (Baht)'!N$11</f>
        <v>0</v>
      </c>
      <c r="O63" s="230">
        <f>Price!O63*Delivery!O63*'Revenue (Baht)'!O$11</f>
        <v>0</v>
      </c>
      <c r="P63" s="230">
        <f>Price!P63*Delivery!P63*'Revenue (Baht)'!P$11</f>
        <v>0</v>
      </c>
      <c r="Q63" s="230">
        <f t="shared" si="66"/>
        <v>0</v>
      </c>
      <c r="T63" s="760" t="s">
        <v>232</v>
      </c>
      <c r="U63" s="761" t="s">
        <v>276</v>
      </c>
      <c r="V63" s="762">
        <f t="shared" si="71"/>
        <v>0</v>
      </c>
      <c r="W63" s="762">
        <f t="shared" si="71"/>
        <v>0</v>
      </c>
      <c r="X63" s="762">
        <f t="shared" si="71"/>
        <v>0</v>
      </c>
      <c r="Y63" s="762">
        <f t="shared" si="71"/>
        <v>0</v>
      </c>
      <c r="Z63" s="762">
        <f t="shared" si="71"/>
        <v>0</v>
      </c>
      <c r="AA63" s="762">
        <f t="shared" si="71"/>
        <v>0</v>
      </c>
      <c r="AB63" s="762">
        <f t="shared" si="71"/>
        <v>0</v>
      </c>
      <c r="AC63" s="762">
        <f t="shared" si="71"/>
        <v>0</v>
      </c>
      <c r="AD63" s="762">
        <f t="shared" si="71"/>
        <v>0</v>
      </c>
      <c r="AE63" s="762">
        <f t="shared" si="71"/>
        <v>0</v>
      </c>
      <c r="AF63" s="762">
        <f t="shared" si="71"/>
        <v>0</v>
      </c>
      <c r="AG63" s="762">
        <f t="shared" si="71"/>
        <v>0</v>
      </c>
      <c r="AH63" s="763">
        <f t="shared" si="59"/>
        <v>0</v>
      </c>
    </row>
    <row r="64" spans="1:34" ht="23" customHeight="1">
      <c r="A64" s="866" t="str">
        <f>Table3[[#This Row],[Product]]</f>
        <v>LPG-P</v>
      </c>
      <c r="B64" s="830" t="s">
        <v>25</v>
      </c>
      <c r="C64" s="28" t="s">
        <v>62</v>
      </c>
      <c r="D64" s="689">
        <v>0</v>
      </c>
      <c r="E64" s="820">
        <v>0</v>
      </c>
      <c r="F64" s="971">
        <v>0</v>
      </c>
      <c r="G64" s="1006">
        <v>0</v>
      </c>
      <c r="H64" s="1136">
        <v>0</v>
      </c>
      <c r="I64" s="1234">
        <v>0</v>
      </c>
      <c r="J64" s="1282">
        <v>0</v>
      </c>
      <c r="K64" s="230">
        <f>Price!K64*Delivery!K64*'Revenue (Baht)'!K$11</f>
        <v>0</v>
      </c>
      <c r="L64" s="230">
        <f>Price!L64*Delivery!L64*'Revenue (Baht)'!L$11</f>
        <v>0</v>
      </c>
      <c r="M64" s="230">
        <f>Price!M64*Delivery!M64*'Revenue (Baht)'!M$11</f>
        <v>0</v>
      </c>
      <c r="N64" s="230">
        <f>Price!N64*Delivery!N64*'Revenue (Baht)'!N$11</f>
        <v>0</v>
      </c>
      <c r="O64" s="230">
        <f>Price!O64*Delivery!O64*'Revenue (Baht)'!O$11</f>
        <v>0</v>
      </c>
      <c r="P64" s="230">
        <f>Price!P64*Delivery!P64*'Revenue (Baht)'!P$11</f>
        <v>0</v>
      </c>
      <c r="Q64" s="230">
        <f t="shared" si="66"/>
        <v>0</v>
      </c>
      <c r="T64" s="760" t="s">
        <v>232</v>
      </c>
      <c r="U64" s="761" t="s">
        <v>538</v>
      </c>
      <c r="V64" s="762">
        <f t="shared" si="71"/>
        <v>0</v>
      </c>
      <c r="W64" s="762">
        <f t="shared" si="71"/>
        <v>0</v>
      </c>
      <c r="X64" s="762">
        <f t="shared" si="71"/>
        <v>0</v>
      </c>
      <c r="Y64" s="762">
        <f t="shared" si="71"/>
        <v>0</v>
      </c>
      <c r="Z64" s="762">
        <f t="shared" si="71"/>
        <v>0</v>
      </c>
      <c r="AA64" s="762">
        <f t="shared" si="71"/>
        <v>0</v>
      </c>
      <c r="AB64" s="762">
        <f t="shared" si="71"/>
        <v>0</v>
      </c>
      <c r="AC64" s="762">
        <f t="shared" si="71"/>
        <v>0</v>
      </c>
      <c r="AD64" s="762">
        <f t="shared" si="71"/>
        <v>0</v>
      </c>
      <c r="AE64" s="762">
        <f t="shared" si="71"/>
        <v>0</v>
      </c>
      <c r="AF64" s="762">
        <f t="shared" si="71"/>
        <v>0</v>
      </c>
      <c r="AG64" s="762">
        <f t="shared" si="71"/>
        <v>0</v>
      </c>
      <c r="AH64" s="763">
        <f t="shared" si="59"/>
        <v>0</v>
      </c>
    </row>
    <row r="65" spans="1:35" ht="23" customHeight="1" thickBot="1">
      <c r="A65" s="866" t="str">
        <f>Table3[[#This Row],[Product]]</f>
        <v>LPG-P</v>
      </c>
      <c r="B65" s="829" t="s">
        <v>25</v>
      </c>
      <c r="C65" s="28" t="s">
        <v>63</v>
      </c>
      <c r="D65" s="689">
        <v>0</v>
      </c>
      <c r="E65" s="820">
        <v>0</v>
      </c>
      <c r="F65" s="971">
        <v>0</v>
      </c>
      <c r="G65" s="1006">
        <v>0</v>
      </c>
      <c r="H65" s="1136">
        <v>0</v>
      </c>
      <c r="I65" s="1234">
        <v>0</v>
      </c>
      <c r="J65" s="1282">
        <v>0</v>
      </c>
      <c r="K65" s="230">
        <f>Price!K65*Delivery!K65*'Revenue (Baht)'!K$11</f>
        <v>0</v>
      </c>
      <c r="L65" s="230">
        <f>Price!L65*Delivery!L65*'Revenue (Baht)'!L$11</f>
        <v>0</v>
      </c>
      <c r="M65" s="230">
        <f>Price!M65*Delivery!M65*'Revenue (Baht)'!M$11</f>
        <v>0</v>
      </c>
      <c r="N65" s="230">
        <f>Price!N65*Delivery!N65*'Revenue (Baht)'!N$11</f>
        <v>0</v>
      </c>
      <c r="O65" s="230">
        <f>Price!O65*Delivery!O65*'Revenue (Baht)'!O$11</f>
        <v>0</v>
      </c>
      <c r="P65" s="230">
        <f>Price!P65*Delivery!P65*'Revenue (Baht)'!P$11</f>
        <v>0</v>
      </c>
      <c r="Q65" s="230">
        <f t="shared" si="66"/>
        <v>0</v>
      </c>
      <c r="T65" s="764" t="s">
        <v>177</v>
      </c>
      <c r="U65" s="765" t="s">
        <v>568</v>
      </c>
      <c r="V65" s="766">
        <f>SUM(V44:V64)</f>
        <v>2320.306954775881</v>
      </c>
      <c r="W65" s="766">
        <f t="shared" ref="W65:AG65" si="72">SUM(W44:W64)</f>
        <v>1882.3064041038001</v>
      </c>
      <c r="X65" s="766">
        <f t="shared" si="72"/>
        <v>2388.9589391343961</v>
      </c>
      <c r="Y65" s="766">
        <f t="shared" si="72"/>
        <v>2052.498669160595</v>
      </c>
      <c r="Z65" s="766">
        <f t="shared" si="72"/>
        <v>2127.870440451326</v>
      </c>
      <c r="AA65" s="766">
        <f t="shared" si="72"/>
        <v>2206.5791557171783</v>
      </c>
      <c r="AB65" s="766">
        <f t="shared" si="72"/>
        <v>2433.9201821350448</v>
      </c>
      <c r="AC65" s="766">
        <f t="shared" si="72"/>
        <v>2038.1775277140234</v>
      </c>
      <c r="AD65" s="766">
        <f t="shared" si="72"/>
        <v>2033.8731302260105</v>
      </c>
      <c r="AE65" s="766">
        <f t="shared" si="72"/>
        <v>2062.0917503192991</v>
      </c>
      <c r="AF65" s="766">
        <f t="shared" si="72"/>
        <v>2075.516089728399</v>
      </c>
      <c r="AG65" s="766">
        <f t="shared" si="72"/>
        <v>2101.5141023039901</v>
      </c>
      <c r="AH65" s="767">
        <f>SUM(V65:AG65)</f>
        <v>25723.613345769943</v>
      </c>
    </row>
    <row r="66" spans="1:35" ht="23" customHeight="1">
      <c r="A66" s="866" t="str">
        <f>Table3[[#This Row],[Product]]</f>
        <v>LPG-P</v>
      </c>
      <c r="B66" s="830" t="s">
        <v>34</v>
      </c>
      <c r="C66" s="28" t="s">
        <v>64</v>
      </c>
      <c r="D66" s="689">
        <v>0</v>
      </c>
      <c r="E66" s="820">
        <v>0</v>
      </c>
      <c r="F66" s="971">
        <v>0</v>
      </c>
      <c r="G66" s="1006">
        <v>0</v>
      </c>
      <c r="H66" s="1136">
        <v>0</v>
      </c>
      <c r="I66" s="1234">
        <v>0</v>
      </c>
      <c r="J66" s="1282">
        <v>0</v>
      </c>
      <c r="K66" s="230">
        <f>Price!K66*Delivery!K66*'Revenue (Baht)'!K$11</f>
        <v>0</v>
      </c>
      <c r="L66" s="230">
        <f>Price!L66*Delivery!L66*'Revenue (Baht)'!L$11</f>
        <v>0</v>
      </c>
      <c r="M66" s="230">
        <f>Price!M66*Delivery!M66*'Revenue (Baht)'!M$11</f>
        <v>0</v>
      </c>
      <c r="N66" s="230">
        <f>Price!N66*Delivery!N66*'Revenue (Baht)'!N$11</f>
        <v>0</v>
      </c>
      <c r="O66" s="230">
        <f>Price!O66*Delivery!O66*'Revenue (Baht)'!O$11</f>
        <v>0</v>
      </c>
      <c r="P66" s="230">
        <f>Price!P66*Delivery!P66*'Revenue (Baht)'!P$11</f>
        <v>0</v>
      </c>
      <c r="Q66" s="230">
        <f t="shared" si="66"/>
        <v>0</v>
      </c>
      <c r="T66" s="755" t="s">
        <v>71</v>
      </c>
      <c r="U66" s="755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  <c r="AF66" s="753"/>
      <c r="AG66" s="753"/>
      <c r="AH66" s="753"/>
    </row>
    <row r="67" spans="1:35" ht="23" customHeight="1">
      <c r="A67" s="866" t="str">
        <f>Table3[[#This Row],[Product]]</f>
        <v>LPG-P</v>
      </c>
      <c r="B67" s="830"/>
      <c r="C67" s="33" t="s">
        <v>35</v>
      </c>
      <c r="D67" s="803">
        <f>SUM(D53:D58)</f>
        <v>463945554.01260006</v>
      </c>
      <c r="E67" s="822">
        <f t="shared" ref="E67:P67" si="73">SUM(E53:E58)</f>
        <v>616681091.53530002</v>
      </c>
      <c r="F67" s="822">
        <f t="shared" si="73"/>
        <v>415624274.74720001</v>
      </c>
      <c r="G67" s="822">
        <f t="shared" si="73"/>
        <v>631170601.94140005</v>
      </c>
      <c r="H67" s="1049">
        <f t="shared" si="73"/>
        <v>385916113.62</v>
      </c>
      <c r="I67" s="822">
        <f>SUM(I53:I58)</f>
        <v>652133795.45039988</v>
      </c>
      <c r="J67" s="822">
        <f t="shared" si="73"/>
        <v>770661245.16589999</v>
      </c>
      <c r="K67" s="230">
        <f t="shared" si="73"/>
        <v>1319354204.5352728</v>
      </c>
      <c r="L67" s="230">
        <f t="shared" si="73"/>
        <v>669761826.85645175</v>
      </c>
      <c r="M67" s="230">
        <f t="shared" si="73"/>
        <v>656826067.71070385</v>
      </c>
      <c r="N67" s="230">
        <f t="shared" si="73"/>
        <v>639713213.83112216</v>
      </c>
      <c r="O67" s="230">
        <f t="shared" si="73"/>
        <v>635711267.50653732</v>
      </c>
      <c r="P67" s="230">
        <f t="shared" si="73"/>
        <v>670511052.88904524</v>
      </c>
      <c r="Q67" s="230">
        <f t="shared" si="66"/>
        <v>8064064755.7893333</v>
      </c>
      <c r="T67" s="147" t="s">
        <v>218</v>
      </c>
      <c r="U67" s="147"/>
      <c r="V67" s="705">
        <f t="shared" ref="V67:AG67" si="74">E135</f>
        <v>370576178.1936</v>
      </c>
      <c r="W67" s="705">
        <f t="shared" si="74"/>
        <v>410035722.31299996</v>
      </c>
      <c r="X67" s="705">
        <f t="shared" si="74"/>
        <v>471928074.72480005</v>
      </c>
      <c r="Y67" s="705">
        <f t="shared" si="74"/>
        <v>336135813.12639999</v>
      </c>
      <c r="Z67" s="705">
        <f t="shared" si="74"/>
        <v>489020038.23399997</v>
      </c>
      <c r="AA67" s="705">
        <f t="shared" si="74"/>
        <v>441922197.55000001</v>
      </c>
      <c r="AB67" s="705">
        <f t="shared" si="74"/>
        <v>337257000</v>
      </c>
      <c r="AC67" s="705">
        <f t="shared" si="74"/>
        <v>409411200.00000006</v>
      </c>
      <c r="AD67" s="705">
        <f t="shared" si="74"/>
        <v>347272500</v>
      </c>
      <c r="AE67" s="705">
        <f t="shared" si="74"/>
        <v>310120800</v>
      </c>
      <c r="AF67" s="705">
        <f t="shared" si="74"/>
        <v>369043050.00000006</v>
      </c>
      <c r="AG67" s="705">
        <f t="shared" si="74"/>
        <v>378327600</v>
      </c>
      <c r="AH67" s="705">
        <f>SUM(V67:AG67)</f>
        <v>4671050174.1417999</v>
      </c>
    </row>
    <row r="68" spans="1:35" ht="23" customHeight="1">
      <c r="A68" s="866" t="str">
        <f>Table3[[#This Row],[Product]]</f>
        <v>LPG-P</v>
      </c>
      <c r="B68" s="830"/>
      <c r="C68" s="33" t="s">
        <v>36</v>
      </c>
      <c r="D68" s="803">
        <f>SUM(D59:D66)</f>
        <v>0</v>
      </c>
      <c r="E68" s="822">
        <f t="shared" ref="E68:P68" si="75">SUM(E59:E66)</f>
        <v>0</v>
      </c>
      <c r="F68" s="822">
        <f t="shared" si="75"/>
        <v>265417270.43000001</v>
      </c>
      <c r="G68" s="822">
        <f t="shared" si="75"/>
        <v>70449830</v>
      </c>
      <c r="H68" s="1049">
        <f t="shared" si="75"/>
        <v>445926293.40000004</v>
      </c>
      <c r="I68" s="822">
        <f>SUM(I59:I66)</f>
        <v>492737722.13999999</v>
      </c>
      <c r="J68" s="822">
        <f t="shared" si="75"/>
        <v>341143461.90000004</v>
      </c>
      <c r="K68" s="230">
        <f t="shared" si="75"/>
        <v>48600000</v>
      </c>
      <c r="L68" s="230">
        <f t="shared" si="75"/>
        <v>47925000</v>
      </c>
      <c r="M68" s="230">
        <f t="shared" si="75"/>
        <v>47025000</v>
      </c>
      <c r="N68" s="230">
        <f t="shared" si="75"/>
        <v>44550000</v>
      </c>
      <c r="O68" s="230">
        <f t="shared" si="75"/>
        <v>45000000</v>
      </c>
      <c r="P68" s="230">
        <f t="shared" si="75"/>
        <v>45675000</v>
      </c>
      <c r="Q68" s="230">
        <f t="shared" si="66"/>
        <v>1894449577.8700001</v>
      </c>
      <c r="T68" s="147" t="s">
        <v>220</v>
      </c>
      <c r="U68" s="147"/>
      <c r="V68" s="705">
        <f t="shared" ref="V68:AG68" si="76">SUM(E136:E137)</f>
        <v>448442364.94999999</v>
      </c>
      <c r="W68" s="705">
        <f t="shared" si="76"/>
        <v>431631514.27999997</v>
      </c>
      <c r="X68" s="705">
        <f t="shared" si="76"/>
        <v>505383558.81999999</v>
      </c>
      <c r="Y68" s="705">
        <f t="shared" si="76"/>
        <v>499118065.58999997</v>
      </c>
      <c r="Z68" s="705">
        <f t="shared" si="76"/>
        <v>524189114.82000005</v>
      </c>
      <c r="AA68" s="705">
        <f t="shared" si="76"/>
        <v>542780963.00999999</v>
      </c>
      <c r="AB68" s="705">
        <f t="shared" si="76"/>
        <v>400982076</v>
      </c>
      <c r="AC68" s="705">
        <f t="shared" si="76"/>
        <v>526554691.20000011</v>
      </c>
      <c r="AD68" s="705">
        <f t="shared" si="76"/>
        <v>500482800</v>
      </c>
      <c r="AE68" s="705">
        <f t="shared" si="76"/>
        <v>461839190.4000001</v>
      </c>
      <c r="AF68" s="705">
        <f t="shared" si="76"/>
        <v>492947856.00000006</v>
      </c>
      <c r="AG68" s="705">
        <f t="shared" si="76"/>
        <v>509761123.20000005</v>
      </c>
      <c r="AH68" s="705">
        <f>SUM(V68:AG68)</f>
        <v>5844113318.2699995</v>
      </c>
    </row>
    <row r="69" spans="1:35" ht="23" customHeight="1">
      <c r="A69" s="866" t="str">
        <f>Table3[[#This Row],[Product]]</f>
        <v>LPG-P</v>
      </c>
      <c r="B69" s="829"/>
      <c r="C69" s="33" t="s">
        <v>37</v>
      </c>
      <c r="D69" s="806">
        <f>SUM(D53:D66)</f>
        <v>463945554.01260006</v>
      </c>
      <c r="E69" s="950">
        <f>SUM(E53:E66)</f>
        <v>616681091.53530002</v>
      </c>
      <c r="F69" s="822">
        <f t="shared" ref="F69:P69" si="77">SUM(F53:F66)</f>
        <v>681041545.17720008</v>
      </c>
      <c r="G69" s="822">
        <f t="shared" si="77"/>
        <v>701620431.94140005</v>
      </c>
      <c r="H69" s="1049">
        <f t="shared" si="77"/>
        <v>831842407.01999998</v>
      </c>
      <c r="I69" s="822">
        <f t="shared" si="77"/>
        <v>1144871517.5903997</v>
      </c>
      <c r="J69" s="822">
        <f t="shared" si="77"/>
        <v>1111804707.0659001</v>
      </c>
      <c r="K69" s="230">
        <f t="shared" si="77"/>
        <v>1367954204.5352728</v>
      </c>
      <c r="L69" s="230">
        <f t="shared" si="77"/>
        <v>717686826.85645175</v>
      </c>
      <c r="M69" s="230">
        <f t="shared" si="77"/>
        <v>703851067.71070385</v>
      </c>
      <c r="N69" s="230">
        <f t="shared" si="77"/>
        <v>684263213.83112216</v>
      </c>
      <c r="O69" s="230">
        <f t="shared" si="77"/>
        <v>680711267.50653732</v>
      </c>
      <c r="P69" s="230">
        <f t="shared" si="77"/>
        <v>716186052.88904524</v>
      </c>
      <c r="Q69" s="230">
        <f t="shared" si="66"/>
        <v>9958514333.6593342</v>
      </c>
      <c r="T69" s="147" t="s">
        <v>233</v>
      </c>
      <c r="U69" s="147"/>
      <c r="V69" s="705">
        <f t="shared" ref="V69:AG69" si="78">SUM(E138:E140)</f>
        <v>15788502.3168</v>
      </c>
      <c r="W69" s="705">
        <f t="shared" si="78"/>
        <v>17711051.866900001</v>
      </c>
      <c r="X69" s="705">
        <f t="shared" si="78"/>
        <v>18953427.035700001</v>
      </c>
      <c r="Y69" s="705">
        <f t="shared" si="78"/>
        <v>19447884.709600002</v>
      </c>
      <c r="Z69" s="705">
        <f t="shared" si="78"/>
        <v>20732228.804000001</v>
      </c>
      <c r="AA69" s="705">
        <f t="shared" si="78"/>
        <v>22935975.2359</v>
      </c>
      <c r="AB69" s="705">
        <f t="shared" si="78"/>
        <v>39226618.313741378</v>
      </c>
      <c r="AC69" s="705">
        <f t="shared" si="78"/>
        <v>59961477.940628603</v>
      </c>
      <c r="AD69" s="705">
        <f t="shared" si="78"/>
        <v>39156555.587085746</v>
      </c>
      <c r="AE69" s="705">
        <f t="shared" si="78"/>
        <v>58605188.020628601</v>
      </c>
      <c r="AF69" s="705">
        <f t="shared" si="78"/>
        <v>38478410.627085738</v>
      </c>
      <c r="AG69" s="705">
        <f t="shared" si="78"/>
        <v>57767479.540628612</v>
      </c>
      <c r="AH69" s="705">
        <f>SUM(V69:AG69)</f>
        <v>408764799.99869871</v>
      </c>
    </row>
    <row r="70" spans="1:35" ht="23" customHeight="1">
      <c r="A70" s="867" t="str">
        <f>Table3[[#This Row],[Product]]</f>
        <v>LPG-D</v>
      </c>
      <c r="B70" s="829" t="s">
        <v>25</v>
      </c>
      <c r="C70" s="35" t="s">
        <v>87</v>
      </c>
      <c r="D70" s="689">
        <v>5323808.6300000008</v>
      </c>
      <c r="E70" s="689">
        <v>6831661.3499999996</v>
      </c>
      <c r="F70" s="715">
        <v>6524353.0299999993</v>
      </c>
      <c r="G70" s="1011">
        <v>7844209.3700000001</v>
      </c>
      <c r="H70" s="1130">
        <v>5788736.9099999992</v>
      </c>
      <c r="I70" s="1244">
        <v>12088810.570000002</v>
      </c>
      <c r="J70" s="1299">
        <v>12348191.590000004</v>
      </c>
      <c r="K70" s="230">
        <f>Price!K70*Delivery!K70*'Revenue (Baht)'!K$11</f>
        <v>12068901.901221402</v>
      </c>
      <c r="L70" s="230">
        <f>Price!L70*Delivery!L70*'Revenue (Baht)'!L$11</f>
        <v>13667194.142734658</v>
      </c>
      <c r="M70" s="230">
        <f>Price!M70*Delivery!M70*'Revenue (Baht)'!M$11</f>
        <v>12248986.905312875</v>
      </c>
      <c r="N70" s="230">
        <f>Price!N70*Delivery!N70*'Revenue (Baht)'!N$11</f>
        <v>12343119.369522775</v>
      </c>
      <c r="O70" s="230">
        <f>Price!O70*Delivery!O70*'Revenue (Baht)'!O$11</f>
        <v>10876487.291607479</v>
      </c>
      <c r="P70" s="230">
        <f>Price!P70*Delivery!P70*'Revenue (Baht)'!P$11</f>
        <v>10099595.342206944</v>
      </c>
      <c r="Q70" s="230">
        <f>SUM(E70:P70)</f>
        <v>122730247.77260615</v>
      </c>
      <c r="T70" s="147" t="s">
        <v>177</v>
      </c>
      <c r="U70" s="147"/>
      <c r="V70" s="705">
        <f>SUM(V67:V69)</f>
        <v>834807045.46039999</v>
      </c>
      <c r="W70" s="705">
        <f t="shared" ref="W70:AH70" si="79">SUM(W67:W69)</f>
        <v>859378288.4598999</v>
      </c>
      <c r="X70" s="705">
        <f t="shared" si="79"/>
        <v>996265060.58050001</v>
      </c>
      <c r="Y70" s="705">
        <f t="shared" si="79"/>
        <v>854701763.42599988</v>
      </c>
      <c r="Z70" s="705">
        <f t="shared" si="79"/>
        <v>1033941381.858</v>
      </c>
      <c r="AA70" s="705">
        <f t="shared" si="79"/>
        <v>1007639135.7959</v>
      </c>
      <c r="AB70" s="705">
        <f t="shared" si="79"/>
        <v>777465694.31374133</v>
      </c>
      <c r="AC70" s="705">
        <f t="shared" si="79"/>
        <v>995927369.14062881</v>
      </c>
      <c r="AD70" s="705">
        <f t="shared" si="79"/>
        <v>886911855.58708572</v>
      </c>
      <c r="AE70" s="705">
        <f t="shared" si="79"/>
        <v>830565178.42062867</v>
      </c>
      <c r="AF70" s="705">
        <f t="shared" si="79"/>
        <v>900469316.6270858</v>
      </c>
      <c r="AG70" s="705">
        <f t="shared" si="79"/>
        <v>945856202.74062872</v>
      </c>
      <c r="AH70" s="705">
        <f t="shared" si="79"/>
        <v>10923928292.4105</v>
      </c>
    </row>
    <row r="71" spans="1:35" ht="23" customHeight="1">
      <c r="A71" s="867" t="str">
        <f>Table3[[#This Row],[Product]]</f>
        <v>LPG-D</v>
      </c>
      <c r="B71" s="829" t="s">
        <v>25</v>
      </c>
      <c r="C71" s="35" t="s">
        <v>88</v>
      </c>
      <c r="D71" s="689">
        <v>479390346.32323599</v>
      </c>
      <c r="E71" s="689">
        <v>656076544.59959996</v>
      </c>
      <c r="F71" s="715">
        <v>244024969.05179998</v>
      </c>
      <c r="G71" s="1011">
        <v>274340703.93119997</v>
      </c>
      <c r="H71" s="1130">
        <v>212641536.7674</v>
      </c>
      <c r="I71" s="1244">
        <v>433603757.96819997</v>
      </c>
      <c r="J71" s="1299">
        <v>429112833.96059996</v>
      </c>
      <c r="K71" s="230">
        <f>Price!K71*Delivery!K71*'Revenue (Baht)'!K$11</f>
        <v>0</v>
      </c>
      <c r="L71" s="230">
        <f>Price!L71*Delivery!L71*'Revenue (Baht)'!L$11</f>
        <v>397302512.70223916</v>
      </c>
      <c r="M71" s="230">
        <f>Price!M71*Delivery!M71*'Revenue (Baht)'!M$11</f>
        <v>230200344.08321249</v>
      </c>
      <c r="N71" s="230">
        <f>Price!N71*Delivery!N71*'Revenue (Baht)'!N$11</f>
        <v>237853292.22489476</v>
      </c>
      <c r="O71" s="230">
        <f>Price!O71*Delivery!O71*'Revenue (Baht)'!O$11</f>
        <v>214323770.38630277</v>
      </c>
      <c r="P71" s="230">
        <f>Price!P71*Delivery!P71*'Revenue (Baht)'!P$11</f>
        <v>306818585.66431874</v>
      </c>
      <c r="Q71" s="230">
        <f t="shared" ref="Q71:Q95" si="80">SUM(E71:P71)</f>
        <v>3636298851.3397679</v>
      </c>
      <c r="T71" s="44" t="s">
        <v>79</v>
      </c>
      <c r="U71" s="702"/>
      <c r="V71" s="705"/>
      <c r="W71" s="705"/>
      <c r="X71" s="705"/>
      <c r="Y71" s="705"/>
      <c r="Z71" s="705"/>
      <c r="AA71" s="705"/>
      <c r="AB71" s="705"/>
      <c r="AC71" s="705"/>
      <c r="AD71" s="705"/>
      <c r="AE71" s="705"/>
      <c r="AF71" s="705"/>
      <c r="AG71" s="705"/>
      <c r="AH71" s="705"/>
    </row>
    <row r="72" spans="1:35" ht="21.75" customHeight="1">
      <c r="A72" s="867" t="str">
        <f>Table3[[#This Row],[Product]]</f>
        <v>LPG-D</v>
      </c>
      <c r="B72" s="829" t="s">
        <v>25</v>
      </c>
      <c r="C72" s="35" t="s">
        <v>89</v>
      </c>
      <c r="D72" s="689">
        <v>0</v>
      </c>
      <c r="E72" s="689">
        <v>0</v>
      </c>
      <c r="F72" s="715">
        <v>0</v>
      </c>
      <c r="G72" s="1011">
        <v>0</v>
      </c>
      <c r="H72" s="1130">
        <v>0</v>
      </c>
      <c r="I72" s="1244">
        <v>0</v>
      </c>
      <c r="J72" s="1299">
        <v>0</v>
      </c>
      <c r="K72" s="230">
        <f>Price!K72*Delivery!K72*'Revenue (Baht)'!K$11</f>
        <v>782980793.29215193</v>
      </c>
      <c r="L72" s="230">
        <f>Price!L72*Delivery!L72*'Revenue (Baht)'!L$11</f>
        <v>343584198.76636833</v>
      </c>
      <c r="M72" s="230">
        <f>Price!M72*Delivery!M72*'Revenue (Baht)'!M$11</f>
        <v>494889764.71273625</v>
      </c>
      <c r="N72" s="230">
        <f>Price!N72*Delivery!N72*'Revenue (Baht)'!N$11</f>
        <v>486225628.34204495</v>
      </c>
      <c r="O72" s="230">
        <f>Price!O72*Delivery!O72*'Revenue (Baht)'!O$11</f>
        <v>528203070.34947461</v>
      </c>
      <c r="P72" s="230">
        <f>Price!P72*Delivery!P72*'Revenue (Baht)'!P$11</f>
        <v>440169225.29122883</v>
      </c>
      <c r="Q72" s="230">
        <f t="shared" si="80"/>
        <v>3076052680.7540045</v>
      </c>
      <c r="T72" s="147" t="s">
        <v>220</v>
      </c>
      <c r="U72" s="147"/>
      <c r="V72" s="705">
        <f t="shared" ref="V72:AH72" si="81">SUM(E145:E147)</f>
        <v>27682702.400000002</v>
      </c>
      <c r="W72" s="705">
        <f t="shared" si="81"/>
        <v>56245578.899999999</v>
      </c>
      <c r="X72" s="705">
        <f t="shared" si="81"/>
        <v>68177595.989999995</v>
      </c>
      <c r="Y72" s="705">
        <f t="shared" si="81"/>
        <v>61431282.359999999</v>
      </c>
      <c r="Z72" s="705">
        <f t="shared" si="81"/>
        <v>62533484.039999999</v>
      </c>
      <c r="AA72" s="705">
        <f t="shared" si="81"/>
        <v>64801356.300000004</v>
      </c>
      <c r="AB72" s="705">
        <f t="shared" si="81"/>
        <v>71921735.999999985</v>
      </c>
      <c r="AC72" s="705">
        <f t="shared" si="81"/>
        <v>71355254.400000006</v>
      </c>
      <c r="AD72" s="705">
        <f t="shared" si="81"/>
        <v>67618800</v>
      </c>
      <c r="AE72" s="705">
        <f t="shared" si="81"/>
        <v>69716073.600000009</v>
      </c>
      <c r="AF72" s="705">
        <f t="shared" si="81"/>
        <v>66429072.000000015</v>
      </c>
      <c r="AG72" s="705">
        <f t="shared" si="81"/>
        <v>68703638.399999991</v>
      </c>
      <c r="AH72" s="705">
        <f t="shared" si="81"/>
        <v>756616574.38999999</v>
      </c>
      <c r="AI72" s="705"/>
    </row>
    <row r="73" spans="1:35" ht="23" customHeight="1">
      <c r="A73" s="867" t="str">
        <f>Table3[[#This Row],[Product]]</f>
        <v>LPG-D</v>
      </c>
      <c r="B73" s="829" t="s">
        <v>25</v>
      </c>
      <c r="C73" s="35" t="s">
        <v>90</v>
      </c>
      <c r="D73" s="689">
        <v>863013474.26143098</v>
      </c>
      <c r="E73" s="689">
        <v>844022900.59000003</v>
      </c>
      <c r="F73" s="715">
        <v>779274173.51999998</v>
      </c>
      <c r="G73" s="1011">
        <v>863810037.62999976</v>
      </c>
      <c r="H73" s="1130">
        <v>742701970.57000005</v>
      </c>
      <c r="I73" s="1244">
        <v>748102984.70000017</v>
      </c>
      <c r="J73" s="1299">
        <v>752927635.64000034</v>
      </c>
      <c r="K73" s="230">
        <f>Price!K73*Delivery!K73*'Revenue (Baht)'!K$11</f>
        <v>734359420.1947937</v>
      </c>
      <c r="L73" s="230">
        <f>Price!L73*Delivery!L73*'Revenue (Baht)'!L$11</f>
        <v>751160128.72380936</v>
      </c>
      <c r="M73" s="230">
        <f>Price!M73*Delivery!M73*'Revenue (Baht)'!M$11</f>
        <v>737277652.8776747</v>
      </c>
      <c r="N73" s="230">
        <f>Price!N73*Delivery!N73*'Revenue (Baht)'!N$11</f>
        <v>755881827.20552921</v>
      </c>
      <c r="O73" s="230">
        <f>Price!O73*Delivery!O73*'Revenue (Baht)'!O$11</f>
        <v>753593065.4305613</v>
      </c>
      <c r="P73" s="230">
        <f>Price!P73*Delivery!P73*'Revenue (Baht)'!P$11</f>
        <v>774900898.6494025</v>
      </c>
      <c r="Q73" s="230">
        <f t="shared" si="80"/>
        <v>9238012695.7317715</v>
      </c>
    </row>
    <row r="74" spans="1:35" ht="27" customHeight="1">
      <c r="A74" s="867" t="str">
        <f>Table3[[#This Row],[Product]]</f>
        <v>LPG-D</v>
      </c>
      <c r="B74" s="829" t="s">
        <v>76</v>
      </c>
      <c r="C74" s="35" t="s">
        <v>91</v>
      </c>
      <c r="D74" s="689">
        <v>210943343.29978064</v>
      </c>
      <c r="E74" s="689">
        <v>153087179.7834</v>
      </c>
      <c r="F74" s="715">
        <v>94011140.150000006</v>
      </c>
      <c r="G74" s="1011">
        <v>185733156.47219998</v>
      </c>
      <c r="H74" s="1130">
        <v>205138053.89459997</v>
      </c>
      <c r="I74" s="1244">
        <v>212793095.19000003</v>
      </c>
      <c r="J74" s="1299">
        <v>170960800.71999994</v>
      </c>
      <c r="K74" s="230">
        <f>Price!K74*Delivery!K74*'Revenue (Baht)'!K$11</f>
        <v>114466577.62457258</v>
      </c>
      <c r="L74" s="230">
        <f>Price!L74*Delivery!L74*'Revenue (Baht)'!L$11</f>
        <v>161852699.34744281</v>
      </c>
      <c r="M74" s="230">
        <f>Price!M74*Delivery!M74*'Revenue (Baht)'!M$11</f>
        <v>185583661.76727608</v>
      </c>
      <c r="N74" s="230">
        <f>Price!N74*Delivery!N74*'Revenue (Baht)'!N$11</f>
        <v>193243518.9564538</v>
      </c>
      <c r="O74" s="230">
        <f>Price!O74*Delivery!O74*'Revenue (Baht)'!O$11</f>
        <v>188643953.6962409</v>
      </c>
      <c r="P74" s="230">
        <f>Price!P74*Delivery!P74*'Revenue (Baht)'!P$11</f>
        <v>189650054.78262088</v>
      </c>
      <c r="Q74" s="230">
        <f t="shared" si="80"/>
        <v>2055163892.3848071</v>
      </c>
      <c r="T74" s="712" t="s">
        <v>66</v>
      </c>
      <c r="U74" s="702"/>
    </row>
    <row r="75" spans="1:35" ht="27" customHeight="1">
      <c r="A75" s="867" t="str">
        <f>Table3[[#This Row],[Product]]</f>
        <v>LPG-D</v>
      </c>
      <c r="B75" s="829" t="s">
        <v>25</v>
      </c>
      <c r="C75" s="35" t="s">
        <v>92</v>
      </c>
      <c r="D75" s="689">
        <v>7440556.2517269533</v>
      </c>
      <c r="E75" s="689">
        <v>3558221.4819999998</v>
      </c>
      <c r="F75" s="715">
        <v>5330083.1900000004</v>
      </c>
      <c r="G75" s="1011">
        <v>7020727.5239999993</v>
      </c>
      <c r="H75" s="1130">
        <v>7027906.182</v>
      </c>
      <c r="I75" s="1244">
        <v>5588796.3999999994</v>
      </c>
      <c r="J75" s="1299">
        <v>7727895.7399999993</v>
      </c>
      <c r="K75" s="230">
        <f>Price!K75*Delivery!K75*'Revenue (Baht)'!K$11</f>
        <v>6011099.5140171796</v>
      </c>
      <c r="L75" s="230">
        <f>Price!L75*Delivery!L75*'Revenue (Baht)'!L$11</f>
        <v>6064521.3108689757</v>
      </c>
      <c r="M75" s="230">
        <f>Price!M75*Delivery!M75*'Revenue (Baht)'!M$11</f>
        <v>6114625.3954201667</v>
      </c>
      <c r="N75" s="230">
        <f>Price!N75*Delivery!N75*'Revenue (Baht)'!N$11</f>
        <v>6161615.7923110044</v>
      </c>
      <c r="O75" s="230">
        <f>Price!O75*Delivery!O75*'Revenue (Baht)'!O$11</f>
        <v>6216085.6803646116</v>
      </c>
      <c r="P75" s="230">
        <f>Price!P75*Delivery!P75*'Revenue (Baht)'!P$11</f>
        <v>6216085.6803646116</v>
      </c>
      <c r="Q75" s="230">
        <f t="shared" si="80"/>
        <v>73037663.891346544</v>
      </c>
      <c r="V75" s="43">
        <v>23377</v>
      </c>
      <c r="W75" s="43">
        <v>23408</v>
      </c>
      <c r="X75" s="43">
        <v>23437</v>
      </c>
      <c r="Y75" s="43">
        <v>23468</v>
      </c>
      <c r="Z75" s="43">
        <v>23498</v>
      </c>
      <c r="AA75" s="43">
        <v>23529</v>
      </c>
      <c r="AB75" s="43">
        <v>23559</v>
      </c>
      <c r="AC75" s="43">
        <v>23590</v>
      </c>
      <c r="AD75" s="43">
        <v>23621</v>
      </c>
      <c r="AE75" s="43">
        <v>23651</v>
      </c>
      <c r="AF75" s="43">
        <v>23682</v>
      </c>
      <c r="AG75" s="43">
        <v>23712</v>
      </c>
      <c r="AH75" s="526" t="s">
        <v>177</v>
      </c>
    </row>
    <row r="76" spans="1:35" ht="27" customHeight="1">
      <c r="A76" s="867" t="str">
        <f>Table3[[#This Row],[Product]]</f>
        <v>LPG-D</v>
      </c>
      <c r="B76" s="829" t="s">
        <v>25</v>
      </c>
      <c r="C76" s="35" t="s">
        <v>93</v>
      </c>
      <c r="D76" s="689">
        <v>94659194.092645913</v>
      </c>
      <c r="E76" s="689">
        <v>50461363.438200004</v>
      </c>
      <c r="F76" s="715">
        <v>168647599.6866</v>
      </c>
      <c r="G76" s="1011">
        <v>268297766.0214</v>
      </c>
      <c r="H76" s="1130">
        <v>231389886.22800002</v>
      </c>
      <c r="I76" s="1244">
        <v>230718254.0142</v>
      </c>
      <c r="J76" s="1299">
        <v>264096067.93260002</v>
      </c>
      <c r="K76" s="230">
        <f>Price!K76*Delivery!K76*'Revenue (Baht)'!K$11</f>
        <v>178911428.80970854</v>
      </c>
      <c r="L76" s="230">
        <f>Price!L76*Delivery!L76*'Revenue (Baht)'!L$11</f>
        <v>180517423.12688869</v>
      </c>
      <c r="M76" s="230">
        <f>Price!M76*Delivery!M76*'Revenue (Baht)'!M$11</f>
        <v>182008828.59282428</v>
      </c>
      <c r="N76" s="230">
        <f>Price!N76*Delivery!N76*'Revenue (Baht)'!N$11</f>
        <v>183407551.57912838</v>
      </c>
      <c r="O76" s="230">
        <f>Price!O76*Delivery!O76*'Revenue (Baht)'!O$11</f>
        <v>185041648.22073662</v>
      </c>
      <c r="P76" s="230">
        <f>Price!P76*Delivery!P76*'Revenue (Baht)'!P$11</f>
        <v>185041648.22073662</v>
      </c>
      <c r="Q76" s="230">
        <f t="shared" si="80"/>
        <v>2308539465.8710232</v>
      </c>
      <c r="T76" s="713" t="s">
        <v>134</v>
      </c>
      <c r="V76" s="705">
        <f t="shared" ref="V76:AG76" si="82">SUM(E97:E99,E101,E103:E105,E108:E115)</f>
        <v>267188297.01230183</v>
      </c>
      <c r="W76" s="705">
        <f t="shared" si="82"/>
        <v>208827371.43778923</v>
      </c>
      <c r="X76" s="705">
        <f t="shared" si="82"/>
        <v>0</v>
      </c>
      <c r="Y76" s="705">
        <f t="shared" si="82"/>
        <v>25858353.073800001</v>
      </c>
      <c r="Z76" s="705">
        <f t="shared" si="82"/>
        <v>0</v>
      </c>
      <c r="AA76" s="705">
        <f t="shared" si="82"/>
        <v>0</v>
      </c>
      <c r="AB76" s="705">
        <f t="shared" si="82"/>
        <v>0</v>
      </c>
      <c r="AC76" s="705">
        <f t="shared" si="82"/>
        <v>0</v>
      </c>
      <c r="AD76" s="705">
        <f t="shared" si="82"/>
        <v>0</v>
      </c>
      <c r="AE76" s="705">
        <f t="shared" si="82"/>
        <v>0</v>
      </c>
      <c r="AF76" s="705">
        <f t="shared" si="82"/>
        <v>0</v>
      </c>
      <c r="AG76" s="705">
        <f t="shared" si="82"/>
        <v>0</v>
      </c>
      <c r="AH76" s="705">
        <f>SUM(V76:AG76)</f>
        <v>501874021.52389109</v>
      </c>
    </row>
    <row r="77" spans="1:35" ht="27" customHeight="1">
      <c r="A77" s="867" t="str">
        <f>Table3[[#This Row],[Product]]</f>
        <v>LPG-D</v>
      </c>
      <c r="B77" s="829" t="s">
        <v>25</v>
      </c>
      <c r="C77" s="35" t="s">
        <v>95</v>
      </c>
      <c r="D77" s="689">
        <v>353282597.73999995</v>
      </c>
      <c r="E77" s="689">
        <v>349276701.10000002</v>
      </c>
      <c r="F77" s="715">
        <v>343738284.62000006</v>
      </c>
      <c r="G77" s="1011">
        <v>349726701.75999999</v>
      </c>
      <c r="H77" s="1130">
        <v>325630478.81</v>
      </c>
      <c r="I77" s="1244">
        <v>203747448.45519999</v>
      </c>
      <c r="J77" s="1299">
        <v>159419622.85079998</v>
      </c>
      <c r="K77" s="230">
        <f>Price!K77*Delivery!K77*'Revenue (Baht)'!K$11</f>
        <v>329537861.4228707</v>
      </c>
      <c r="L77" s="230">
        <f>Price!L77*Delivery!L77*'Revenue (Baht)'!L$11</f>
        <v>0</v>
      </c>
      <c r="M77" s="230">
        <f>Price!M77*Delivery!M77*'Revenue (Baht)'!M$11</f>
        <v>0</v>
      </c>
      <c r="N77" s="230">
        <f>Price!N77*Delivery!N77*'Revenue (Baht)'!N$11</f>
        <v>0</v>
      </c>
      <c r="O77" s="230">
        <f>Price!O77*Delivery!O77*'Revenue (Baht)'!O$11</f>
        <v>0</v>
      </c>
      <c r="P77" s="230">
        <f>Price!P77*Delivery!P77*'Revenue (Baht)'!P$11</f>
        <v>0</v>
      </c>
      <c r="Q77" s="230">
        <f t="shared" si="80"/>
        <v>2061077099.0188706</v>
      </c>
      <c r="T77" s="713" t="s">
        <v>132</v>
      </c>
      <c r="V77" s="705">
        <f t="shared" ref="V77:AG77" si="83">SUM(E100,E106,E116)</f>
        <v>107436191.58221692</v>
      </c>
      <c r="W77" s="705">
        <f t="shared" si="83"/>
        <v>97425822.570192456</v>
      </c>
      <c r="X77" s="705">
        <f t="shared" si="83"/>
        <v>92141965.871103555</v>
      </c>
      <c r="Y77" s="705">
        <f t="shared" si="83"/>
        <v>77299256.140293762</v>
      </c>
      <c r="Z77" s="705">
        <f t="shared" si="83"/>
        <v>75084986.962526351</v>
      </c>
      <c r="AA77" s="705">
        <f t="shared" si="83"/>
        <v>66349026.688021749</v>
      </c>
      <c r="AB77" s="705">
        <f t="shared" si="83"/>
        <v>0</v>
      </c>
      <c r="AC77" s="705">
        <f t="shared" si="83"/>
        <v>0</v>
      </c>
      <c r="AD77" s="705">
        <f t="shared" si="83"/>
        <v>0</v>
      </c>
      <c r="AE77" s="705">
        <f t="shared" si="83"/>
        <v>0</v>
      </c>
      <c r="AF77" s="705">
        <f t="shared" si="83"/>
        <v>0</v>
      </c>
      <c r="AG77" s="705">
        <f t="shared" si="83"/>
        <v>0</v>
      </c>
      <c r="AH77" s="705">
        <f t="shared" ref="AH77:AH80" si="84">SUM(V77:AG77)</f>
        <v>515737249.8143549</v>
      </c>
    </row>
    <row r="78" spans="1:35" ht="27" customHeight="1">
      <c r="A78" s="867" t="str">
        <f>Table3[[#This Row],[Product]]</f>
        <v>LPG-D</v>
      </c>
      <c r="B78" s="829" t="s">
        <v>25</v>
      </c>
      <c r="C78" s="35" t="s">
        <v>96</v>
      </c>
      <c r="D78" s="689">
        <v>0</v>
      </c>
      <c r="E78" s="689">
        <v>0</v>
      </c>
      <c r="F78" s="715">
        <v>0</v>
      </c>
      <c r="G78" s="1011">
        <v>0</v>
      </c>
      <c r="H78" s="1130">
        <v>0</v>
      </c>
      <c r="I78" s="1244">
        <v>0</v>
      </c>
      <c r="J78" s="1299">
        <v>0</v>
      </c>
      <c r="K78" s="230">
        <f>Price!K78*Delivery!K78*'Revenue (Baht)'!K$11</f>
        <v>0</v>
      </c>
      <c r="L78" s="230">
        <f>Price!L78*Delivery!L78*'Revenue (Baht)'!L$11</f>
        <v>0</v>
      </c>
      <c r="M78" s="230">
        <f>Price!M78*Delivery!M78*'Revenue (Baht)'!M$11</f>
        <v>0</v>
      </c>
      <c r="N78" s="230">
        <f>Price!N78*Delivery!N78*'Revenue (Baht)'!N$11</f>
        <v>0</v>
      </c>
      <c r="O78" s="230">
        <f>Price!O78*Delivery!O78*'Revenue (Baht)'!O$11</f>
        <v>0</v>
      </c>
      <c r="P78" s="230">
        <f>Price!P78*Delivery!P78*'Revenue (Baht)'!P$11</f>
        <v>0</v>
      </c>
      <c r="Q78" s="230">
        <f t="shared" si="80"/>
        <v>0</v>
      </c>
      <c r="T78" s="713" t="s">
        <v>131</v>
      </c>
      <c r="V78" s="705">
        <f t="shared" ref="V78:AG78" si="85">SUM(E96)</f>
        <v>79769619.700000003</v>
      </c>
      <c r="W78" s="705">
        <f t="shared" si="85"/>
        <v>75555859.079999998</v>
      </c>
      <c r="X78" s="705">
        <f t="shared" si="85"/>
        <v>85475545.780000016</v>
      </c>
      <c r="Y78" s="705">
        <f t="shared" si="85"/>
        <v>84237141.089999989</v>
      </c>
      <c r="Z78" s="705">
        <f t="shared" si="85"/>
        <v>84823845.240000024</v>
      </c>
      <c r="AA78" s="705">
        <f t="shared" si="85"/>
        <v>86742323.019999996</v>
      </c>
      <c r="AB78" s="705">
        <f t="shared" si="85"/>
        <v>116015998.14250694</v>
      </c>
      <c r="AC78" s="705">
        <f t="shared" si="85"/>
        <v>115718174.37732694</v>
      </c>
      <c r="AD78" s="705">
        <f t="shared" si="85"/>
        <v>114482087.11289586</v>
      </c>
      <c r="AE78" s="705">
        <f t="shared" si="85"/>
        <v>110694228.86028303</v>
      </c>
      <c r="AF78" s="705">
        <f t="shared" si="85"/>
        <v>112582452.5109787</v>
      </c>
      <c r="AG78" s="705">
        <f t="shared" si="85"/>
        <v>115414787.98702216</v>
      </c>
      <c r="AH78" s="705">
        <f t="shared" si="84"/>
        <v>1181512062.9010136</v>
      </c>
    </row>
    <row r="79" spans="1:35" ht="27" customHeight="1">
      <c r="A79" s="867" t="str">
        <f>Table3[[#This Row],[Product]]</f>
        <v>LPG-D</v>
      </c>
      <c r="B79" s="829" t="s">
        <v>25</v>
      </c>
      <c r="C79" s="35" t="s">
        <v>98</v>
      </c>
      <c r="D79" s="689">
        <v>0</v>
      </c>
      <c r="E79" s="689">
        <v>0</v>
      </c>
      <c r="F79" s="715">
        <v>0</v>
      </c>
      <c r="G79" s="1011">
        <v>0</v>
      </c>
      <c r="H79" s="1130">
        <v>0</v>
      </c>
      <c r="I79" s="1244">
        <v>0</v>
      </c>
      <c r="J79" s="1299">
        <v>0</v>
      </c>
      <c r="K79" s="230">
        <f>Price!K79*Delivery!K79*'Revenue (Baht)'!K$11</f>
        <v>0</v>
      </c>
      <c r="L79" s="230">
        <f>Price!L79*Delivery!L79*'Revenue (Baht)'!L$11</f>
        <v>0</v>
      </c>
      <c r="M79" s="230">
        <f>Price!M79*Delivery!M79*'Revenue (Baht)'!M$11</f>
        <v>0</v>
      </c>
      <c r="N79" s="230">
        <f>Price!N79*Delivery!N79*'Revenue (Baht)'!N$11</f>
        <v>0</v>
      </c>
      <c r="O79" s="230">
        <f>Price!O79*Delivery!O79*'Revenue (Baht)'!O$11</f>
        <v>0</v>
      </c>
      <c r="P79" s="230">
        <f>Price!P79*Delivery!P79*'Revenue (Baht)'!P$11</f>
        <v>0</v>
      </c>
      <c r="Q79" s="230">
        <f t="shared" si="80"/>
        <v>0</v>
      </c>
      <c r="T79" s="713" t="s">
        <v>133</v>
      </c>
      <c r="V79" s="705">
        <f t="shared" ref="V79:AG79" si="86">SUM(E102,E107)</f>
        <v>0</v>
      </c>
      <c r="W79" s="705">
        <f t="shared" si="86"/>
        <v>33529390.409830723</v>
      </c>
      <c r="X79" s="705">
        <f t="shared" si="86"/>
        <v>16778966.069075283</v>
      </c>
      <c r="Y79" s="705">
        <f t="shared" si="86"/>
        <v>16822370.647911478</v>
      </c>
      <c r="Z79" s="705">
        <f t="shared" si="86"/>
        <v>16798059.650347553</v>
      </c>
      <c r="AA79" s="705">
        <f t="shared" si="86"/>
        <v>0</v>
      </c>
      <c r="AB79" s="705">
        <f t="shared" si="86"/>
        <v>22948863.787330076</v>
      </c>
      <c r="AC79" s="705">
        <f t="shared" si="86"/>
        <v>22889746.116694469</v>
      </c>
      <c r="AD79" s="705">
        <f t="shared" si="86"/>
        <v>22627336.982487913</v>
      </c>
      <c r="AE79" s="705">
        <f t="shared" si="86"/>
        <v>21839816.591539785</v>
      </c>
      <c r="AF79" s="705">
        <f t="shared" si="86"/>
        <v>22228740.103526536</v>
      </c>
      <c r="AG79" s="705">
        <f t="shared" si="86"/>
        <v>22812125.371506654</v>
      </c>
      <c r="AH79" s="705">
        <f t="shared" si="84"/>
        <v>219275415.73025045</v>
      </c>
    </row>
    <row r="80" spans="1:35" ht="27" customHeight="1">
      <c r="A80" s="867" t="str">
        <f>Table3[[#This Row],[Product]]</f>
        <v>LPG-D</v>
      </c>
      <c r="B80" s="829" t="s">
        <v>25</v>
      </c>
      <c r="C80" s="35" t="s">
        <v>99</v>
      </c>
      <c r="D80" s="689">
        <v>126343128.640838</v>
      </c>
      <c r="E80" s="689">
        <v>25936824.116881236</v>
      </c>
      <c r="F80" s="715">
        <v>0</v>
      </c>
      <c r="G80" s="1011">
        <v>141451729.42459616</v>
      </c>
      <c r="H80" s="1130">
        <v>84286295.454194754</v>
      </c>
      <c r="I80" s="1244">
        <v>105782357.72712611</v>
      </c>
      <c r="J80" s="1299">
        <v>164023596.54197824</v>
      </c>
      <c r="K80" s="230">
        <f>Price!K80*Delivery!K80*'Revenue (Baht)'!K$11</f>
        <v>131141789.21537656</v>
      </c>
      <c r="L80" s="230">
        <f>Price!L80*Delivery!L80*'Revenue (Baht)'!L$11</f>
        <v>132303447.95394477</v>
      </c>
      <c r="M80" s="230">
        <f>Price!M80*Delivery!M80*'Revenue (Baht)'!M$11</f>
        <v>133396517.43179753</v>
      </c>
      <c r="N80" s="230">
        <f>Price!N80*Delivery!N80*'Revenue (Baht)'!N$11</f>
        <v>134421658.77613413</v>
      </c>
      <c r="O80" s="230">
        <f>Price!O80*Delivery!O80*'Revenue (Baht)'!O$11</f>
        <v>135606923.54018062</v>
      </c>
      <c r="P80" s="230">
        <f>Price!P80*Delivery!P80*'Revenue (Baht)'!P$11</f>
        <v>135606923.54018062</v>
      </c>
      <c r="Q80" s="230">
        <f t="shared" si="80"/>
        <v>1323958063.7223909</v>
      </c>
      <c r="T80" s="147" t="s">
        <v>177</v>
      </c>
      <c r="V80" s="705">
        <f>SUM(V76:V79)</f>
        <v>454394108.29451877</v>
      </c>
      <c r="W80" s="705">
        <f>SUM(W76:W79)</f>
        <v>415338443.49781239</v>
      </c>
      <c r="X80" s="705">
        <f t="shared" ref="X80:AG80" si="87">SUM(X76:X79)</f>
        <v>194396477.72017884</v>
      </c>
      <c r="Y80" s="705">
        <f t="shared" si="87"/>
        <v>204217120.95200524</v>
      </c>
      <c r="Z80" s="705">
        <f t="shared" si="87"/>
        <v>176706891.85287395</v>
      </c>
      <c r="AA80" s="705">
        <f t="shared" si="87"/>
        <v>153091349.70802176</v>
      </c>
      <c r="AB80" s="705">
        <f t="shared" si="87"/>
        <v>138964861.92983702</v>
      </c>
      <c r="AC80" s="705">
        <f t="shared" si="87"/>
        <v>138607920.49402142</v>
      </c>
      <c r="AD80" s="705">
        <f t="shared" si="87"/>
        <v>137109424.09538376</v>
      </c>
      <c r="AE80" s="705">
        <f t="shared" si="87"/>
        <v>132534045.45182282</v>
      </c>
      <c r="AF80" s="705">
        <f t="shared" si="87"/>
        <v>134811192.61450523</v>
      </c>
      <c r="AG80" s="705">
        <f t="shared" si="87"/>
        <v>138226913.35852882</v>
      </c>
      <c r="AH80" s="705">
        <f t="shared" si="84"/>
        <v>2418398749.9695101</v>
      </c>
    </row>
    <row r="81" spans="1:33" ht="27" customHeight="1">
      <c r="A81" s="867" t="str">
        <f>Table3[[#This Row],[Product]]</f>
        <v>LPG-D</v>
      </c>
      <c r="B81" s="829" t="s">
        <v>25</v>
      </c>
      <c r="C81" s="35" t="s">
        <v>600</v>
      </c>
      <c r="D81" s="689"/>
      <c r="E81" s="689">
        <v>0</v>
      </c>
      <c r="F81" s="715">
        <v>35258938.76158762</v>
      </c>
      <c r="G81" s="1011">
        <v>0</v>
      </c>
      <c r="H81" s="1130">
        <v>0</v>
      </c>
      <c r="I81" s="1244">
        <v>0</v>
      </c>
      <c r="J81" s="1299">
        <v>0</v>
      </c>
      <c r="K81" s="230"/>
      <c r="L81" s="230"/>
      <c r="M81" s="230"/>
      <c r="N81" s="230"/>
      <c r="O81" s="230"/>
      <c r="P81" s="230"/>
      <c r="Q81" s="890"/>
    </row>
    <row r="82" spans="1:33" ht="27" customHeight="1">
      <c r="A82" s="867" t="str">
        <f>Table3[[#This Row],[Product]]</f>
        <v>LPG-D</v>
      </c>
      <c r="B82" s="829" t="s">
        <v>25</v>
      </c>
      <c r="C82" s="35" t="s">
        <v>102</v>
      </c>
      <c r="D82" s="689">
        <v>0</v>
      </c>
      <c r="E82" s="689">
        <v>0</v>
      </c>
      <c r="F82" s="715">
        <v>0</v>
      </c>
      <c r="G82" s="1011">
        <v>0</v>
      </c>
      <c r="H82" s="1130">
        <v>0</v>
      </c>
      <c r="I82" s="1244">
        <v>0</v>
      </c>
      <c r="J82" s="1299">
        <v>0</v>
      </c>
      <c r="K82" s="230">
        <f>Price!K82*Delivery!K82*'Revenue (Baht)'!K$11</f>
        <v>0</v>
      </c>
      <c r="L82" s="230">
        <f>Price!L82*Delivery!L82*'Revenue (Baht)'!L$11</f>
        <v>0</v>
      </c>
      <c r="M82" s="230">
        <f>Price!M82*Delivery!M82*'Revenue (Baht)'!M$11</f>
        <v>0</v>
      </c>
      <c r="N82" s="230">
        <f>Price!N82*Delivery!N82*'Revenue (Baht)'!N$11</f>
        <v>0</v>
      </c>
      <c r="O82" s="230">
        <f>Price!O82*Delivery!O82*'Revenue (Baht)'!O$11</f>
        <v>0</v>
      </c>
      <c r="P82" s="230">
        <f>Price!P82*Delivery!P82*'Revenue (Baht)'!P$11</f>
        <v>0</v>
      </c>
      <c r="Q82" s="230">
        <f t="shared" si="80"/>
        <v>0</v>
      </c>
    </row>
    <row r="83" spans="1:33" ht="27" customHeight="1">
      <c r="A83" s="867" t="str">
        <f>Table3[[#This Row],[Product]]</f>
        <v>LPG-D</v>
      </c>
      <c r="B83" s="829" t="s">
        <v>25</v>
      </c>
      <c r="C83" s="35" t="s">
        <v>103</v>
      </c>
      <c r="D83" s="689">
        <v>17177033.205400001</v>
      </c>
      <c r="E83" s="689">
        <v>10648595.2698</v>
      </c>
      <c r="F83" s="715">
        <v>26951393.921400003</v>
      </c>
      <c r="G83" s="1011">
        <v>42731637.410999998</v>
      </c>
      <c r="H83" s="1130">
        <v>42703308.464400001</v>
      </c>
      <c r="I83" s="1244">
        <v>34065998.5242</v>
      </c>
      <c r="J83" s="1299">
        <v>42732056.685000002</v>
      </c>
      <c r="K83" s="230">
        <f>Price!K83*Delivery!K83*'Revenue (Baht)'!K$11</f>
        <v>44074850.957686894</v>
      </c>
      <c r="L83" s="230">
        <f>Price!L83*Delivery!L83*'Revenue (Baht)'!L$11</f>
        <v>44457619.936838418</v>
      </c>
      <c r="M83" s="230">
        <f>Price!M83*Delivery!M83*'Revenue (Baht)'!M$11</f>
        <v>44824921.531486586</v>
      </c>
      <c r="N83" s="230">
        <f>Price!N83*Delivery!N83*'Revenue (Baht)'!N$11</f>
        <v>45169397.393400036</v>
      </c>
      <c r="O83" s="230">
        <f>Price!O83*Delivery!O83*'Revenue (Baht)'!O$11</f>
        <v>45561580.587386012</v>
      </c>
      <c r="P83" s="230">
        <f>Price!P83*Delivery!P83*'Revenue (Baht)'!P$11</f>
        <v>45561580.587386012</v>
      </c>
      <c r="Q83" s="230">
        <f t="shared" si="80"/>
        <v>469482941.26998389</v>
      </c>
      <c r="T83" t="s">
        <v>134</v>
      </c>
      <c r="V83" s="706">
        <f>V76/10^6</f>
        <v>267.18829701230186</v>
      </c>
      <c r="W83" s="706">
        <f>W76/10^6</f>
        <v>208.82737143778922</v>
      </c>
      <c r="X83" s="706">
        <f t="shared" ref="X83:AG83" si="88">X76/10^6</f>
        <v>0</v>
      </c>
      <c r="Y83" s="706">
        <f t="shared" si="88"/>
        <v>25.8583530738</v>
      </c>
      <c r="Z83" s="706">
        <f t="shared" si="88"/>
        <v>0</v>
      </c>
      <c r="AA83" s="706">
        <f t="shared" si="88"/>
        <v>0</v>
      </c>
      <c r="AB83" s="706">
        <f t="shared" si="88"/>
        <v>0</v>
      </c>
      <c r="AC83" s="706">
        <f t="shared" si="88"/>
        <v>0</v>
      </c>
      <c r="AD83" s="706">
        <f t="shared" si="88"/>
        <v>0</v>
      </c>
      <c r="AE83" s="706">
        <f t="shared" si="88"/>
        <v>0</v>
      </c>
      <c r="AF83" s="706">
        <f t="shared" si="88"/>
        <v>0</v>
      </c>
      <c r="AG83" s="706">
        <f t="shared" si="88"/>
        <v>0</v>
      </c>
    </row>
    <row r="84" spans="1:33" ht="27" customHeight="1">
      <c r="A84" s="867" t="str">
        <f>Table3[[#This Row],[Product]]</f>
        <v>LPG-D</v>
      </c>
      <c r="B84" s="829" t="s">
        <v>25</v>
      </c>
      <c r="C84" s="35" t="s">
        <v>104</v>
      </c>
      <c r="D84" s="689">
        <v>8595459.1799999997</v>
      </c>
      <c r="E84" s="689">
        <v>11131261.726</v>
      </c>
      <c r="F84" s="715">
        <v>11129270.114</v>
      </c>
      <c r="G84" s="1011">
        <v>17135687.390000001</v>
      </c>
      <c r="H84" s="1130">
        <v>17144222.870000001</v>
      </c>
      <c r="I84" s="1244">
        <v>16714745.967999998</v>
      </c>
      <c r="J84" s="1299">
        <v>16914049.425999999</v>
      </c>
      <c r="K84" s="230">
        <f>Price!K84*Delivery!K84*'Revenue (Baht)'!K$11</f>
        <v>7203652.8318671295</v>
      </c>
      <c r="L84" s="230">
        <f>Price!L84*Delivery!L84*'Revenue (Baht)'!L$11</f>
        <v>7267781.7028883444</v>
      </c>
      <c r="M84" s="230">
        <f>Price!M84*Delivery!M84*'Revenue (Baht)'!M$11</f>
        <v>7327826.9282696908</v>
      </c>
      <c r="N84" s="230">
        <f>Price!N84*Delivery!N84*'Revenue (Baht)'!N$11</f>
        <v>7384140.679879833</v>
      </c>
      <c r="O84" s="230">
        <f>Price!O84*Delivery!O84*'Revenue (Baht)'!O$11</f>
        <v>7449504.5455441615</v>
      </c>
      <c r="P84" s="230">
        <f>Price!P84*Delivery!P84*'Revenue (Baht)'!P$11</f>
        <v>7449504.5455441615</v>
      </c>
      <c r="Q84" s="230">
        <f t="shared" si="80"/>
        <v>134251648.72799331</v>
      </c>
      <c r="T84" t="s">
        <v>132</v>
      </c>
      <c r="V84" s="706">
        <f>V77/10^6</f>
        <v>107.43619158221692</v>
      </c>
      <c r="W84" s="706">
        <f t="shared" ref="W84:AG84" si="89">W77/10^6</f>
        <v>97.425822570192452</v>
      </c>
      <c r="X84" s="706">
        <f t="shared" si="89"/>
        <v>92.141965871103551</v>
      </c>
      <c r="Y84" s="706">
        <f t="shared" si="89"/>
        <v>77.299256140293764</v>
      </c>
      <c r="Z84" s="706">
        <f t="shared" si="89"/>
        <v>75.084986962526358</v>
      </c>
      <c r="AA84" s="706">
        <f t="shared" si="89"/>
        <v>66.349026688021752</v>
      </c>
      <c r="AB84" s="706">
        <f t="shared" si="89"/>
        <v>0</v>
      </c>
      <c r="AC84" s="706">
        <f t="shared" si="89"/>
        <v>0</v>
      </c>
      <c r="AD84" s="706">
        <f t="shared" si="89"/>
        <v>0</v>
      </c>
      <c r="AE84" s="706">
        <f t="shared" si="89"/>
        <v>0</v>
      </c>
      <c r="AF84" s="706">
        <f t="shared" si="89"/>
        <v>0</v>
      </c>
      <c r="AG84" s="706">
        <f t="shared" si="89"/>
        <v>0</v>
      </c>
    </row>
    <row r="85" spans="1:33" ht="27" customHeight="1">
      <c r="A85" s="867" t="str">
        <f>Table3[[#This Row],[Product]]</f>
        <v>LPG-D</v>
      </c>
      <c r="B85" s="829" t="s">
        <v>25</v>
      </c>
      <c r="C85" s="38" t="s">
        <v>105</v>
      </c>
      <c r="D85" s="689">
        <v>0</v>
      </c>
      <c r="E85" s="689">
        <v>0</v>
      </c>
      <c r="F85" s="715">
        <v>0</v>
      </c>
      <c r="G85" s="1011">
        <v>0</v>
      </c>
      <c r="H85" s="1130">
        <v>0</v>
      </c>
      <c r="I85" s="1244">
        <v>0</v>
      </c>
      <c r="J85" s="1299">
        <v>0</v>
      </c>
      <c r="K85" s="230">
        <f>Price!K85*Delivery!K85*'Revenue (Baht)'!K$11</f>
        <v>0</v>
      </c>
      <c r="L85" s="230">
        <f>Price!L85*Delivery!L85*'Revenue (Baht)'!L$11</f>
        <v>0</v>
      </c>
      <c r="M85" s="230">
        <f>Price!M85*Delivery!M85*'Revenue (Baht)'!M$11</f>
        <v>0</v>
      </c>
      <c r="N85" s="230">
        <f>Price!N85*Delivery!N85*'Revenue (Baht)'!N$11</f>
        <v>0</v>
      </c>
      <c r="O85" s="230">
        <f>Price!O85*Delivery!O85*'Revenue (Baht)'!O$11</f>
        <v>0</v>
      </c>
      <c r="P85" s="230">
        <f>Price!P85*Delivery!P85*'Revenue (Baht)'!P$11</f>
        <v>0</v>
      </c>
      <c r="Q85" s="230">
        <f t="shared" si="80"/>
        <v>0</v>
      </c>
      <c r="T85" t="s">
        <v>131</v>
      </c>
      <c r="V85" s="706">
        <f>V78/10^6</f>
        <v>79.769619700000007</v>
      </c>
      <c r="W85" s="706">
        <f t="shared" ref="W85:AG85" si="90">W78/10^6</f>
        <v>75.555859080000005</v>
      </c>
      <c r="X85" s="706">
        <f t="shared" si="90"/>
        <v>85.475545780000019</v>
      </c>
      <c r="Y85" s="706">
        <f t="shared" si="90"/>
        <v>84.237141089999994</v>
      </c>
      <c r="Z85" s="706">
        <f t="shared" si="90"/>
        <v>84.823845240000026</v>
      </c>
      <c r="AA85" s="706">
        <f t="shared" si="90"/>
        <v>86.742323020000001</v>
      </c>
      <c r="AB85" s="706">
        <f t="shared" si="90"/>
        <v>116.01599814250694</v>
      </c>
      <c r="AC85" s="706">
        <f t="shared" si="90"/>
        <v>115.71817437732693</v>
      </c>
      <c r="AD85" s="706">
        <f t="shared" si="90"/>
        <v>114.48208711289585</v>
      </c>
      <c r="AE85" s="706">
        <f t="shared" si="90"/>
        <v>110.69422886028303</v>
      </c>
      <c r="AF85" s="706">
        <f t="shared" si="90"/>
        <v>112.5824525109787</v>
      </c>
      <c r="AG85" s="706">
        <f t="shared" si="90"/>
        <v>115.41478798702217</v>
      </c>
    </row>
    <row r="86" spans="1:33" ht="27" customHeight="1">
      <c r="A86" s="867" t="str">
        <f>Table3[[#This Row],[Product]]</f>
        <v>LPG-D</v>
      </c>
      <c r="B86" s="829" t="s">
        <v>25</v>
      </c>
      <c r="C86" s="38" t="s">
        <v>106</v>
      </c>
      <c r="D86" s="689">
        <v>0</v>
      </c>
      <c r="E86" s="689">
        <v>0</v>
      </c>
      <c r="F86" s="715">
        <v>0</v>
      </c>
      <c r="G86" s="1011">
        <v>0</v>
      </c>
      <c r="H86" s="1130">
        <v>0</v>
      </c>
      <c r="I86" s="1244">
        <v>0</v>
      </c>
      <c r="J86" s="1299">
        <v>0</v>
      </c>
      <c r="K86" s="230">
        <f>Price!K86*Delivery!K86*'Revenue (Baht)'!K$11</f>
        <v>0</v>
      </c>
      <c r="L86" s="230">
        <f>Price!L86*Delivery!L86*'Revenue (Baht)'!L$11</f>
        <v>0</v>
      </c>
      <c r="M86" s="230">
        <f>Price!M86*Delivery!M86*'Revenue (Baht)'!M$11</f>
        <v>0</v>
      </c>
      <c r="N86" s="230">
        <f>Price!N86*Delivery!N86*'Revenue (Baht)'!N$11</f>
        <v>0</v>
      </c>
      <c r="O86" s="230">
        <f>Price!O86*Delivery!O86*'Revenue (Baht)'!O$11</f>
        <v>0</v>
      </c>
      <c r="P86" s="230">
        <f>Price!P86*Delivery!P86*'Revenue (Baht)'!P$11</f>
        <v>0</v>
      </c>
      <c r="Q86" s="230">
        <f t="shared" si="80"/>
        <v>0</v>
      </c>
      <c r="T86" t="s">
        <v>133</v>
      </c>
      <c r="V86" s="706">
        <f>V79/10^6</f>
        <v>0</v>
      </c>
      <c r="W86" s="706">
        <f t="shared" ref="W86:AG86" si="91">W79/10^6</f>
        <v>33.529390409830725</v>
      </c>
      <c r="X86" s="706">
        <f t="shared" si="91"/>
        <v>16.778966069075281</v>
      </c>
      <c r="Y86" s="706">
        <f t="shared" si="91"/>
        <v>16.822370647911477</v>
      </c>
      <c r="Z86" s="706">
        <f t="shared" si="91"/>
        <v>16.798059650347554</v>
      </c>
      <c r="AA86" s="706">
        <f t="shared" si="91"/>
        <v>0</v>
      </c>
      <c r="AB86" s="706">
        <f t="shared" si="91"/>
        <v>22.948863787330076</v>
      </c>
      <c r="AC86" s="706">
        <f t="shared" si="91"/>
        <v>22.889746116694468</v>
      </c>
      <c r="AD86" s="706">
        <f t="shared" si="91"/>
        <v>22.627336982487915</v>
      </c>
      <c r="AE86" s="706">
        <f t="shared" si="91"/>
        <v>21.839816591539787</v>
      </c>
      <c r="AF86" s="706">
        <f t="shared" si="91"/>
        <v>22.228740103526537</v>
      </c>
      <c r="AG86" s="706">
        <f t="shared" si="91"/>
        <v>22.812125371506653</v>
      </c>
    </row>
    <row r="87" spans="1:33" ht="27" customHeight="1">
      <c r="A87" s="867" t="str">
        <f>Table3[[#This Row],[Product]]</f>
        <v>LPG-D</v>
      </c>
      <c r="B87" s="829" t="s">
        <v>25</v>
      </c>
      <c r="C87" s="38" t="s">
        <v>107</v>
      </c>
      <c r="D87" s="689">
        <v>0</v>
      </c>
      <c r="E87" s="689">
        <v>0</v>
      </c>
      <c r="F87" s="715">
        <v>0</v>
      </c>
      <c r="G87" s="1011">
        <v>0</v>
      </c>
      <c r="H87" s="1130">
        <v>0</v>
      </c>
      <c r="I87" s="1244">
        <v>0</v>
      </c>
      <c r="J87" s="1299">
        <v>0</v>
      </c>
      <c r="K87" s="230">
        <f>Price!K87*Delivery!K87*'Revenue (Baht)'!K$11</f>
        <v>0</v>
      </c>
      <c r="L87" s="230">
        <f>Price!L87*Delivery!L87*'Revenue (Baht)'!L$11</f>
        <v>0</v>
      </c>
      <c r="M87" s="230">
        <f>Price!M87*Delivery!M87*'Revenue (Baht)'!M$11</f>
        <v>0</v>
      </c>
      <c r="N87" s="230">
        <f>Price!N87*Delivery!N87*'Revenue (Baht)'!N$11</f>
        <v>0</v>
      </c>
      <c r="O87" s="230">
        <f>Price!O87*Delivery!O87*'Revenue (Baht)'!O$11</f>
        <v>0</v>
      </c>
      <c r="P87" s="230">
        <f>Price!P87*Delivery!P87*'Revenue (Baht)'!P$11</f>
        <v>0</v>
      </c>
      <c r="Q87" s="230">
        <f t="shared" si="80"/>
        <v>0</v>
      </c>
    </row>
    <row r="88" spans="1:33" ht="27" customHeight="1">
      <c r="A88" s="867" t="str">
        <f>Table3[[#This Row],[Product]]</f>
        <v>LPG-D</v>
      </c>
      <c r="B88" s="829" t="s">
        <v>25</v>
      </c>
      <c r="C88" s="38" t="s">
        <v>108</v>
      </c>
      <c r="D88" s="689">
        <v>0</v>
      </c>
      <c r="E88" s="689">
        <v>0</v>
      </c>
      <c r="F88" s="715">
        <v>0</v>
      </c>
      <c r="G88" s="1011">
        <v>0</v>
      </c>
      <c r="H88" s="1130">
        <v>0</v>
      </c>
      <c r="I88" s="1244">
        <v>0</v>
      </c>
      <c r="J88" s="1299">
        <v>0</v>
      </c>
      <c r="K88" s="230">
        <f>Price!K88*Delivery!K88*'Revenue (Baht)'!K$11</f>
        <v>0</v>
      </c>
      <c r="L88" s="230">
        <f>Price!L88*Delivery!L88*'Revenue (Baht)'!L$11</f>
        <v>0</v>
      </c>
      <c r="M88" s="230">
        <f>Price!M88*Delivery!M88*'Revenue (Baht)'!M$11</f>
        <v>0</v>
      </c>
      <c r="N88" s="230">
        <f>Price!N88*Delivery!N88*'Revenue (Baht)'!N$11</f>
        <v>0</v>
      </c>
      <c r="O88" s="230">
        <f>Price!O88*Delivery!O88*'Revenue (Baht)'!O$11</f>
        <v>0</v>
      </c>
      <c r="P88" s="230">
        <f>Price!P88*Delivery!P88*'Revenue (Baht)'!P$11</f>
        <v>0</v>
      </c>
      <c r="Q88" s="230">
        <f t="shared" si="80"/>
        <v>0</v>
      </c>
    </row>
    <row r="89" spans="1:33" ht="27" customHeight="1">
      <c r="A89" s="867" t="str">
        <f>Table3[[#This Row],[Product]]</f>
        <v>LPG-D</v>
      </c>
      <c r="B89" s="829" t="s">
        <v>25</v>
      </c>
      <c r="C89" s="38" t="s">
        <v>109</v>
      </c>
      <c r="D89" s="689">
        <v>0</v>
      </c>
      <c r="E89" s="689">
        <v>0</v>
      </c>
      <c r="F89" s="715">
        <v>0</v>
      </c>
      <c r="G89" s="1011">
        <v>0</v>
      </c>
      <c r="H89" s="1130">
        <v>0</v>
      </c>
      <c r="I89" s="1244">
        <v>0</v>
      </c>
      <c r="J89" s="1299">
        <v>0</v>
      </c>
      <c r="K89" s="230">
        <f>Price!K89*Delivery!K89*'Revenue (Baht)'!K$11</f>
        <v>0</v>
      </c>
      <c r="L89" s="230">
        <f>Price!L89*Delivery!L89*'Revenue (Baht)'!L$11</f>
        <v>0</v>
      </c>
      <c r="M89" s="230">
        <f>Price!M89*Delivery!M89*'Revenue (Baht)'!M$11</f>
        <v>0</v>
      </c>
      <c r="N89" s="230">
        <f>Price!N89*Delivery!N89*'Revenue (Baht)'!N$11</f>
        <v>0</v>
      </c>
      <c r="O89" s="230">
        <f>Price!O89*Delivery!O89*'Revenue (Baht)'!O$11</f>
        <v>0</v>
      </c>
      <c r="P89" s="230">
        <f>Price!P89*Delivery!P89*'Revenue (Baht)'!P$11</f>
        <v>0</v>
      </c>
      <c r="Q89" s="230">
        <f t="shared" si="80"/>
        <v>0</v>
      </c>
    </row>
    <row r="90" spans="1:33" ht="27" customHeight="1">
      <c r="A90" s="867" t="str">
        <f>Table3[[#This Row],[Product]]</f>
        <v>LPG-D</v>
      </c>
      <c r="B90" s="829" t="s">
        <v>25</v>
      </c>
      <c r="C90" s="38" t="s">
        <v>110</v>
      </c>
      <c r="D90" s="689">
        <v>0</v>
      </c>
      <c r="E90" s="689">
        <v>0</v>
      </c>
      <c r="F90" s="715">
        <v>0</v>
      </c>
      <c r="G90" s="1011">
        <v>0</v>
      </c>
      <c r="H90" s="1130">
        <v>0</v>
      </c>
      <c r="I90" s="1244">
        <v>0</v>
      </c>
      <c r="J90" s="1299">
        <v>0</v>
      </c>
      <c r="K90" s="230">
        <f>Price!K90*Delivery!K90*'Revenue (Baht)'!K$11</f>
        <v>0</v>
      </c>
      <c r="L90" s="230">
        <f>Price!L90*Delivery!L90*'Revenue (Baht)'!L$11</f>
        <v>0</v>
      </c>
      <c r="M90" s="230">
        <f>Price!M90*Delivery!M90*'Revenue (Baht)'!M$11</f>
        <v>0</v>
      </c>
      <c r="N90" s="230">
        <f>Price!N90*Delivery!N90*'Revenue (Baht)'!N$11</f>
        <v>0</v>
      </c>
      <c r="O90" s="230">
        <f>Price!O90*Delivery!O90*'Revenue (Baht)'!O$11</f>
        <v>0</v>
      </c>
      <c r="P90" s="230">
        <f>Price!P90*Delivery!P90*'Revenue (Baht)'!P$11</f>
        <v>0</v>
      </c>
      <c r="Q90" s="230">
        <f t="shared" si="80"/>
        <v>0</v>
      </c>
    </row>
    <row r="91" spans="1:33" ht="27" customHeight="1">
      <c r="A91" s="867" t="str">
        <f>Table3[[#This Row],[Product]]</f>
        <v>LPG-D</v>
      </c>
      <c r="B91" s="829" t="s">
        <v>25</v>
      </c>
      <c r="C91" s="38" t="s">
        <v>111</v>
      </c>
      <c r="D91" s="689">
        <v>232364914.18000001</v>
      </c>
      <c r="E91" s="689">
        <v>209275701.32000002</v>
      </c>
      <c r="F91" s="715">
        <v>202675136.81999999</v>
      </c>
      <c r="G91" s="1011">
        <v>230866582.20000002</v>
      </c>
      <c r="H91" s="1130">
        <v>178046273.00999999</v>
      </c>
      <c r="I91" s="1244">
        <v>124664190.93439999</v>
      </c>
      <c r="J91" s="1299">
        <v>186316404.63019997</v>
      </c>
      <c r="K91" s="230">
        <f>Price!K91*Delivery!K91*'Revenue (Baht)'!K$11</f>
        <v>93163806.370777994</v>
      </c>
      <c r="L91" s="230">
        <f>Price!L91*Delivery!L91*'Revenue (Baht)'!L$11</f>
        <v>0</v>
      </c>
      <c r="M91" s="230">
        <f>Price!M91*Delivery!M91*'Revenue (Baht)'!M$11</f>
        <v>0</v>
      </c>
      <c r="N91" s="230">
        <f>Price!N91*Delivery!N91*'Revenue (Baht)'!N$11</f>
        <v>0</v>
      </c>
      <c r="O91" s="230">
        <f>Price!O91*Delivery!O91*'Revenue (Baht)'!O$11</f>
        <v>0</v>
      </c>
      <c r="P91" s="230">
        <f>Price!P91*Delivery!P91*'Revenue (Baht)'!P$11</f>
        <v>0</v>
      </c>
      <c r="Q91" s="230">
        <f t="shared" si="80"/>
        <v>1225008095.285378</v>
      </c>
    </row>
    <row r="92" spans="1:33" ht="27" customHeight="1">
      <c r="A92" s="867" t="str">
        <f>Table3[[#This Row],[Product]]</f>
        <v>LPG-D</v>
      </c>
      <c r="B92" s="829" t="s">
        <v>25</v>
      </c>
      <c r="C92" s="38" t="s">
        <v>112</v>
      </c>
      <c r="D92" s="689">
        <v>0</v>
      </c>
      <c r="E92" s="689">
        <v>0</v>
      </c>
      <c r="F92" s="715">
        <v>0</v>
      </c>
      <c r="G92" s="1011">
        <v>0</v>
      </c>
      <c r="H92" s="1130">
        <v>0</v>
      </c>
      <c r="I92" s="1244">
        <v>0</v>
      </c>
      <c r="J92" s="1299">
        <v>0</v>
      </c>
      <c r="K92" s="230">
        <f>Price!K92*Delivery!K92*'Revenue (Baht)'!K$11</f>
        <v>0</v>
      </c>
      <c r="L92" s="230">
        <f>Price!L92*Delivery!L92*'Revenue (Baht)'!L$11</f>
        <v>0</v>
      </c>
      <c r="M92" s="230">
        <f>Price!M92*Delivery!M92*'Revenue (Baht)'!M$11</f>
        <v>0</v>
      </c>
      <c r="N92" s="230">
        <f>Price!N92*Delivery!N92*'Revenue (Baht)'!N$11</f>
        <v>0</v>
      </c>
      <c r="O92" s="230">
        <f>Price!O92*Delivery!O92*'Revenue (Baht)'!O$11</f>
        <v>0</v>
      </c>
      <c r="P92" s="230">
        <f>Price!P92*Delivery!P92*'Revenue (Baht)'!P$11</f>
        <v>0</v>
      </c>
      <c r="Q92" s="230">
        <f t="shared" si="80"/>
        <v>0</v>
      </c>
    </row>
    <row r="93" spans="1:33" ht="27" customHeight="1">
      <c r="A93" s="867" t="str">
        <f>Table3[[#This Row],[Product]]</f>
        <v>LPG-D</v>
      </c>
      <c r="B93" s="829" t="s">
        <v>25</v>
      </c>
      <c r="C93" s="28" t="s">
        <v>113</v>
      </c>
      <c r="D93" s="689">
        <v>0</v>
      </c>
      <c r="E93" s="689">
        <v>0</v>
      </c>
      <c r="F93" s="715">
        <v>0</v>
      </c>
      <c r="G93" s="1011">
        <v>0</v>
      </c>
      <c r="H93" s="1130">
        <v>0</v>
      </c>
      <c r="I93" s="1244">
        <v>0</v>
      </c>
      <c r="J93" s="1299">
        <v>0</v>
      </c>
      <c r="K93" s="230">
        <f>Price!K93*Delivery!K93*'Revenue (Baht)'!K$11</f>
        <v>0</v>
      </c>
      <c r="L93" s="230">
        <f>Price!L93*Delivery!L93*'Revenue (Baht)'!L$11</f>
        <v>0</v>
      </c>
      <c r="M93" s="230">
        <f>Price!M93*Delivery!M93*'Revenue (Baht)'!M$11</f>
        <v>0</v>
      </c>
      <c r="N93" s="230">
        <f>Price!N93*Delivery!N93*'Revenue (Baht)'!N$11</f>
        <v>0</v>
      </c>
      <c r="O93" s="230">
        <f>Price!O93*Delivery!O93*'Revenue (Baht)'!O$11</f>
        <v>0</v>
      </c>
      <c r="P93" s="230">
        <f>Price!P93*Delivery!P93*'Revenue (Baht)'!P$11</f>
        <v>0</v>
      </c>
      <c r="Q93" s="230">
        <f t="shared" si="80"/>
        <v>0</v>
      </c>
    </row>
    <row r="94" spans="1:33" ht="27" customHeight="1">
      <c r="A94" s="867" t="str">
        <f>Table3[[#This Row],[Product]]</f>
        <v>LPG-D</v>
      </c>
      <c r="B94" s="829" t="s">
        <v>25</v>
      </c>
      <c r="C94" s="28" t="s">
        <v>114</v>
      </c>
      <c r="D94" s="689">
        <v>0</v>
      </c>
      <c r="E94" s="689">
        <v>0</v>
      </c>
      <c r="F94" s="715">
        <v>0</v>
      </c>
      <c r="G94" s="1011">
        <v>0</v>
      </c>
      <c r="H94" s="1130">
        <v>0</v>
      </c>
      <c r="I94" s="1244">
        <v>0</v>
      </c>
      <c r="J94" s="1299">
        <v>0</v>
      </c>
      <c r="K94" s="230">
        <f>Price!K94*Delivery!K94*'Revenue (Baht)'!K$11</f>
        <v>0</v>
      </c>
      <c r="L94" s="230">
        <f>Price!L94*Delivery!L94*'Revenue (Baht)'!L$11</f>
        <v>0</v>
      </c>
      <c r="M94" s="230">
        <f>Price!M94*Delivery!M94*'Revenue (Baht)'!M$11</f>
        <v>0</v>
      </c>
      <c r="N94" s="230">
        <f>Price!N94*Delivery!N94*'Revenue (Baht)'!N$11</f>
        <v>0</v>
      </c>
      <c r="O94" s="230">
        <f>Price!O94*Delivery!O94*'Revenue (Baht)'!O$11</f>
        <v>0</v>
      </c>
      <c r="P94" s="230">
        <f>Price!P94*Delivery!P94*'Revenue (Baht)'!P$11</f>
        <v>0</v>
      </c>
      <c r="Q94" s="230">
        <f t="shared" si="80"/>
        <v>0</v>
      </c>
    </row>
    <row r="95" spans="1:33" ht="27" customHeight="1">
      <c r="A95" s="867" t="str">
        <f>Table3[[#This Row],[Product]]</f>
        <v>LPG-D</v>
      </c>
      <c r="B95" s="829"/>
      <c r="C95" s="34" t="s">
        <v>37</v>
      </c>
      <c r="D95" s="822">
        <f>SUM(D70:D94)</f>
        <v>2398533855.805058</v>
      </c>
      <c r="E95" s="950">
        <f t="shared" ref="E95:P95" si="92">SUM(E70:E94)</f>
        <v>2320306954.7758813</v>
      </c>
      <c r="F95" s="822">
        <f t="shared" si="92"/>
        <v>1917565342.8653879</v>
      </c>
      <c r="G95" s="822">
        <f>SUM(G70:G94)</f>
        <v>2388958939.1343956</v>
      </c>
      <c r="H95" s="822">
        <f t="shared" si="92"/>
        <v>2052498669.1605945</v>
      </c>
      <c r="I95" s="822">
        <f t="shared" si="92"/>
        <v>2127870440.4513264</v>
      </c>
      <c r="J95" s="822">
        <f t="shared" si="92"/>
        <v>2206579155.7171788</v>
      </c>
      <c r="K95" s="230">
        <f t="shared" si="92"/>
        <v>2433920182.1350446</v>
      </c>
      <c r="L95" s="230">
        <f t="shared" si="92"/>
        <v>2038177527.7140236</v>
      </c>
      <c r="M95" s="230">
        <f t="shared" si="92"/>
        <v>2033873130.2260103</v>
      </c>
      <c r="N95" s="230">
        <f t="shared" si="92"/>
        <v>2062091750.3192987</v>
      </c>
      <c r="O95" s="230">
        <f t="shared" si="92"/>
        <v>2075516089.7283993</v>
      </c>
      <c r="P95" s="230">
        <f t="shared" si="92"/>
        <v>2101514102.3039899</v>
      </c>
      <c r="Q95" s="230">
        <f t="shared" si="80"/>
        <v>25758872284.531528</v>
      </c>
    </row>
    <row r="96" spans="1:33" ht="27" customHeight="1">
      <c r="A96" s="866" t="str">
        <f>Table3[[#This Row],[Product]]</f>
        <v>LPG-Refinery</v>
      </c>
      <c r="B96" s="829" t="s">
        <v>131</v>
      </c>
      <c r="C96" s="28" t="s">
        <v>115</v>
      </c>
      <c r="D96" s="689">
        <v>79671184.260000005</v>
      </c>
      <c r="E96" s="820">
        <v>79769619.700000003</v>
      </c>
      <c r="F96" s="980">
        <v>75555859.079999998</v>
      </c>
      <c r="G96" s="1011">
        <v>85475545.780000016</v>
      </c>
      <c r="H96" s="1130">
        <v>84237141.089999989</v>
      </c>
      <c r="I96" s="1244">
        <v>84823845.240000024</v>
      </c>
      <c r="J96" s="1299">
        <v>86742323.019999996</v>
      </c>
      <c r="K96" s="230">
        <f>Price!K96*Delivery!K96*'Revenue (Baht)'!K$11</f>
        <v>116015998.14250694</v>
      </c>
      <c r="L96" s="230">
        <f>Price!L96*Delivery!L96*'Revenue (Baht)'!L$11</f>
        <v>115718174.37732694</v>
      </c>
      <c r="M96" s="230">
        <f>Price!M96*Delivery!M96*'Revenue (Baht)'!M$11</f>
        <v>114482087.11289586</v>
      </c>
      <c r="N96" s="230">
        <f>Price!N96*Delivery!N96*'Revenue (Baht)'!N$11</f>
        <v>110694228.86028303</v>
      </c>
      <c r="O96" s="230">
        <f>Price!O96*Delivery!O96*'Revenue (Baht)'!O$11</f>
        <v>112582452.5109787</v>
      </c>
      <c r="P96" s="230">
        <f>Price!P96*Delivery!P96*'Revenue (Baht)'!P$11</f>
        <v>115414787.98702216</v>
      </c>
      <c r="Q96" s="230">
        <f>SUM(E96:P96)</f>
        <v>1181512062.9010136</v>
      </c>
    </row>
    <row r="97" spans="1:17" ht="32.4" customHeight="1">
      <c r="A97" s="866" t="str">
        <f>Table3[[#This Row],[Product]]</f>
        <v>LPG-Refinery</v>
      </c>
      <c r="B97" s="829" t="s">
        <v>134</v>
      </c>
      <c r="C97" s="28" t="s">
        <v>116</v>
      </c>
      <c r="D97" s="689">
        <v>0</v>
      </c>
      <c r="E97" s="820">
        <v>0</v>
      </c>
      <c r="F97" s="980">
        <v>0</v>
      </c>
      <c r="G97" s="1011">
        <v>0</v>
      </c>
      <c r="H97" s="1130">
        <v>0</v>
      </c>
      <c r="I97" s="1244">
        <v>0</v>
      </c>
      <c r="J97" s="1299">
        <v>0</v>
      </c>
      <c r="K97" s="230">
        <f>Price!K97*Delivery!K97*'Revenue (Baht)'!K$11</f>
        <v>0</v>
      </c>
      <c r="L97" s="230">
        <f>Price!L97*Delivery!L97*'Revenue (Baht)'!L$11</f>
        <v>0</v>
      </c>
      <c r="M97" s="230">
        <f>Price!M97*Delivery!M97*'Revenue (Baht)'!M$11</f>
        <v>0</v>
      </c>
      <c r="N97" s="230">
        <f>Price!N97*Delivery!N97*'Revenue (Baht)'!N$11</f>
        <v>0</v>
      </c>
      <c r="O97" s="230">
        <f>Price!O97*Delivery!O97*'Revenue (Baht)'!O$11</f>
        <v>0</v>
      </c>
      <c r="P97" s="230">
        <f>Price!P97*Delivery!P97*'Revenue (Baht)'!P$11</f>
        <v>0</v>
      </c>
      <c r="Q97" s="230">
        <f t="shared" ref="Q97:Q116" si="93">SUM(E97:P97)</f>
        <v>0</v>
      </c>
    </row>
    <row r="98" spans="1:17" ht="26.4" customHeight="1">
      <c r="A98" s="866" t="str">
        <f>Table3[[#This Row],[Product]]</f>
        <v>LPG-Refinery</v>
      </c>
      <c r="B98" s="829" t="s">
        <v>132</v>
      </c>
      <c r="C98" s="28" t="s">
        <v>643</v>
      </c>
      <c r="D98" s="689"/>
      <c r="E98" s="820"/>
      <c r="F98" s="980">
        <v>7892540.8847999992</v>
      </c>
      <c r="G98" s="1011">
        <v>0</v>
      </c>
      <c r="H98" s="1130">
        <v>0</v>
      </c>
      <c r="I98" s="1244">
        <v>0</v>
      </c>
      <c r="J98" s="1299">
        <v>0</v>
      </c>
      <c r="K98" s="230"/>
      <c r="L98" s="230"/>
      <c r="M98" s="230"/>
      <c r="N98" s="230"/>
      <c r="O98" s="230"/>
      <c r="P98" s="230"/>
      <c r="Q98" s="717"/>
    </row>
    <row r="99" spans="1:17" ht="25.25" customHeight="1">
      <c r="A99" s="866" t="str">
        <f>Table3[[#This Row],[Product]]</f>
        <v>LPG-Refinery</v>
      </c>
      <c r="B99" s="829" t="s">
        <v>134</v>
      </c>
      <c r="C99" s="35" t="s">
        <v>94</v>
      </c>
      <c r="D99" s="689">
        <v>68752428.355448976</v>
      </c>
      <c r="E99" s="820">
        <v>163660514.07960001</v>
      </c>
      <c r="F99" s="980">
        <v>125416932.57600001</v>
      </c>
      <c r="G99" s="1011">
        <v>0</v>
      </c>
      <c r="H99" s="1130">
        <v>25858353.073800001</v>
      </c>
      <c r="I99" s="1244">
        <v>0</v>
      </c>
      <c r="J99" s="1299">
        <v>0</v>
      </c>
      <c r="K99" s="230">
        <f>Price!K99*Delivery!K99*'Revenue (Baht)'!K$11</f>
        <v>0</v>
      </c>
      <c r="L99" s="230">
        <f>Price!L99*Delivery!L99*'Revenue (Baht)'!L$11</f>
        <v>0</v>
      </c>
      <c r="M99" s="230">
        <f>Price!M99*Delivery!M99*'Revenue (Baht)'!M$11</f>
        <v>0</v>
      </c>
      <c r="N99" s="230">
        <f>Price!N99*Delivery!N99*'Revenue (Baht)'!N$11</f>
        <v>0</v>
      </c>
      <c r="O99" s="230">
        <f>Price!O99*Delivery!O99*'Revenue (Baht)'!O$11</f>
        <v>0</v>
      </c>
      <c r="P99" s="230">
        <f>Price!P99*Delivery!P99*'Revenue (Baht)'!P$11</f>
        <v>0</v>
      </c>
      <c r="Q99" s="230">
        <f t="shared" si="93"/>
        <v>314935799.72940004</v>
      </c>
    </row>
    <row r="100" spans="1:17" ht="24.65" customHeight="1">
      <c r="A100" s="866" t="str">
        <f>Table3[[#This Row],[Product]]</f>
        <v>LPG-Refinery</v>
      </c>
      <c r="B100" s="829" t="s">
        <v>132</v>
      </c>
      <c r="C100" s="28" t="s">
        <v>117</v>
      </c>
      <c r="D100" s="689">
        <v>84891128.459999993</v>
      </c>
      <c r="E100" s="820">
        <v>46663573.640599996</v>
      </c>
      <c r="F100" s="980">
        <v>27979925.93</v>
      </c>
      <c r="G100" s="1011">
        <v>27947427.259800002</v>
      </c>
      <c r="H100" s="1130">
        <v>18303491.282400001</v>
      </c>
      <c r="I100" s="1244">
        <v>18616583.59</v>
      </c>
      <c r="J100" s="1299">
        <v>18817688.090000004</v>
      </c>
      <c r="K100" s="230">
        <f>Price!K100*Delivery!K100*'Revenue (Baht)'!K$11</f>
        <v>0</v>
      </c>
      <c r="L100" s="230">
        <f>Price!L100*Delivery!L100*'Revenue (Baht)'!L$11</f>
        <v>0</v>
      </c>
      <c r="M100" s="230">
        <f>Price!M100*Delivery!M100*'Revenue (Baht)'!M$11</f>
        <v>0</v>
      </c>
      <c r="N100" s="230">
        <f>Price!N100*Delivery!N100*'Revenue (Baht)'!N$11</f>
        <v>0</v>
      </c>
      <c r="O100" s="230">
        <f>Price!O100*Delivery!O100*'Revenue (Baht)'!O$11</f>
        <v>0</v>
      </c>
      <c r="P100" s="230">
        <f>Price!P100*Delivery!P100*'Revenue (Baht)'!P$11</f>
        <v>0</v>
      </c>
      <c r="Q100" s="230">
        <f t="shared" si="93"/>
        <v>158328689.79280001</v>
      </c>
    </row>
    <row r="101" spans="1:17" ht="24.65" customHeight="1">
      <c r="A101" s="866" t="str">
        <f>Table3[[#This Row],[Product]]</f>
        <v>LPG-Refinery</v>
      </c>
      <c r="B101" s="829" t="s">
        <v>134</v>
      </c>
      <c r="C101" s="28" t="s">
        <v>118</v>
      </c>
      <c r="D101" s="689">
        <v>0</v>
      </c>
      <c r="E101" s="820">
        <v>0</v>
      </c>
      <c r="F101" s="980">
        <v>0</v>
      </c>
      <c r="G101" s="1011">
        <v>0</v>
      </c>
      <c r="H101" s="1130">
        <v>0</v>
      </c>
      <c r="I101" s="1244">
        <v>0</v>
      </c>
      <c r="J101" s="1299">
        <v>0</v>
      </c>
      <c r="K101" s="230">
        <f>Price!K101*Delivery!K101*'Revenue (Baht)'!K$11</f>
        <v>0</v>
      </c>
      <c r="L101" s="230">
        <f>Price!L101*Delivery!L101*'Revenue (Baht)'!L$11</f>
        <v>0</v>
      </c>
      <c r="M101" s="230">
        <f>Price!M101*Delivery!M101*'Revenue (Baht)'!M$11</f>
        <v>0</v>
      </c>
      <c r="N101" s="230">
        <f>Price!N101*Delivery!N101*'Revenue (Baht)'!N$11</f>
        <v>0</v>
      </c>
      <c r="O101" s="230">
        <f>Price!O101*Delivery!O101*'Revenue (Baht)'!O$11</f>
        <v>0</v>
      </c>
      <c r="P101" s="230">
        <f>Price!P101*Delivery!P101*'Revenue (Baht)'!P$11</f>
        <v>0</v>
      </c>
      <c r="Q101" s="230">
        <f t="shared" si="93"/>
        <v>0</v>
      </c>
    </row>
    <row r="102" spans="1:17" ht="24.65" customHeight="1">
      <c r="A102" s="866" t="str">
        <f>Table3[[#This Row],[Product]]</f>
        <v>LPG-Refinery</v>
      </c>
      <c r="B102" s="829" t="s">
        <v>133</v>
      </c>
      <c r="C102" s="28" t="s">
        <v>119</v>
      </c>
      <c r="D102" s="689">
        <v>9579097.3347039334</v>
      </c>
      <c r="E102" s="820">
        <v>0</v>
      </c>
      <c r="F102" s="980">
        <v>0</v>
      </c>
      <c r="G102" s="1011">
        <v>0</v>
      </c>
      <c r="H102" s="1130">
        <v>0</v>
      </c>
      <c r="I102" s="1244">
        <v>0</v>
      </c>
      <c r="J102" s="1299">
        <v>0</v>
      </c>
      <c r="K102" s="230">
        <f>Price!K102*Delivery!K102*'Revenue (Baht)'!K$11</f>
        <v>22948863.787330076</v>
      </c>
      <c r="L102" s="230">
        <f>Price!L102*Delivery!L102*'Revenue (Baht)'!L$11</f>
        <v>22889746.116694469</v>
      </c>
      <c r="M102" s="230">
        <f>Price!M102*Delivery!M102*'Revenue (Baht)'!M$11</f>
        <v>22627336.982487913</v>
      </c>
      <c r="N102" s="230">
        <f>Price!N102*Delivery!N102*'Revenue (Baht)'!N$11</f>
        <v>21839816.591539785</v>
      </c>
      <c r="O102" s="230">
        <f>Price!O102*Delivery!O102*'Revenue (Baht)'!O$11</f>
        <v>22228740.103526536</v>
      </c>
      <c r="P102" s="230">
        <f>Price!P102*Delivery!P102*'Revenue (Baht)'!P$11</f>
        <v>22812125.371506654</v>
      </c>
      <c r="Q102" s="230">
        <f t="shared" si="93"/>
        <v>135346628.95308542</v>
      </c>
    </row>
    <row r="103" spans="1:17" ht="24.65" customHeight="1">
      <c r="A103" s="866" t="str">
        <f>Table3[[#This Row],[Product]]</f>
        <v>LPG-Refinery</v>
      </c>
      <c r="B103" s="829" t="s">
        <v>134</v>
      </c>
      <c r="C103" s="28" t="s">
        <v>97</v>
      </c>
      <c r="D103" s="689">
        <v>0</v>
      </c>
      <c r="E103" s="820">
        <v>0</v>
      </c>
      <c r="F103" s="980">
        <v>0</v>
      </c>
      <c r="G103" s="1011">
        <v>0</v>
      </c>
      <c r="H103" s="1130">
        <v>0</v>
      </c>
      <c r="I103" s="1244">
        <v>0</v>
      </c>
      <c r="J103" s="1299">
        <v>0</v>
      </c>
      <c r="K103" s="230">
        <f>Price!K103*Delivery!K103*'Revenue (Baht)'!K$11</f>
        <v>0</v>
      </c>
      <c r="L103" s="230">
        <f>Price!L103*Delivery!L103*'Revenue (Baht)'!L$11</f>
        <v>0</v>
      </c>
      <c r="M103" s="230">
        <f>Price!M103*Delivery!M103*'Revenue (Baht)'!M$11</f>
        <v>0</v>
      </c>
      <c r="N103" s="230">
        <f>Price!N103*Delivery!N103*'Revenue (Baht)'!N$11</f>
        <v>0</v>
      </c>
      <c r="O103" s="230">
        <f>Price!O103*Delivery!O103*'Revenue (Baht)'!O$11</f>
        <v>0</v>
      </c>
      <c r="P103" s="230">
        <f>Price!P103*Delivery!P103*'Revenue (Baht)'!P$11</f>
        <v>0</v>
      </c>
      <c r="Q103" s="230">
        <f t="shared" si="93"/>
        <v>0</v>
      </c>
    </row>
    <row r="104" spans="1:17" ht="24.65" customHeight="1">
      <c r="A104" s="866" t="str">
        <f>Table3[[#This Row],[Product]]</f>
        <v>LPG-Refinery</v>
      </c>
      <c r="B104" s="829" t="s">
        <v>134</v>
      </c>
      <c r="C104" s="28" t="s">
        <v>100</v>
      </c>
      <c r="D104" s="689">
        <v>0</v>
      </c>
      <c r="E104" s="820">
        <v>0</v>
      </c>
      <c r="F104" s="980">
        <v>0</v>
      </c>
      <c r="G104" s="1011">
        <v>0</v>
      </c>
      <c r="H104" s="1130">
        <v>0</v>
      </c>
      <c r="I104" s="1244">
        <v>0</v>
      </c>
      <c r="J104" s="1299">
        <v>0</v>
      </c>
      <c r="K104" s="230">
        <f>Price!K104*Delivery!K104*'Revenue (Baht)'!K$11</f>
        <v>0</v>
      </c>
      <c r="L104" s="230">
        <f>Price!L104*Delivery!L104*'Revenue (Baht)'!L$11</f>
        <v>0</v>
      </c>
      <c r="M104" s="230">
        <f>Price!M104*Delivery!M104*'Revenue (Baht)'!M$11</f>
        <v>0</v>
      </c>
      <c r="N104" s="230">
        <f>Price!N104*Delivery!N104*'Revenue (Baht)'!N$11</f>
        <v>0</v>
      </c>
      <c r="O104" s="230">
        <f>Price!O104*Delivery!O104*'Revenue (Baht)'!O$11</f>
        <v>0</v>
      </c>
      <c r="P104" s="230">
        <f>Price!P104*Delivery!P104*'Revenue (Baht)'!P$11</f>
        <v>0</v>
      </c>
      <c r="Q104" s="230">
        <f t="shared" si="93"/>
        <v>0</v>
      </c>
    </row>
    <row r="105" spans="1:17" ht="24.65" customHeight="1">
      <c r="A105" s="866" t="str">
        <f>Table3[[#This Row],[Product]]</f>
        <v>LPG-Refinery</v>
      </c>
      <c r="B105" s="829" t="s">
        <v>134</v>
      </c>
      <c r="C105" s="35" t="s">
        <v>101</v>
      </c>
      <c r="D105" s="689">
        <v>53617883.447836049</v>
      </c>
      <c r="E105" s="820">
        <v>62805600.021501839</v>
      </c>
      <c r="F105" s="980">
        <v>44129411.168389209</v>
      </c>
      <c r="G105" s="1011">
        <v>0</v>
      </c>
      <c r="H105" s="1130">
        <v>0</v>
      </c>
      <c r="I105" s="1244">
        <v>0</v>
      </c>
      <c r="J105" s="1299">
        <v>0</v>
      </c>
      <c r="K105" s="230">
        <f>Price!K105*Delivery!K105*'Revenue (Baht)'!K$11</f>
        <v>0</v>
      </c>
      <c r="L105" s="230">
        <f>Price!L105*Delivery!L105*'Revenue (Baht)'!L$11</f>
        <v>0</v>
      </c>
      <c r="M105" s="230">
        <f>Price!M105*Delivery!M105*'Revenue (Baht)'!M$11</f>
        <v>0</v>
      </c>
      <c r="N105" s="230">
        <f>Price!N105*Delivery!N105*'Revenue (Baht)'!N$11</f>
        <v>0</v>
      </c>
      <c r="O105" s="230">
        <f>Price!O105*Delivery!O105*'Revenue (Baht)'!O$11</f>
        <v>0</v>
      </c>
      <c r="P105" s="230">
        <f>Price!P105*Delivery!P105*'Revenue (Baht)'!P$11</f>
        <v>0</v>
      </c>
      <c r="Q105" s="230">
        <f t="shared" si="93"/>
        <v>106935011.18989104</v>
      </c>
    </row>
    <row r="106" spans="1:17" ht="24.65" customHeight="1">
      <c r="A106" s="866" t="str">
        <f>Table3[[#This Row],[Product]]</f>
        <v>LPG-Refinery</v>
      </c>
      <c r="B106" s="829" t="s">
        <v>132</v>
      </c>
      <c r="C106" s="35" t="s">
        <v>120</v>
      </c>
      <c r="D106" s="689">
        <v>8572246.6098528374</v>
      </c>
      <c r="E106" s="820">
        <v>60772617.94161693</v>
      </c>
      <c r="F106" s="980">
        <v>69445896.640192449</v>
      </c>
      <c r="G106" s="1011">
        <v>64194538.611303553</v>
      </c>
      <c r="H106" s="1130">
        <v>58995764.857893765</v>
      </c>
      <c r="I106" s="1244">
        <v>56468403.372526355</v>
      </c>
      <c r="J106" s="1299">
        <v>47531338.598021746</v>
      </c>
      <c r="K106" s="230">
        <f>Price!K106*Delivery!K106*'Revenue (Baht)'!K$11</f>
        <v>0</v>
      </c>
      <c r="L106" s="230">
        <f>Price!L106*Delivery!L106*'Revenue (Baht)'!L$11</f>
        <v>0</v>
      </c>
      <c r="M106" s="230">
        <f>Price!M106*Delivery!M106*'Revenue (Baht)'!M$11</f>
        <v>0</v>
      </c>
      <c r="N106" s="230">
        <f>Price!N106*Delivery!N106*'Revenue (Baht)'!N$11</f>
        <v>0</v>
      </c>
      <c r="O106" s="230">
        <f>Price!O106*Delivery!O106*'Revenue (Baht)'!O$11</f>
        <v>0</v>
      </c>
      <c r="P106" s="230">
        <f>Price!P106*Delivery!P106*'Revenue (Baht)'!P$11</f>
        <v>0</v>
      </c>
      <c r="Q106" s="230">
        <f t="shared" si="93"/>
        <v>357408560.02155477</v>
      </c>
    </row>
    <row r="107" spans="1:17" ht="24.65" customHeight="1">
      <c r="A107" s="866" t="str">
        <f>Table3[[#This Row],[Product]]</f>
        <v>LPG-Refinery</v>
      </c>
      <c r="B107" s="829" t="s">
        <v>133</v>
      </c>
      <c r="C107" s="35" t="s">
        <v>121</v>
      </c>
      <c r="D107" s="689">
        <v>16366897.611473223</v>
      </c>
      <c r="E107" s="820">
        <v>0</v>
      </c>
      <c r="F107" s="980">
        <v>33529390.409830723</v>
      </c>
      <c r="G107" s="1011">
        <v>16778966.069075283</v>
      </c>
      <c r="H107" s="1130">
        <v>16822370.647911478</v>
      </c>
      <c r="I107" s="1244">
        <v>16798059.650347553</v>
      </c>
      <c r="J107" s="1299">
        <v>0</v>
      </c>
      <c r="K107" s="230">
        <f>Price!K107*Delivery!K107*'Revenue (Baht)'!K$11</f>
        <v>0</v>
      </c>
      <c r="L107" s="230">
        <f>Price!L107*Delivery!L107*'Revenue (Baht)'!L$11</f>
        <v>0</v>
      </c>
      <c r="M107" s="230">
        <f>Price!M107*Delivery!M107*'Revenue (Baht)'!M$11</f>
        <v>0</v>
      </c>
      <c r="N107" s="230">
        <f>Price!N107*Delivery!N107*'Revenue (Baht)'!N$11</f>
        <v>0</v>
      </c>
      <c r="O107" s="230">
        <f>Price!O107*Delivery!O107*'Revenue (Baht)'!O$11</f>
        <v>0</v>
      </c>
      <c r="P107" s="230">
        <f>Price!P107*Delivery!P107*'Revenue (Baht)'!P$11</f>
        <v>0</v>
      </c>
      <c r="Q107" s="230">
        <f t="shared" si="93"/>
        <v>83928786.777165025</v>
      </c>
    </row>
    <row r="108" spans="1:17" ht="24.65" customHeight="1">
      <c r="A108" s="866" t="str">
        <f>Table3[[#This Row],[Product]]</f>
        <v>LPG-Refinery</v>
      </c>
      <c r="B108" s="829" t="s">
        <v>134</v>
      </c>
      <c r="C108" s="28" t="s">
        <v>122</v>
      </c>
      <c r="D108" s="689">
        <v>0</v>
      </c>
      <c r="E108" s="820">
        <v>0</v>
      </c>
      <c r="F108" s="980">
        <v>0</v>
      </c>
      <c r="G108" s="1011">
        <v>0</v>
      </c>
      <c r="H108" s="1130">
        <v>0</v>
      </c>
      <c r="I108" s="1244">
        <v>0</v>
      </c>
      <c r="J108" s="1299">
        <v>0</v>
      </c>
      <c r="K108" s="230">
        <f>Price!K108*Delivery!K108*'Revenue (Baht)'!K$11</f>
        <v>0</v>
      </c>
      <c r="L108" s="230">
        <f>Price!L108*Delivery!L108*'Revenue (Baht)'!L$11</f>
        <v>0</v>
      </c>
      <c r="M108" s="230">
        <f>Price!M108*Delivery!M108*'Revenue (Baht)'!M$11</f>
        <v>0</v>
      </c>
      <c r="N108" s="230">
        <f>Price!N108*Delivery!N108*'Revenue (Baht)'!N$11</f>
        <v>0</v>
      </c>
      <c r="O108" s="230">
        <f>Price!O108*Delivery!O108*'Revenue (Baht)'!O$11</f>
        <v>0</v>
      </c>
      <c r="P108" s="230">
        <f>Price!P108*Delivery!P108*'Revenue (Baht)'!P$11</f>
        <v>0</v>
      </c>
      <c r="Q108" s="230">
        <f t="shared" si="93"/>
        <v>0</v>
      </c>
    </row>
    <row r="109" spans="1:17" ht="24.65" customHeight="1">
      <c r="A109" s="866" t="str">
        <f>Table3[[#This Row],[Product]]</f>
        <v>LPG-Refinery</v>
      </c>
      <c r="B109" s="829" t="s">
        <v>134</v>
      </c>
      <c r="C109" s="28" t="s">
        <v>123</v>
      </c>
      <c r="D109" s="689">
        <v>33818405.027600005</v>
      </c>
      <c r="E109" s="820">
        <v>40722182.911199994</v>
      </c>
      <c r="F109" s="980">
        <v>31388486.808599997</v>
      </c>
      <c r="G109" s="1011">
        <v>0</v>
      </c>
      <c r="H109" s="1130">
        <v>0</v>
      </c>
      <c r="I109" s="1244">
        <v>0</v>
      </c>
      <c r="J109" s="1299">
        <v>0</v>
      </c>
      <c r="K109" s="230">
        <f>Price!K109*Delivery!K109*'Revenue (Baht)'!K$11</f>
        <v>0</v>
      </c>
      <c r="L109" s="230">
        <f>Price!L109*Delivery!L109*'Revenue (Baht)'!L$11</f>
        <v>0</v>
      </c>
      <c r="M109" s="230">
        <f>Price!M109*Delivery!M109*'Revenue (Baht)'!M$11</f>
        <v>0</v>
      </c>
      <c r="N109" s="230">
        <f>Price!N109*Delivery!N109*'Revenue (Baht)'!N$11</f>
        <v>0</v>
      </c>
      <c r="O109" s="230">
        <f>Price!O109*Delivery!O109*'Revenue (Baht)'!O$11</f>
        <v>0</v>
      </c>
      <c r="P109" s="230">
        <f>Price!P109*Delivery!P109*'Revenue (Baht)'!P$11</f>
        <v>0</v>
      </c>
      <c r="Q109" s="230">
        <f t="shared" si="93"/>
        <v>72110669.719799995</v>
      </c>
    </row>
    <row r="110" spans="1:17" ht="24.65" customHeight="1">
      <c r="A110" s="866" t="str">
        <f>Table3[[#This Row],[Product]]</f>
        <v>LPG-Refinery</v>
      </c>
      <c r="B110" s="829" t="s">
        <v>134</v>
      </c>
      <c r="C110" s="40" t="s">
        <v>124</v>
      </c>
      <c r="D110" s="689">
        <v>0</v>
      </c>
      <c r="E110" s="820">
        <v>0</v>
      </c>
      <c r="F110" s="980">
        <v>0</v>
      </c>
      <c r="G110" s="1011">
        <v>0</v>
      </c>
      <c r="H110" s="1130">
        <v>0</v>
      </c>
      <c r="I110" s="1244">
        <v>0</v>
      </c>
      <c r="J110" s="1299">
        <v>0</v>
      </c>
      <c r="K110" s="230">
        <f>Price!K110*Delivery!K110*'Revenue (Baht)'!K$11</f>
        <v>0</v>
      </c>
      <c r="L110" s="230">
        <f>Price!L110*Delivery!L110*'Revenue (Baht)'!L$11</f>
        <v>0</v>
      </c>
      <c r="M110" s="230">
        <f>Price!M110*Delivery!M110*'Revenue (Baht)'!M$11</f>
        <v>0</v>
      </c>
      <c r="N110" s="230">
        <f>Price!N110*Delivery!N110*'Revenue (Baht)'!N$11</f>
        <v>0</v>
      </c>
      <c r="O110" s="230">
        <f>Price!O110*Delivery!O110*'Revenue (Baht)'!O$11</f>
        <v>0</v>
      </c>
      <c r="P110" s="230">
        <f>Price!P110*Delivery!P110*'Revenue (Baht)'!P$11</f>
        <v>0</v>
      </c>
      <c r="Q110" s="230">
        <f t="shared" si="93"/>
        <v>0</v>
      </c>
    </row>
    <row r="111" spans="1:17" ht="24.65" customHeight="1">
      <c r="A111" s="866" t="str">
        <f>Table3[[#This Row],[Product]]</f>
        <v>LPG-Refinery</v>
      </c>
      <c r="B111" s="829" t="s">
        <v>134</v>
      </c>
      <c r="C111" s="40" t="s">
        <v>125</v>
      </c>
      <c r="D111" s="689">
        <v>0</v>
      </c>
      <c r="E111" s="820">
        <v>0</v>
      </c>
      <c r="F111" s="980">
        <v>0</v>
      </c>
      <c r="G111" s="1011">
        <v>0</v>
      </c>
      <c r="H111" s="1130">
        <v>0</v>
      </c>
      <c r="I111" s="1244">
        <v>0</v>
      </c>
      <c r="J111" s="1299">
        <v>0</v>
      </c>
      <c r="K111" s="230">
        <f>Price!K111*Delivery!K111*'Revenue (Baht)'!K$11</f>
        <v>0</v>
      </c>
      <c r="L111" s="230">
        <f>Price!L111*Delivery!L111*'Revenue (Baht)'!L$11</f>
        <v>0</v>
      </c>
      <c r="M111" s="230">
        <f>Price!M111*Delivery!M111*'Revenue (Baht)'!M$11</f>
        <v>0</v>
      </c>
      <c r="N111" s="230">
        <f>Price!N111*Delivery!N111*'Revenue (Baht)'!N$11</f>
        <v>0</v>
      </c>
      <c r="O111" s="230">
        <f>Price!O111*Delivery!O111*'Revenue (Baht)'!O$11</f>
        <v>0</v>
      </c>
      <c r="P111" s="230">
        <f>Price!P111*Delivery!P111*'Revenue (Baht)'!P$11</f>
        <v>0</v>
      </c>
      <c r="Q111" s="230">
        <f t="shared" si="93"/>
        <v>0</v>
      </c>
    </row>
    <row r="112" spans="1:17" ht="24.65" customHeight="1">
      <c r="A112" s="866" t="str">
        <f>Table3[[#This Row],[Product]]</f>
        <v>LPG-Refinery</v>
      </c>
      <c r="B112" s="829" t="s">
        <v>134</v>
      </c>
      <c r="C112" s="40" t="s">
        <v>126</v>
      </c>
      <c r="D112" s="689">
        <v>0</v>
      </c>
      <c r="E112" s="820">
        <v>0</v>
      </c>
      <c r="F112" s="980">
        <v>0</v>
      </c>
      <c r="G112" s="1011">
        <v>0</v>
      </c>
      <c r="H112" s="1130">
        <v>0</v>
      </c>
      <c r="I112" s="1244">
        <v>0</v>
      </c>
      <c r="J112" s="1299">
        <v>0</v>
      </c>
      <c r="K112" s="230">
        <f>Price!K112*Delivery!K112*'Revenue (Baht)'!K$11</f>
        <v>0</v>
      </c>
      <c r="L112" s="230">
        <f>Price!L112*Delivery!L112*'Revenue (Baht)'!L$11</f>
        <v>0</v>
      </c>
      <c r="M112" s="230">
        <f>Price!M112*Delivery!M112*'Revenue (Baht)'!M$11</f>
        <v>0</v>
      </c>
      <c r="N112" s="230">
        <f>Price!N112*Delivery!N112*'Revenue (Baht)'!N$11</f>
        <v>0</v>
      </c>
      <c r="O112" s="230">
        <f>Price!O112*Delivery!O112*'Revenue (Baht)'!O$11</f>
        <v>0</v>
      </c>
      <c r="P112" s="230">
        <f>Price!P112*Delivery!P112*'Revenue (Baht)'!P$11</f>
        <v>0</v>
      </c>
      <c r="Q112" s="230">
        <f t="shared" si="93"/>
        <v>0</v>
      </c>
    </row>
    <row r="113" spans="1:34" ht="24.65" customHeight="1">
      <c r="A113" s="866" t="str">
        <f>Table3[[#This Row],[Product]]</f>
        <v>LPG-Refinery</v>
      </c>
      <c r="B113" s="829" t="s">
        <v>134</v>
      </c>
      <c r="C113" s="40" t="s">
        <v>127</v>
      </c>
      <c r="D113" s="689">
        <v>0</v>
      </c>
      <c r="E113" s="820">
        <v>0</v>
      </c>
      <c r="F113" s="980">
        <v>0</v>
      </c>
      <c r="G113" s="1011">
        <v>0</v>
      </c>
      <c r="H113" s="1130">
        <v>0</v>
      </c>
      <c r="I113" s="1244">
        <v>0</v>
      </c>
      <c r="J113" s="1299">
        <v>0</v>
      </c>
      <c r="K113" s="230">
        <f>Price!K113*Delivery!K113*'Revenue (Baht)'!K$11</f>
        <v>0</v>
      </c>
      <c r="L113" s="230">
        <f>Price!L113*Delivery!L113*'Revenue (Baht)'!L$11</f>
        <v>0</v>
      </c>
      <c r="M113" s="230">
        <f>Price!M113*Delivery!M113*'Revenue (Baht)'!M$11</f>
        <v>0</v>
      </c>
      <c r="N113" s="230">
        <f>Price!N113*Delivery!N113*'Revenue (Baht)'!N$11</f>
        <v>0</v>
      </c>
      <c r="O113" s="230">
        <f>Price!O113*Delivery!O113*'Revenue (Baht)'!O$11</f>
        <v>0</v>
      </c>
      <c r="P113" s="230">
        <f>Price!P113*Delivery!P113*'Revenue (Baht)'!P$11</f>
        <v>0</v>
      </c>
      <c r="Q113" s="230">
        <f t="shared" si="93"/>
        <v>0</v>
      </c>
    </row>
    <row r="114" spans="1:34" ht="24.65" customHeight="1">
      <c r="A114" s="866" t="str">
        <f>Table3[[#This Row],[Product]]</f>
        <v>LPG-Refinery</v>
      </c>
      <c r="B114" s="829" t="s">
        <v>134</v>
      </c>
      <c r="C114" s="28" t="s">
        <v>128</v>
      </c>
      <c r="D114" s="689">
        <v>0</v>
      </c>
      <c r="E114" s="820">
        <v>0</v>
      </c>
      <c r="F114" s="980">
        <v>0</v>
      </c>
      <c r="G114" s="1011">
        <v>0</v>
      </c>
      <c r="H114" s="1130">
        <v>0</v>
      </c>
      <c r="I114" s="1244">
        <v>0</v>
      </c>
      <c r="J114" s="1299">
        <v>0</v>
      </c>
      <c r="K114" s="230">
        <f>Price!K114*Delivery!K114*'Revenue (Baht)'!K$11</f>
        <v>0</v>
      </c>
      <c r="L114" s="230">
        <f>Price!L114*Delivery!L114*'Revenue (Baht)'!L$11</f>
        <v>0</v>
      </c>
      <c r="M114" s="230">
        <f>Price!M114*Delivery!M114*'Revenue (Baht)'!M$11</f>
        <v>0</v>
      </c>
      <c r="N114" s="230">
        <f>Price!N114*Delivery!N114*'Revenue (Baht)'!N$11</f>
        <v>0</v>
      </c>
      <c r="O114" s="230">
        <f>Price!O114*Delivery!O114*'Revenue (Baht)'!O$11</f>
        <v>0</v>
      </c>
      <c r="P114" s="230">
        <f>Price!P114*Delivery!P114*'Revenue (Baht)'!P$11</f>
        <v>0</v>
      </c>
      <c r="Q114" s="230">
        <f t="shared" si="93"/>
        <v>0</v>
      </c>
    </row>
    <row r="115" spans="1:34" ht="24.65" customHeight="1">
      <c r="A115" s="866" t="str">
        <f>Table3[[#This Row],[Product]]</f>
        <v>LPG-Refinery</v>
      </c>
      <c r="B115" s="829" t="s">
        <v>134</v>
      </c>
      <c r="C115" s="28" t="s">
        <v>129</v>
      </c>
      <c r="D115" s="689">
        <v>0</v>
      </c>
      <c r="E115" s="820">
        <v>0</v>
      </c>
      <c r="F115" s="980">
        <v>0</v>
      </c>
      <c r="G115" s="1011">
        <v>0</v>
      </c>
      <c r="H115" s="1130">
        <v>0</v>
      </c>
      <c r="I115" s="1244">
        <v>0</v>
      </c>
      <c r="J115" s="1299">
        <v>0</v>
      </c>
      <c r="K115" s="230">
        <f>Price!K115*Delivery!K115*'Revenue (Baht)'!K$11</f>
        <v>0</v>
      </c>
      <c r="L115" s="230">
        <f>Price!L115*Delivery!L115*'Revenue (Baht)'!L$11</f>
        <v>0</v>
      </c>
      <c r="M115" s="230">
        <f>Price!M115*Delivery!M115*'Revenue (Baht)'!M$11</f>
        <v>0</v>
      </c>
      <c r="N115" s="230">
        <f>Price!N115*Delivery!N115*'Revenue (Baht)'!N$11</f>
        <v>0</v>
      </c>
      <c r="O115" s="230">
        <f>Price!O115*Delivery!O115*'Revenue (Baht)'!O$11</f>
        <v>0</v>
      </c>
      <c r="P115" s="230">
        <f>Price!P115*Delivery!P115*'Revenue (Baht)'!P$11</f>
        <v>0</v>
      </c>
      <c r="Q115" s="230">
        <f t="shared" si="93"/>
        <v>0</v>
      </c>
    </row>
    <row r="116" spans="1:34" ht="24.65" customHeight="1">
      <c r="A116" s="867" t="str">
        <f>Table3[[#This Row],[Product]]</f>
        <v>LPG-Refinery</v>
      </c>
      <c r="B116" s="829" t="s">
        <v>132</v>
      </c>
      <c r="C116" s="28" t="s">
        <v>130</v>
      </c>
      <c r="D116" s="689">
        <v>0</v>
      </c>
      <c r="E116" s="820">
        <v>0</v>
      </c>
      <c r="F116" s="980">
        <v>0</v>
      </c>
      <c r="G116" s="1011">
        <v>0</v>
      </c>
      <c r="H116" s="1130">
        <v>0</v>
      </c>
      <c r="I116" s="1244">
        <v>0</v>
      </c>
      <c r="J116" s="1299">
        <v>0</v>
      </c>
      <c r="K116" s="230">
        <f>Price!K116*Delivery!K116*'Revenue (Baht)'!K$11</f>
        <v>0</v>
      </c>
      <c r="L116" s="230">
        <f>Price!L116*Delivery!L116*'Revenue (Baht)'!L$11</f>
        <v>0</v>
      </c>
      <c r="M116" s="230">
        <f>Price!M116*Delivery!M116*'Revenue (Baht)'!M$11</f>
        <v>0</v>
      </c>
      <c r="N116" s="230">
        <f>Price!N116*Delivery!N116*'Revenue (Baht)'!N$11</f>
        <v>0</v>
      </c>
      <c r="O116" s="230">
        <f>Price!O116*Delivery!O116*'Revenue (Baht)'!O$11</f>
        <v>0</v>
      </c>
      <c r="P116" s="230">
        <f>Price!P116*Delivery!P116*'Revenue (Baht)'!P$11</f>
        <v>0</v>
      </c>
      <c r="Q116" s="230">
        <f t="shared" si="93"/>
        <v>0</v>
      </c>
    </row>
    <row r="117" spans="1:34" ht="24.65" customHeight="1">
      <c r="A117" s="867" t="str">
        <f>Table3[[#This Row],[Product]]</f>
        <v>LPG-Refinery</v>
      </c>
      <c r="B117" s="829"/>
      <c r="C117" s="34" t="s">
        <v>37</v>
      </c>
      <c r="D117" s="822">
        <f>SUM(D96:D116)</f>
        <v>355269271.106915</v>
      </c>
      <c r="E117" s="950">
        <f>SUM(E97:E116)</f>
        <v>374624488.59451878</v>
      </c>
      <c r="F117" s="822">
        <f>SUM(F96:F116)</f>
        <v>415338443.49781245</v>
      </c>
      <c r="G117" s="822">
        <f>SUM(G96:G116)</f>
        <v>194396477.72017884</v>
      </c>
      <c r="H117" s="822">
        <f>SUM(H96:H116)</f>
        <v>204217120.95200524</v>
      </c>
      <c r="I117" s="822">
        <f t="shared" ref="I117:O117" si="94">SUM(I96:I116)</f>
        <v>176706891.85287395</v>
      </c>
      <c r="J117" s="822">
        <f t="shared" si="94"/>
        <v>153091349.70802176</v>
      </c>
      <c r="K117" s="717">
        <f t="shared" si="94"/>
        <v>138964861.92983702</v>
      </c>
      <c r="L117" s="717">
        <f t="shared" si="94"/>
        <v>138607920.49402142</v>
      </c>
      <c r="M117" s="717">
        <f t="shared" si="94"/>
        <v>137109424.09538376</v>
      </c>
      <c r="N117" s="717">
        <f t="shared" si="94"/>
        <v>132534045.45182282</v>
      </c>
      <c r="O117" s="717">
        <f t="shared" si="94"/>
        <v>134811192.61450523</v>
      </c>
      <c r="P117" s="717">
        <f>SUM(P96:P116)</f>
        <v>138226913.35852882</v>
      </c>
      <c r="Q117" s="717">
        <f>SUM(Q96:Q116)</f>
        <v>2410506209.0847096</v>
      </c>
    </row>
    <row r="118" spans="1:34" ht="24.65" customHeight="1">
      <c r="A118" s="867" t="str">
        <f>Table3[[#This Row],[Product]]</f>
        <v>LPG-Import/Re-Export</v>
      </c>
      <c r="B118" s="832" t="s">
        <v>652</v>
      </c>
      <c r="C118" s="28" t="s">
        <v>68</v>
      </c>
      <c r="D118" s="805">
        <v>285297776.36482662</v>
      </c>
      <c r="E118" s="952">
        <v>82255200.694199979</v>
      </c>
      <c r="F118" s="714">
        <v>472391279.44919997</v>
      </c>
      <c r="G118" s="714">
        <v>510779719.21319997</v>
      </c>
      <c r="H118" s="714">
        <v>439709549.24159998</v>
      </c>
      <c r="I118" s="1244">
        <v>262957314.45599997</v>
      </c>
      <c r="J118" s="714">
        <v>277969160.70899999</v>
      </c>
      <c r="K118" s="714">
        <f>Price!K118*Delivery!K118*'Revenue (Baht)'!K$11</f>
        <v>1332018716.4002333</v>
      </c>
      <c r="L118" s="714">
        <f>Price!L118*Delivery!L118*'Revenue (Baht)'!L$11</f>
        <v>620806580.3020066</v>
      </c>
      <c r="M118" s="714">
        <f>Price!M118*Delivery!M118*'Revenue (Baht)'!M$11</f>
        <v>1251604179.6761162</v>
      </c>
      <c r="N118" s="714">
        <f>Price!N118*Delivery!N118*'Revenue (Baht)'!N$11</f>
        <v>1234982077.4426792</v>
      </c>
      <c r="O118" s="714">
        <f>Price!O118*Delivery!O118*'Revenue (Baht)'!O$11</f>
        <v>412702725.70181167</v>
      </c>
      <c r="P118" s="714">
        <f>Price!P118*Delivery!P118*'Revenue (Baht)'!P$11</f>
        <v>858114645.52336717</v>
      </c>
      <c r="Q118" s="715">
        <f>SUM(E118:P118)</f>
        <v>7756291148.8094139</v>
      </c>
    </row>
    <row r="119" spans="1:34" ht="24.65" customHeight="1">
      <c r="A119" s="867" t="str">
        <f>Table3[[#This Row],[Product]]</f>
        <v>LPG-Import/Re-Export</v>
      </c>
      <c r="B119" s="832" t="s">
        <v>34</v>
      </c>
      <c r="C119" s="28" t="s">
        <v>577</v>
      </c>
      <c r="D119" s="805"/>
      <c r="E119" s="952"/>
      <c r="F119" s="714"/>
      <c r="G119" s="714">
        <v>0</v>
      </c>
      <c r="H119" s="714">
        <v>20187354.7476</v>
      </c>
      <c r="I119" s="1244">
        <v>0</v>
      </c>
      <c r="J119" s="714">
        <v>0</v>
      </c>
      <c r="K119" s="714"/>
      <c r="L119" s="714"/>
      <c r="M119" s="714"/>
      <c r="N119" s="714"/>
      <c r="O119" s="714"/>
      <c r="P119" s="714"/>
      <c r="Q119" s="715"/>
    </row>
    <row r="120" spans="1:34" ht="24.65" customHeight="1">
      <c r="A120" s="867" t="str">
        <f>Table3[[#This Row],[Product]]</f>
        <v>LPG-Import/Re-Export</v>
      </c>
      <c r="B120" s="832" t="s">
        <v>34</v>
      </c>
      <c r="C120" s="28" t="s">
        <v>226</v>
      </c>
      <c r="D120" s="805"/>
      <c r="E120" s="952"/>
      <c r="F120" s="714"/>
      <c r="G120" s="714">
        <v>0</v>
      </c>
      <c r="H120" s="714">
        <v>0</v>
      </c>
      <c r="I120" s="1244">
        <v>96952127.846599996</v>
      </c>
      <c r="J120" s="714">
        <v>31165049.395999998</v>
      </c>
      <c r="K120" s="714"/>
      <c r="L120" s="714"/>
      <c r="M120" s="714"/>
      <c r="N120" s="714"/>
      <c r="O120" s="714"/>
      <c r="P120" s="714"/>
      <c r="Q120" s="717"/>
    </row>
    <row r="121" spans="1:34" ht="21.65" customHeight="1">
      <c r="A121" s="867" t="str">
        <f>Table3[[#This Row],[Product]]</f>
        <v>LPG-Import/Re-Export</v>
      </c>
      <c r="B121" s="832" t="s">
        <v>34</v>
      </c>
      <c r="C121" s="28" t="s">
        <v>280</v>
      </c>
      <c r="D121" s="805"/>
      <c r="E121" s="952"/>
      <c r="F121" s="714"/>
      <c r="G121" s="714">
        <v>0</v>
      </c>
      <c r="H121" s="714">
        <v>0</v>
      </c>
      <c r="I121" s="1244">
        <v>69193212.220599994</v>
      </c>
      <c r="J121" s="714">
        <v>120510496.4232</v>
      </c>
      <c r="K121" s="714"/>
      <c r="L121" s="714"/>
      <c r="M121" s="714"/>
      <c r="N121" s="714"/>
      <c r="O121" s="714"/>
      <c r="P121" s="714"/>
      <c r="Q121" s="717"/>
    </row>
    <row r="122" spans="1:34" ht="21.65" customHeight="1">
      <c r="A122" s="868" t="str">
        <f>Table3[[#This Row],[Product]]</f>
        <v>LPG-Import/Re-Export</v>
      </c>
      <c r="B122" s="833" t="s">
        <v>654</v>
      </c>
      <c r="C122" s="46" t="s">
        <v>68</v>
      </c>
      <c r="D122" s="805">
        <v>9188235.2399999984</v>
      </c>
      <c r="E122" s="826">
        <v>6340153.6400000006</v>
      </c>
      <c r="F122" s="714">
        <v>2796129.1799999997</v>
      </c>
      <c r="G122" s="714">
        <v>7431326.3400000017</v>
      </c>
      <c r="H122" s="714">
        <v>5140230.55</v>
      </c>
      <c r="I122" s="1244">
        <v>7991184.9100000011</v>
      </c>
      <c r="J122" s="714">
        <v>26004485.869999997</v>
      </c>
      <c r="K122" s="714">
        <f>Price!K122*Delivery!K122*'Revenue (Baht)'!K$11</f>
        <v>0</v>
      </c>
      <c r="L122" s="714">
        <f>Price!L122*Delivery!L122*'Revenue (Baht)'!L$11</f>
        <v>0</v>
      </c>
      <c r="M122" s="714">
        <f>Price!M122*Delivery!M122*'Revenue (Baht)'!M$11</f>
        <v>0</v>
      </c>
      <c r="N122" s="714">
        <f>Price!N122*Delivery!N122*'Revenue (Baht)'!N$11</f>
        <v>0</v>
      </c>
      <c r="O122" s="714">
        <f>Price!O122*Delivery!O122*'Revenue (Baht)'!O$11</f>
        <v>0</v>
      </c>
      <c r="P122" s="714">
        <f>Price!P122*Delivery!P122*'Revenue (Baht)'!P$11</f>
        <v>0</v>
      </c>
      <c r="Q122" s="715">
        <f t="shared" ref="Q122:Q124" si="95">SUM(E122:P122)</f>
        <v>55703510.489999995</v>
      </c>
    </row>
    <row r="123" spans="1:34" ht="21.65" customHeight="1">
      <c r="A123" s="868" t="str">
        <f>Table3[[#This Row],[Product]]</f>
        <v>LPG-Import/Re-Export</v>
      </c>
      <c r="B123" s="833" t="s">
        <v>653</v>
      </c>
      <c r="C123" s="46" t="s">
        <v>70</v>
      </c>
      <c r="D123" s="805">
        <v>95704312.488189295</v>
      </c>
      <c r="E123" s="826">
        <v>42764023.037086397</v>
      </c>
      <c r="F123" s="714">
        <v>35293419.7461197</v>
      </c>
      <c r="G123" s="714">
        <v>44660968.224522501</v>
      </c>
      <c r="H123" s="714">
        <v>38138748.392150596</v>
      </c>
      <c r="I123" s="1244">
        <v>7035005.6137052998</v>
      </c>
      <c r="J123" s="714">
        <v>25472186.2730565</v>
      </c>
      <c r="K123" s="714">
        <f>Price!K123*Delivery!K123*'Revenue (Baht)'!K$11</f>
        <v>204600000</v>
      </c>
      <c r="L123" s="714">
        <f>Price!L123*Delivery!L123*'Revenue (Baht)'!L$11</f>
        <v>202125000</v>
      </c>
      <c r="M123" s="714">
        <f>Price!M123*Delivery!M123*'Revenue (Baht)'!M$11</f>
        <v>198825000</v>
      </c>
      <c r="N123" s="714">
        <f>Price!N123*Delivery!N123*'Revenue (Baht)'!N$11</f>
        <v>189750000</v>
      </c>
      <c r="O123" s="714">
        <f>Price!O123*Delivery!O123*'Revenue (Baht)'!O$11</f>
        <v>191400000</v>
      </c>
      <c r="P123" s="714">
        <f>Price!P123*Delivery!P123*'Revenue (Baht)'!P$11</f>
        <v>193875000</v>
      </c>
      <c r="Q123" s="715">
        <f t="shared" si="95"/>
        <v>1373939351.2866411</v>
      </c>
      <c r="R123" s="131"/>
    </row>
    <row r="124" spans="1:34" ht="21.65" customHeight="1">
      <c r="A124" s="868" t="str">
        <f>Table3[[#This Row],[Product]]</f>
        <v>LPG-Import/Re-Export</v>
      </c>
      <c r="B124" s="829"/>
      <c r="C124" s="34" t="s">
        <v>37</v>
      </c>
      <c r="D124" s="828">
        <f t="shared" ref="D124:P124" si="96">SUM(D118:D123)</f>
        <v>390190324.09301591</v>
      </c>
      <c r="E124" s="828">
        <f t="shared" si="96"/>
        <v>131359377.37128638</v>
      </c>
      <c r="F124" s="822">
        <f t="shared" si="96"/>
        <v>510480828.37531966</v>
      </c>
      <c r="G124" s="822">
        <f t="shared" si="96"/>
        <v>562872013.77772248</v>
      </c>
      <c r="H124" s="822">
        <f t="shared" si="96"/>
        <v>503175882.93135059</v>
      </c>
      <c r="I124" s="1049">
        <f t="shared" si="96"/>
        <v>444128845.04690528</v>
      </c>
      <c r="J124" s="822">
        <f t="shared" si="96"/>
        <v>481121378.67125654</v>
      </c>
      <c r="K124" s="714">
        <f t="shared" si="96"/>
        <v>1536618716.4002333</v>
      </c>
      <c r="L124" s="714">
        <f t="shared" si="96"/>
        <v>822931580.3020066</v>
      </c>
      <c r="M124" s="714">
        <f t="shared" si="96"/>
        <v>1450429179.6761162</v>
      </c>
      <c r="N124" s="714">
        <f t="shared" si="96"/>
        <v>1424732077.4426792</v>
      </c>
      <c r="O124" s="714">
        <f t="shared" si="96"/>
        <v>604102725.70181167</v>
      </c>
      <c r="P124" s="714">
        <f t="shared" si="96"/>
        <v>1051989645.5233672</v>
      </c>
      <c r="Q124" s="715">
        <f t="shared" si="95"/>
        <v>9523942251.2200546</v>
      </c>
      <c r="R124" s="131"/>
    </row>
    <row r="125" spans="1:34" ht="15.5">
      <c r="A125" s="868" t="str">
        <f>Table3[[#This Row],[Product]]</f>
        <v>NGL (m3)</v>
      </c>
      <c r="B125" s="834" t="s">
        <v>25</v>
      </c>
      <c r="C125" s="130" t="s">
        <v>72</v>
      </c>
      <c r="D125" s="130"/>
      <c r="E125" s="130"/>
      <c r="F125" s="130"/>
      <c r="G125" s="130"/>
      <c r="H125" s="130"/>
      <c r="I125" s="1230"/>
      <c r="J125" s="130"/>
      <c r="K125" s="130"/>
      <c r="L125" s="130"/>
      <c r="M125" s="130"/>
      <c r="N125" s="130"/>
      <c r="O125" s="130"/>
      <c r="P125" s="130"/>
      <c r="Q125" s="530">
        <f ca="1">SUM(E125:Q125)</f>
        <v>0</v>
      </c>
      <c r="R125" s="131"/>
    </row>
    <row r="126" spans="1:34" ht="15.5">
      <c r="A126" s="868" t="str">
        <f>Table3[[#This Row],[Product]]</f>
        <v>NGL (m3)</v>
      </c>
      <c r="B126" s="834" t="s">
        <v>25</v>
      </c>
      <c r="C126" s="130" t="s">
        <v>73</v>
      </c>
      <c r="D126" s="130"/>
      <c r="E126" s="130"/>
      <c r="F126" s="130"/>
      <c r="G126" s="130"/>
      <c r="H126" s="130"/>
      <c r="I126" s="1230"/>
      <c r="J126" s="130"/>
      <c r="K126" s="130"/>
      <c r="L126" s="130"/>
      <c r="M126" s="130"/>
      <c r="N126" s="130"/>
      <c r="O126" s="130"/>
      <c r="P126" s="130"/>
      <c r="Q126" s="530">
        <f t="shared" ref="Q126:Q134" ca="1" si="97">SUM(E126:Q126)</f>
        <v>0</v>
      </c>
      <c r="R126" s="131"/>
    </row>
    <row r="127" spans="1:34" s="131" customFormat="1" ht="15.5">
      <c r="A127" s="868" t="str">
        <f>Table3[[#This Row],[Product]]</f>
        <v>NGL (m3)</v>
      </c>
      <c r="B127" s="834" t="s">
        <v>25</v>
      </c>
      <c r="C127" s="130" t="s">
        <v>74</v>
      </c>
      <c r="D127" s="130"/>
      <c r="E127" s="130"/>
      <c r="F127" s="130"/>
      <c r="G127" s="130"/>
      <c r="H127" s="130"/>
      <c r="I127" s="1230"/>
      <c r="J127" s="130"/>
      <c r="K127" s="130"/>
      <c r="L127" s="130"/>
      <c r="M127" s="130"/>
      <c r="N127" s="130"/>
      <c r="O127" s="130"/>
      <c r="P127" s="130"/>
      <c r="Q127" s="530">
        <f t="shared" ca="1" si="97"/>
        <v>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s="131" customFormat="1" ht="15.5">
      <c r="A128" s="868" t="str">
        <f>Table3[[#This Row],[Product]]</f>
        <v>NGL (m3)</v>
      </c>
      <c r="B128" s="834" t="s">
        <v>25</v>
      </c>
      <c r="C128" s="130" t="s">
        <v>77</v>
      </c>
      <c r="D128" s="130"/>
      <c r="E128" s="130"/>
      <c r="F128" s="130"/>
      <c r="G128" s="130"/>
      <c r="H128" s="130"/>
      <c r="I128" s="1230"/>
      <c r="J128" s="130"/>
      <c r="K128" s="130"/>
      <c r="L128" s="130"/>
      <c r="M128" s="130"/>
      <c r="N128" s="130"/>
      <c r="O128" s="130"/>
      <c r="P128" s="130"/>
      <c r="Q128" s="530">
        <f t="shared" ca="1" si="97"/>
        <v>0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s="131" customFormat="1" ht="15.5">
      <c r="A129" s="868" t="str">
        <f>Table3[[#This Row],[Product]]</f>
        <v>NGL (m3)</v>
      </c>
      <c r="B129" s="834" t="s">
        <v>25</v>
      </c>
      <c r="C129" s="130" t="s">
        <v>78</v>
      </c>
      <c r="D129" s="130"/>
      <c r="E129" s="130"/>
      <c r="F129" s="130"/>
      <c r="G129" s="130"/>
      <c r="H129" s="130"/>
      <c r="I129" s="1230"/>
      <c r="J129" s="130"/>
      <c r="K129" s="130"/>
      <c r="L129" s="130"/>
      <c r="M129" s="130"/>
      <c r="N129" s="130"/>
      <c r="O129" s="130"/>
      <c r="P129" s="130"/>
      <c r="Q129" s="530">
        <f t="shared" ca="1" si="97"/>
        <v>0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s="131" customFormat="1" ht="15.5">
      <c r="A130" s="868" t="str">
        <f>Table3[[#This Row],[Product]]</f>
        <v>NGL (m3)</v>
      </c>
      <c r="B130" s="834" t="s">
        <v>76</v>
      </c>
      <c r="C130" s="130" t="s">
        <v>75</v>
      </c>
      <c r="D130" s="130"/>
      <c r="E130" s="130"/>
      <c r="F130" s="130"/>
      <c r="G130" s="130"/>
      <c r="H130" s="130"/>
      <c r="I130" s="1230"/>
      <c r="J130" s="130"/>
      <c r="K130" s="130"/>
      <c r="L130" s="130"/>
      <c r="M130" s="130"/>
      <c r="N130" s="130"/>
      <c r="O130" s="130"/>
      <c r="P130" s="130"/>
      <c r="Q130" s="530">
        <f t="shared" ca="1" si="97"/>
        <v>0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s="131" customFormat="1" ht="15.5">
      <c r="A131" s="867" t="str">
        <f>Table3[[#This Row],[Product]]</f>
        <v>NGL (m3)</v>
      </c>
      <c r="B131" s="834" t="s">
        <v>76</v>
      </c>
      <c r="C131" s="130" t="s">
        <v>531</v>
      </c>
      <c r="D131" s="130"/>
      <c r="E131" s="130"/>
      <c r="F131" s="130"/>
      <c r="G131" s="130"/>
      <c r="H131" s="130"/>
      <c r="I131" s="1230"/>
      <c r="J131" s="130"/>
      <c r="K131" s="130"/>
      <c r="L131" s="130"/>
      <c r="M131" s="130"/>
      <c r="N131" s="130"/>
      <c r="O131" s="130"/>
      <c r="P131" s="130"/>
      <c r="Q131" s="530"/>
      <c r="R131"/>
    </row>
    <row r="132" spans="1:34" s="131" customFormat="1" ht="15.5">
      <c r="A132" s="867" t="str">
        <f>Table3[[#This Row],[Product]]</f>
        <v>NGL (m3)</v>
      </c>
      <c r="B132" s="834"/>
      <c r="C132" s="132" t="s">
        <v>35</v>
      </c>
      <c r="D132" s="130">
        <f>D125</f>
        <v>0</v>
      </c>
      <c r="E132" s="130">
        <f t="shared" ref="E132:P132" si="98">E125</f>
        <v>0</v>
      </c>
      <c r="F132" s="130">
        <f t="shared" si="98"/>
        <v>0</v>
      </c>
      <c r="G132" s="130">
        <f t="shared" si="98"/>
        <v>0</v>
      </c>
      <c r="H132" s="130">
        <f t="shared" si="98"/>
        <v>0</v>
      </c>
      <c r="I132" s="1239">
        <f t="shared" si="98"/>
        <v>0</v>
      </c>
      <c r="J132" s="130">
        <f t="shared" si="98"/>
        <v>0</v>
      </c>
      <c r="K132" s="130">
        <f t="shared" si="98"/>
        <v>0</v>
      </c>
      <c r="L132" s="130">
        <f t="shared" si="98"/>
        <v>0</v>
      </c>
      <c r="M132" s="130">
        <f t="shared" si="98"/>
        <v>0</v>
      </c>
      <c r="N132" s="130">
        <f t="shared" si="98"/>
        <v>0</v>
      </c>
      <c r="O132" s="130">
        <f t="shared" si="98"/>
        <v>0</v>
      </c>
      <c r="P132" s="130">
        <f t="shared" si="98"/>
        <v>0</v>
      </c>
      <c r="Q132" s="530">
        <f t="shared" ca="1" si="97"/>
        <v>0</v>
      </c>
      <c r="R132"/>
    </row>
    <row r="133" spans="1:34" s="131" customFormat="1" ht="15.5">
      <c r="A133" s="867" t="str">
        <f>Table3[[#This Row],[Product]]</f>
        <v>NGL (m3)</v>
      </c>
      <c r="B133" s="834"/>
      <c r="C133" s="132" t="s">
        <v>36</v>
      </c>
      <c r="D133" s="130">
        <f>SUM(D126:D127)</f>
        <v>0</v>
      </c>
      <c r="E133" s="130">
        <f t="shared" ref="E133:P133" si="99">SUM(E126:E127)</f>
        <v>0</v>
      </c>
      <c r="F133" s="130">
        <f t="shared" si="99"/>
        <v>0</v>
      </c>
      <c r="G133" s="130">
        <f t="shared" si="99"/>
        <v>0</v>
      </c>
      <c r="H133" s="130">
        <f t="shared" si="99"/>
        <v>0</v>
      </c>
      <c r="I133" s="1239">
        <f t="shared" si="99"/>
        <v>0</v>
      </c>
      <c r="J133" s="130">
        <f t="shared" si="99"/>
        <v>0</v>
      </c>
      <c r="K133" s="130">
        <f t="shared" si="99"/>
        <v>0</v>
      </c>
      <c r="L133" s="130">
        <f t="shared" si="99"/>
        <v>0</v>
      </c>
      <c r="M133" s="130">
        <f t="shared" si="99"/>
        <v>0</v>
      </c>
      <c r="N133" s="130">
        <f t="shared" si="99"/>
        <v>0</v>
      </c>
      <c r="O133" s="130">
        <f t="shared" si="99"/>
        <v>0</v>
      </c>
      <c r="P133" s="130">
        <f t="shared" si="99"/>
        <v>0</v>
      </c>
      <c r="Q133" s="530">
        <f t="shared" ca="1" si="97"/>
        <v>0</v>
      </c>
      <c r="R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s="131" customFormat="1" ht="15.5">
      <c r="A134" s="867" t="str">
        <f>Table3[[#This Row],[Product]]</f>
        <v>NGL (m3)</v>
      </c>
      <c r="B134" s="834"/>
      <c r="C134" s="133" t="s">
        <v>37</v>
      </c>
      <c r="D134" s="130">
        <f>SUM(D125:D130)</f>
        <v>0</v>
      </c>
      <c r="E134" s="130">
        <f t="shared" ref="E134:P134" si="100">SUM(E125:E130)</f>
        <v>0</v>
      </c>
      <c r="F134" s="130">
        <f t="shared" si="100"/>
        <v>0</v>
      </c>
      <c r="G134" s="130">
        <f t="shared" si="100"/>
        <v>0</v>
      </c>
      <c r="H134" s="130">
        <f t="shared" si="100"/>
        <v>0</v>
      </c>
      <c r="I134" s="1239">
        <f t="shared" si="100"/>
        <v>0</v>
      </c>
      <c r="J134" s="130">
        <f t="shared" si="100"/>
        <v>0</v>
      </c>
      <c r="K134" s="130">
        <f t="shared" si="100"/>
        <v>0</v>
      </c>
      <c r="L134" s="130">
        <f t="shared" si="100"/>
        <v>0</v>
      </c>
      <c r="M134" s="130">
        <f t="shared" si="100"/>
        <v>0</v>
      </c>
      <c r="N134" s="130">
        <f t="shared" si="100"/>
        <v>0</v>
      </c>
      <c r="O134" s="130">
        <f t="shared" si="100"/>
        <v>0</v>
      </c>
      <c r="P134" s="130">
        <f t="shared" si="100"/>
        <v>0</v>
      </c>
      <c r="Q134" s="530">
        <f t="shared" ca="1" si="97"/>
        <v>0</v>
      </c>
      <c r="R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ht="27.65" customHeight="1">
      <c r="A135" s="867" t="str">
        <f>Table3[[#This Row],[Product]]</f>
        <v>NGL (Ton)</v>
      </c>
      <c r="B135" s="829" t="s">
        <v>25</v>
      </c>
      <c r="C135" s="28" t="s">
        <v>72</v>
      </c>
      <c r="D135" s="689">
        <v>296213217.58560002</v>
      </c>
      <c r="E135" s="820">
        <v>370576178.1936</v>
      </c>
      <c r="F135" s="971">
        <v>410035722.31299996</v>
      </c>
      <c r="G135" s="1006">
        <v>471928074.72480005</v>
      </c>
      <c r="H135" s="715">
        <v>336135813.12639999</v>
      </c>
      <c r="I135" s="1234">
        <v>489020038.23399997</v>
      </c>
      <c r="J135" s="1134">
        <v>441922197.55000001</v>
      </c>
      <c r="K135" s="230">
        <f>Price!K135*Delivery!K135*'Revenue (Baht)'!K$11</f>
        <v>337257000</v>
      </c>
      <c r="L135" s="230">
        <f>Price!L135*Delivery!L135*'Revenue (Baht)'!L$11</f>
        <v>409411200.00000006</v>
      </c>
      <c r="M135" s="230">
        <f>Price!M135*Delivery!M135*'Revenue (Baht)'!M$11</f>
        <v>347272500</v>
      </c>
      <c r="N135" s="230">
        <f>Price!N135*Delivery!N135*'Revenue (Baht)'!N$11</f>
        <v>310120800</v>
      </c>
      <c r="O135" s="230">
        <f>Price!O135*Delivery!O135*'Revenue (Baht)'!O$11</f>
        <v>369043050.00000006</v>
      </c>
      <c r="P135" s="230">
        <f>Price!P135*Delivery!P135*'Revenue (Baht)'!P$11</f>
        <v>378327600</v>
      </c>
      <c r="Q135" s="230">
        <f>SUM(E135:P135)</f>
        <v>4671050174.1417999</v>
      </c>
    </row>
    <row r="136" spans="1:34" ht="27.65" customHeight="1">
      <c r="A136" s="867" t="str">
        <f>Table3[[#This Row],[Product]]</f>
        <v>NGL (Ton)</v>
      </c>
      <c r="B136" s="829" t="s">
        <v>25</v>
      </c>
      <c r="C136" s="28" t="s">
        <v>73</v>
      </c>
      <c r="D136" s="689">
        <v>123728698.51999998</v>
      </c>
      <c r="E136" s="820">
        <v>0</v>
      </c>
      <c r="F136" s="971">
        <v>0</v>
      </c>
      <c r="G136" s="1006">
        <v>0</v>
      </c>
      <c r="H136" s="715">
        <v>0</v>
      </c>
      <c r="I136" s="1234">
        <v>0</v>
      </c>
      <c r="J136" s="1134">
        <v>0</v>
      </c>
      <c r="K136" s="230">
        <f>Price!K136*Delivery!K136*'Revenue (Baht)'!K$11</f>
        <v>400982076</v>
      </c>
      <c r="L136" s="230">
        <f>Price!L136*Delivery!L136*'Revenue (Baht)'!L$11</f>
        <v>526554691.20000011</v>
      </c>
      <c r="M136" s="230">
        <f>Price!M136*Delivery!M136*'Revenue (Baht)'!M$11</f>
        <v>500482800</v>
      </c>
      <c r="N136" s="230">
        <f>Price!N136*Delivery!N136*'Revenue (Baht)'!N$11</f>
        <v>461839190.4000001</v>
      </c>
      <c r="O136" s="230">
        <f>Price!O136*Delivery!O136*'Revenue (Baht)'!O$11</f>
        <v>492947856.00000006</v>
      </c>
      <c r="P136" s="230">
        <f>Price!P136*Delivery!P136*'Revenue (Baht)'!P$11</f>
        <v>509761123.20000005</v>
      </c>
      <c r="Q136" s="230">
        <f t="shared" ref="Q136:Q144" si="101">SUM(E136:P136)</f>
        <v>2892567736.8000002</v>
      </c>
    </row>
    <row r="137" spans="1:34" ht="27.65" customHeight="1">
      <c r="A137" s="867" t="str">
        <f>Table3[[#This Row],[Product]]</f>
        <v>NGL (Ton)</v>
      </c>
      <c r="B137" s="829" t="s">
        <v>25</v>
      </c>
      <c r="C137" s="28" t="s">
        <v>74</v>
      </c>
      <c r="D137" s="689">
        <v>239028323.09999996</v>
      </c>
      <c r="E137" s="820">
        <v>448442364.94999999</v>
      </c>
      <c r="F137" s="971">
        <v>431631514.27999997</v>
      </c>
      <c r="G137" s="1006">
        <v>505383558.81999999</v>
      </c>
      <c r="H137" s="1234">
        <v>499118065.58999997</v>
      </c>
      <c r="I137" s="1234">
        <v>524189114.82000005</v>
      </c>
      <c r="J137" s="1134">
        <v>542780963.00999999</v>
      </c>
      <c r="K137" s="230">
        <f>Price!K137*Delivery!K137*'Revenue (Baht)'!K$11</f>
        <v>0</v>
      </c>
      <c r="L137" s="230">
        <f>Price!L137*Delivery!L137*'Revenue (Baht)'!L$11</f>
        <v>0</v>
      </c>
      <c r="M137" s="230">
        <f>Price!M137*Delivery!M137*'Revenue (Baht)'!M$11</f>
        <v>0</v>
      </c>
      <c r="N137" s="230">
        <f>Price!N137*Delivery!N137*'Revenue (Baht)'!N$11</f>
        <v>0</v>
      </c>
      <c r="O137" s="230">
        <f>Price!O137*Delivery!O137*'Revenue (Baht)'!O$11</f>
        <v>0</v>
      </c>
      <c r="P137" s="230">
        <f>Price!P137*Delivery!P137*'Revenue (Baht)'!P$11</f>
        <v>0</v>
      </c>
      <c r="Q137" s="230">
        <f t="shared" si="101"/>
        <v>2951545581.4700003</v>
      </c>
    </row>
    <row r="138" spans="1:34" ht="27.65" customHeight="1">
      <c r="A138" s="867" t="str">
        <f>Table3[[#This Row],[Product]]</f>
        <v>NGL (Ton)</v>
      </c>
      <c r="B138" s="829" t="s">
        <v>25</v>
      </c>
      <c r="C138" s="28" t="s">
        <v>77</v>
      </c>
      <c r="D138" s="689">
        <v>15882787.560000001</v>
      </c>
      <c r="E138" s="820">
        <v>0</v>
      </c>
      <c r="F138" s="971">
        <v>17711051.866900001</v>
      </c>
      <c r="G138" s="1006">
        <v>0</v>
      </c>
      <c r="H138" s="230">
        <v>0</v>
      </c>
      <c r="I138" s="1234">
        <v>0</v>
      </c>
      <c r="J138" s="1134">
        <v>0</v>
      </c>
      <c r="K138" s="230">
        <f>Price!K138*Delivery!K138*'Revenue (Baht)'!K$11</f>
        <v>19083219.720198508</v>
      </c>
      <c r="L138" s="230">
        <f>Price!L138*Delivery!L138*'Revenue (Baht)'!L$11</f>
        <v>0</v>
      </c>
      <c r="M138" s="230">
        <f>Price!M138*Delivery!M138*'Revenue (Baht)'!M$11</f>
        <v>0</v>
      </c>
      <c r="N138" s="230">
        <f>Price!N138*Delivery!N138*'Revenue (Baht)'!N$11</f>
        <v>0</v>
      </c>
      <c r="O138" s="230">
        <f>Price!O138*Delivery!O138*'Revenue (Baht)'!O$11</f>
        <v>0</v>
      </c>
      <c r="P138" s="230">
        <f>Price!P138*Delivery!P138*'Revenue (Baht)'!P$11</f>
        <v>0</v>
      </c>
      <c r="Q138" s="230">
        <f t="shared" si="101"/>
        <v>36794271.587098509</v>
      </c>
    </row>
    <row r="139" spans="1:34" ht="27.65" customHeight="1">
      <c r="A139" s="867" t="str">
        <f>Table3[[#This Row],[Product]]</f>
        <v>NGL (Ton)</v>
      </c>
      <c r="B139" s="829" t="s">
        <v>25</v>
      </c>
      <c r="C139" s="28" t="s">
        <v>78</v>
      </c>
      <c r="D139" s="689">
        <v>15514724.612000002</v>
      </c>
      <c r="E139" s="820">
        <v>0</v>
      </c>
      <c r="F139" s="971">
        <v>0</v>
      </c>
      <c r="G139" s="1006">
        <v>0</v>
      </c>
      <c r="H139" s="230">
        <v>0</v>
      </c>
      <c r="I139" s="1234">
        <v>0</v>
      </c>
      <c r="J139" s="1134">
        <v>0</v>
      </c>
      <c r="K139" s="230">
        <f>Price!K139*Delivery!K139*'Revenue (Baht)'!K$11</f>
        <v>0</v>
      </c>
      <c r="L139" s="230">
        <f>Price!L139*Delivery!L139*'Revenue (Baht)'!L$11</f>
        <v>0</v>
      </c>
      <c r="M139" s="230">
        <f>Price!M139*Delivery!M139*'Revenue (Baht)'!M$11</f>
        <v>0</v>
      </c>
      <c r="N139" s="230">
        <f>Price!N139*Delivery!N139*'Revenue (Baht)'!N$11</f>
        <v>0</v>
      </c>
      <c r="O139" s="230">
        <f>Price!O139*Delivery!O139*'Revenue (Baht)'!O$11</f>
        <v>0</v>
      </c>
      <c r="P139" s="230">
        <f>Price!P139*Delivery!P139*'Revenue (Baht)'!P$11</f>
        <v>0</v>
      </c>
      <c r="Q139" s="230">
        <f t="shared" si="101"/>
        <v>0</v>
      </c>
    </row>
    <row r="140" spans="1:34" ht="27.65" customHeight="1">
      <c r="A140" s="867" t="str">
        <f>Table3[[#This Row],[Product]]</f>
        <v>NGL (Ton)</v>
      </c>
      <c r="B140" s="829" t="s">
        <v>76</v>
      </c>
      <c r="C140" s="28" t="s">
        <v>75</v>
      </c>
      <c r="D140" s="689">
        <v>0</v>
      </c>
      <c r="E140" s="820">
        <v>15788502.3168</v>
      </c>
      <c r="F140" s="971">
        <v>0</v>
      </c>
      <c r="G140" s="1006">
        <v>18953427.035700001</v>
      </c>
      <c r="H140" s="715">
        <v>19447884.709600002</v>
      </c>
      <c r="I140" s="1234">
        <v>20732228.804000001</v>
      </c>
      <c r="J140" s="1134">
        <v>22935975.2359</v>
      </c>
      <c r="K140" s="230">
        <f>Price!K140*Delivery!K140*'Revenue (Baht)'!K$11</f>
        <v>20143398.59354287</v>
      </c>
      <c r="L140" s="230">
        <f>Price!L140*Delivery!L140*'Revenue (Baht)'!L$11</f>
        <v>59961477.940628603</v>
      </c>
      <c r="M140" s="230">
        <f>Price!M140*Delivery!M140*'Revenue (Baht)'!M$11</f>
        <v>39156555.587085746</v>
      </c>
      <c r="N140" s="230">
        <f>Price!N140*Delivery!N140*'Revenue (Baht)'!N$11</f>
        <v>58605188.020628601</v>
      </c>
      <c r="O140" s="230">
        <f>Price!O140*Delivery!O140*'Revenue (Baht)'!O$11</f>
        <v>38478410.627085738</v>
      </c>
      <c r="P140" s="230">
        <f>Price!P140*Delivery!P140*'Revenue (Baht)'!P$11</f>
        <v>57767479.540628612</v>
      </c>
      <c r="Q140" s="230">
        <f t="shared" si="101"/>
        <v>371970528.41160017</v>
      </c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</row>
    <row r="141" spans="1:34" ht="27.65" customHeight="1">
      <c r="A141" s="867" t="str">
        <f>Table3[[#This Row],[Product]]</f>
        <v>NGL (Ton)</v>
      </c>
      <c r="B141" s="829" t="s">
        <v>76</v>
      </c>
      <c r="C141" s="28" t="s">
        <v>531</v>
      </c>
      <c r="D141" s="689">
        <v>25419523.113400005</v>
      </c>
      <c r="E141" s="820">
        <v>15893305.01</v>
      </c>
      <c r="F141" s="971">
        <v>19991540.199999999</v>
      </c>
      <c r="G141" s="1006">
        <v>39880747.109999999</v>
      </c>
      <c r="H141" s="715">
        <v>21606875.120000001</v>
      </c>
      <c r="I141" s="1234">
        <v>42258308.310000002</v>
      </c>
      <c r="J141" s="1134">
        <v>22198214.489999998</v>
      </c>
      <c r="K141" s="230">
        <f>Price!K141*Delivery!K141*'Revenue (Baht)'!K$11</f>
        <v>0</v>
      </c>
      <c r="L141" s="230">
        <f>Price!L141*Delivery!L141*'Revenue (Baht)'!L$11</f>
        <v>0</v>
      </c>
      <c r="M141" s="230">
        <f>Price!M141*Delivery!M141*'Revenue (Baht)'!M$11</f>
        <v>0</v>
      </c>
      <c r="N141" s="230">
        <f>Price!N141*Delivery!N141*'Revenue (Baht)'!N$11</f>
        <v>0</v>
      </c>
      <c r="O141" s="230">
        <f>Price!O141*Delivery!O141*'Revenue (Baht)'!O$11</f>
        <v>0</v>
      </c>
      <c r="P141" s="230">
        <f>Price!P141*Delivery!P141*'Revenue (Baht)'!P$11</f>
        <v>0</v>
      </c>
      <c r="Q141" s="230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</row>
    <row r="142" spans="1:34" ht="31.5" customHeight="1">
      <c r="A142" s="866" t="str">
        <f>Table3[[#This Row],[Product]]</f>
        <v>NGL (Ton)</v>
      </c>
      <c r="B142" s="829"/>
      <c r="C142" s="33" t="s">
        <v>35</v>
      </c>
      <c r="D142" s="803">
        <f>D135</f>
        <v>296213217.58560002</v>
      </c>
      <c r="E142" s="822">
        <f t="shared" ref="E142:P142" si="102">E135</f>
        <v>370576178.1936</v>
      </c>
      <c r="F142" s="822">
        <f t="shared" si="102"/>
        <v>410035722.31299996</v>
      </c>
      <c r="G142" s="822">
        <f t="shared" si="102"/>
        <v>471928074.72480005</v>
      </c>
      <c r="H142" s="1049">
        <f>H135</f>
        <v>336135813.12639999</v>
      </c>
      <c r="I142" s="822">
        <f t="shared" si="102"/>
        <v>489020038.23399997</v>
      </c>
      <c r="J142" s="822">
        <f t="shared" si="102"/>
        <v>441922197.55000001</v>
      </c>
      <c r="K142" s="230">
        <f t="shared" si="102"/>
        <v>337257000</v>
      </c>
      <c r="L142" s="230">
        <f t="shared" si="102"/>
        <v>409411200.00000006</v>
      </c>
      <c r="M142" s="230">
        <f t="shared" si="102"/>
        <v>347272500</v>
      </c>
      <c r="N142" s="230">
        <f t="shared" si="102"/>
        <v>310120800</v>
      </c>
      <c r="O142" s="230">
        <f t="shared" si="102"/>
        <v>369043050.00000006</v>
      </c>
      <c r="P142" s="230">
        <f t="shared" si="102"/>
        <v>378327600</v>
      </c>
      <c r="Q142" s="230">
        <f t="shared" si="101"/>
        <v>4671050174.1417999</v>
      </c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</row>
    <row r="143" spans="1:34" ht="31.5" customHeight="1">
      <c r="A143" s="866" t="str">
        <f>Table3[[#This Row],[Product]]</f>
        <v>NGL (Ton)</v>
      </c>
      <c r="B143" s="829"/>
      <c r="C143" s="33" t="s">
        <v>36</v>
      </c>
      <c r="D143" s="803">
        <f>SUM(D136:D137)</f>
        <v>362757021.61999995</v>
      </c>
      <c r="E143" s="822">
        <f t="shared" ref="E143:P143" si="103">SUM(E136:E137)</f>
        <v>448442364.94999999</v>
      </c>
      <c r="F143" s="822">
        <f t="shared" si="103"/>
        <v>431631514.27999997</v>
      </c>
      <c r="G143" s="822">
        <f t="shared" si="103"/>
        <v>505383558.81999999</v>
      </c>
      <c r="H143" s="1049">
        <f t="shared" si="103"/>
        <v>499118065.58999997</v>
      </c>
      <c r="I143" s="822">
        <f>SUM(I136:I137)</f>
        <v>524189114.82000005</v>
      </c>
      <c r="J143" s="822">
        <f t="shared" si="103"/>
        <v>542780963.00999999</v>
      </c>
      <c r="K143" s="230">
        <f t="shared" si="103"/>
        <v>400982076</v>
      </c>
      <c r="L143" s="230">
        <f t="shared" si="103"/>
        <v>526554691.20000011</v>
      </c>
      <c r="M143" s="230">
        <f t="shared" si="103"/>
        <v>500482800</v>
      </c>
      <c r="N143" s="230">
        <f t="shared" si="103"/>
        <v>461839190.4000001</v>
      </c>
      <c r="O143" s="230">
        <f t="shared" si="103"/>
        <v>492947856.00000006</v>
      </c>
      <c r="P143" s="230">
        <f t="shared" si="103"/>
        <v>509761123.20000005</v>
      </c>
      <c r="Q143" s="230">
        <f t="shared" si="101"/>
        <v>5844113318.2699995</v>
      </c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1"/>
    </row>
    <row r="144" spans="1:34" ht="22.25" customHeight="1">
      <c r="A144" s="866" t="str">
        <f>Table3[[#This Row],[Product]]</f>
        <v>NGL (Ton)</v>
      </c>
      <c r="B144" s="829"/>
      <c r="C144" s="34" t="s">
        <v>37</v>
      </c>
      <c r="D144" s="803">
        <f>SUM(D135:D141)</f>
        <v>715787274.49099994</v>
      </c>
      <c r="E144" s="950">
        <f>SUM(E135:E141)</f>
        <v>850700350.47039998</v>
      </c>
      <c r="F144" s="822">
        <f t="shared" ref="F144:P144" si="104">SUM(F135:F141)</f>
        <v>879369828.65989995</v>
      </c>
      <c r="G144" s="822">
        <f t="shared" si="104"/>
        <v>1036145807.6905</v>
      </c>
      <c r="H144" s="1049">
        <f t="shared" si="104"/>
        <v>876308638.54599988</v>
      </c>
      <c r="I144" s="822">
        <f>SUM(I135:I141)</f>
        <v>1076199690.168</v>
      </c>
      <c r="J144" s="822">
        <f t="shared" si="104"/>
        <v>1029837350.2859</v>
      </c>
      <c r="K144" s="717">
        <f t="shared" si="104"/>
        <v>777465694.31374133</v>
      </c>
      <c r="L144" s="717">
        <f t="shared" si="104"/>
        <v>995927369.14062881</v>
      </c>
      <c r="M144" s="717">
        <f t="shared" si="104"/>
        <v>886911855.58708572</v>
      </c>
      <c r="N144" s="717">
        <f t="shared" si="104"/>
        <v>830565178.42062867</v>
      </c>
      <c r="O144" s="717">
        <f t="shared" si="104"/>
        <v>900469316.6270858</v>
      </c>
      <c r="P144" s="717">
        <f t="shared" si="104"/>
        <v>945856202.74062872</v>
      </c>
      <c r="Q144" s="717">
        <f t="shared" si="101"/>
        <v>11085757282.650501</v>
      </c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1"/>
    </row>
    <row r="145" spans="1:34" ht="21.65" customHeight="1">
      <c r="A145" s="867" t="str">
        <f>Table3[[#This Row],[Product]]</f>
        <v>Pentane</v>
      </c>
      <c r="B145" s="829" t="s">
        <v>25</v>
      </c>
      <c r="C145" s="28" t="s">
        <v>80</v>
      </c>
      <c r="D145" s="689">
        <v>0</v>
      </c>
      <c r="E145" s="820">
        <f>Price!E145*Delivery!E145*'Revenue (Baht)'!E$11</f>
        <v>0</v>
      </c>
      <c r="F145" s="971">
        <f>Price!F145*Delivery!F145*'Revenue (Baht)'!F$11</f>
        <v>0</v>
      </c>
      <c r="G145" s="230">
        <f>Price!G145*Delivery!G145*'Revenue (Baht)'!G$11</f>
        <v>0</v>
      </c>
      <c r="H145" s="230">
        <f>Price!H145*Delivery!H145*'Revenue (Baht)'!H$11</f>
        <v>0</v>
      </c>
      <c r="I145" s="1234">
        <v>0</v>
      </c>
      <c r="J145" s="1282">
        <v>0</v>
      </c>
      <c r="K145" s="230">
        <f>Price!K145*Delivery!K145*'Revenue (Baht)'!K$11</f>
        <v>0</v>
      </c>
      <c r="L145" s="230">
        <f>Price!L145*Delivery!L145*'Revenue (Baht)'!L$11</f>
        <v>0</v>
      </c>
      <c r="M145" s="230">
        <f>Price!M145*Delivery!M145*'Revenue (Baht)'!M$11</f>
        <v>0</v>
      </c>
      <c r="N145" s="230">
        <f>Price!N145*Delivery!N145*'Revenue (Baht)'!N$11</f>
        <v>0</v>
      </c>
      <c r="O145" s="230">
        <f>Price!O145*Delivery!O145*'Revenue (Baht)'!O$11</f>
        <v>0</v>
      </c>
      <c r="P145" s="230">
        <f>Price!P145*Delivery!P145*'Revenue (Baht)'!P$11</f>
        <v>0</v>
      </c>
      <c r="Q145" s="528">
        <f>SUM(E145:P145)</f>
        <v>0</v>
      </c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</row>
    <row r="146" spans="1:34" ht="21.65" customHeight="1">
      <c r="A146" s="867" t="str">
        <f>Table3[[#This Row],[Product]]</f>
        <v>Pentane</v>
      </c>
      <c r="B146" s="829" t="s">
        <v>25</v>
      </c>
      <c r="C146" s="28" t="s">
        <v>81</v>
      </c>
      <c r="D146" s="689">
        <v>23434393.5</v>
      </c>
      <c r="E146" s="820">
        <v>27682702.400000002</v>
      </c>
      <c r="F146" s="971">
        <v>56245578.899999999</v>
      </c>
      <c r="G146" s="1006">
        <v>68177595.989999995</v>
      </c>
      <c r="H146" s="715">
        <v>61431282.359999999</v>
      </c>
      <c r="I146" s="1234">
        <v>62533484.039999999</v>
      </c>
      <c r="J146" s="1282">
        <v>64801356.300000004</v>
      </c>
      <c r="K146" s="230">
        <f>Price!K146*Delivery!K146*'Revenue (Baht)'!K$11</f>
        <v>71921735.999999985</v>
      </c>
      <c r="L146" s="230">
        <f>Price!L146*Delivery!L146*'Revenue (Baht)'!L$11</f>
        <v>71355254.400000006</v>
      </c>
      <c r="M146" s="230">
        <f>Price!M146*Delivery!M146*'Revenue (Baht)'!M$11</f>
        <v>67618800</v>
      </c>
      <c r="N146" s="230">
        <f>Price!N146*Delivery!N146*'Revenue (Baht)'!N$11</f>
        <v>69716073.600000009</v>
      </c>
      <c r="O146" s="230">
        <f>Price!O146*Delivery!O146*'Revenue (Baht)'!O$11</f>
        <v>66429072.000000015</v>
      </c>
      <c r="P146" s="230">
        <f>Price!P146*Delivery!P146*'Revenue (Baht)'!P$11</f>
        <v>68703638.399999991</v>
      </c>
      <c r="Q146" s="717">
        <f t="shared" ref="Q146:Q148" si="105">SUM(E146:P146)</f>
        <v>756616574.38999999</v>
      </c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</row>
    <row r="147" spans="1:34" ht="21.65" customHeight="1">
      <c r="A147" s="870" t="str">
        <f>Table3[[#This Row],[Product]]</f>
        <v>Pentane</v>
      </c>
      <c r="B147" s="829" t="s">
        <v>25</v>
      </c>
      <c r="C147" s="28" t="s">
        <v>82</v>
      </c>
      <c r="D147" s="689">
        <v>0</v>
      </c>
      <c r="E147" s="820">
        <f>Price!E147*Delivery!E147*'Revenue (Baht)'!E$11</f>
        <v>0</v>
      </c>
      <c r="F147" s="971">
        <f>Price!F147*Delivery!F147*'Revenue (Baht)'!F$11</f>
        <v>0</v>
      </c>
      <c r="G147" s="230">
        <f>Price!G147*Delivery!G147*'Revenue (Baht)'!G$11</f>
        <v>0</v>
      </c>
      <c r="H147" s="230">
        <f>Price!H147*Delivery!H147*'Revenue (Baht)'!H$11</f>
        <v>0</v>
      </c>
      <c r="I147" s="1234">
        <v>0</v>
      </c>
      <c r="J147" s="1282">
        <v>0</v>
      </c>
      <c r="K147" s="230">
        <f>Price!K147*Delivery!K147*'Revenue (Baht)'!K$11</f>
        <v>0</v>
      </c>
      <c r="L147" s="230">
        <f>Price!L147*Delivery!L147*'Revenue (Baht)'!L$11</f>
        <v>0</v>
      </c>
      <c r="M147" s="230">
        <f>Price!M147*Delivery!M147*'Revenue (Baht)'!M$11</f>
        <v>0</v>
      </c>
      <c r="N147" s="230">
        <f>Price!N147*Delivery!N147*'Revenue (Baht)'!N$11</f>
        <v>0</v>
      </c>
      <c r="O147" s="230">
        <f>Price!O147*Delivery!O147*'Revenue (Baht)'!O$11</f>
        <v>0</v>
      </c>
      <c r="P147" s="230">
        <f>Price!P147*Delivery!P147*'Revenue (Baht)'!P$11</f>
        <v>0</v>
      </c>
      <c r="Q147" s="717">
        <f t="shared" si="105"/>
        <v>0</v>
      </c>
    </row>
    <row r="148" spans="1:34" ht="21.65" customHeight="1">
      <c r="A148" s="870" t="str">
        <f>Table3[[#This Row],[Product]]</f>
        <v>Pentane</v>
      </c>
      <c r="B148" s="829"/>
      <c r="C148" s="34" t="s">
        <v>37</v>
      </c>
      <c r="D148" s="803">
        <f>SUM(D145:D147)</f>
        <v>23434393.5</v>
      </c>
      <c r="E148" s="950">
        <f t="shared" ref="E148:P148" si="106">SUM(E145:E147)</f>
        <v>27682702.400000002</v>
      </c>
      <c r="F148" s="822">
        <f t="shared" si="106"/>
        <v>56245578.899999999</v>
      </c>
      <c r="G148" s="822">
        <f t="shared" si="106"/>
        <v>68177595.989999995</v>
      </c>
      <c r="H148" s="1049">
        <f t="shared" si="106"/>
        <v>61431282.359999999</v>
      </c>
      <c r="I148" s="822">
        <f t="shared" si="106"/>
        <v>62533484.039999999</v>
      </c>
      <c r="J148" s="822">
        <f t="shared" si="106"/>
        <v>64801356.300000004</v>
      </c>
      <c r="K148" s="717">
        <f t="shared" si="106"/>
        <v>71921735.999999985</v>
      </c>
      <c r="L148" s="717">
        <f t="shared" si="106"/>
        <v>71355254.400000006</v>
      </c>
      <c r="M148" s="717">
        <f t="shared" si="106"/>
        <v>67618800</v>
      </c>
      <c r="N148" s="717">
        <f t="shared" si="106"/>
        <v>69716073.600000009</v>
      </c>
      <c r="O148" s="717">
        <f t="shared" si="106"/>
        <v>66429072.000000015</v>
      </c>
      <c r="P148" s="717">
        <f t="shared" si="106"/>
        <v>68703638.399999991</v>
      </c>
      <c r="Q148" s="717">
        <f t="shared" si="105"/>
        <v>756616574.38999999</v>
      </c>
    </row>
    <row r="149" spans="1:34" ht="22.5" customHeight="1">
      <c r="B149" s="829" t="s">
        <v>25</v>
      </c>
      <c r="C149" s="28" t="s">
        <v>84</v>
      </c>
      <c r="D149" s="689">
        <v>15526508.225000001</v>
      </c>
      <c r="E149" s="820">
        <v>15288259.884</v>
      </c>
      <c r="F149" s="971">
        <v>15103104.1446</v>
      </c>
      <c r="G149" s="1006">
        <v>19146488.546999998</v>
      </c>
      <c r="H149" s="1134">
        <v>16984484.7663</v>
      </c>
      <c r="I149" s="1234">
        <v>18707341.962299999</v>
      </c>
      <c r="J149" s="1282">
        <v>18292215.869099997</v>
      </c>
      <c r="K149" s="230">
        <f>Price!K149*Delivery!K149*'Revenue (Baht)'!K$11</f>
        <v>612370500</v>
      </c>
      <c r="L149" s="230">
        <f>Price!L149*Delivery!L149*'Revenue (Baht)'!L$11</f>
        <v>612370500</v>
      </c>
      <c r="M149" s="230">
        <f>Price!M149*Delivery!M149*'Revenue (Baht)'!M$11</f>
        <v>612370500</v>
      </c>
      <c r="N149" s="230">
        <f>Price!N149*Delivery!N149*'Revenue (Baht)'!N$11</f>
        <v>612370500</v>
      </c>
      <c r="O149" s="230">
        <f>Price!O149*Delivery!O149*'Revenue (Baht)'!O$11</f>
        <v>612370500</v>
      </c>
      <c r="P149" s="230">
        <f>Price!P149*Delivery!P149*'Revenue (Baht)'!P$11</f>
        <v>612370500</v>
      </c>
      <c r="Q149" s="717">
        <f>SUM(E149:P149)</f>
        <v>3777744895.1732998</v>
      </c>
    </row>
    <row r="150" spans="1:34" ht="23.4" customHeight="1">
      <c r="B150" s="829" t="s">
        <v>25</v>
      </c>
      <c r="C150" s="28" t="s">
        <v>85</v>
      </c>
      <c r="D150" s="689">
        <v>7546824.8815000001</v>
      </c>
      <c r="E150" s="820">
        <v>7436992.3505999995</v>
      </c>
      <c r="F150" s="971">
        <v>6782683.6167000001</v>
      </c>
      <c r="G150" s="1006">
        <v>8308909.6010999987</v>
      </c>
      <c r="H150" s="1134">
        <v>7170302.8493999997</v>
      </c>
      <c r="I150" s="1234">
        <v>8193977.6060999986</v>
      </c>
      <c r="J150" s="1282">
        <v>7678869.5408999994</v>
      </c>
      <c r="K150" s="230">
        <f>Price!K150*Delivery!K150*'Revenue (Baht)'!K$11</f>
        <v>349926000</v>
      </c>
      <c r="L150" s="230">
        <f>Price!L150*Delivery!L150*'Revenue (Baht)'!L$11</f>
        <v>349926000</v>
      </c>
      <c r="M150" s="230">
        <f>Price!M150*Delivery!M150*'Revenue (Baht)'!M$11</f>
        <v>349926000</v>
      </c>
      <c r="N150" s="230">
        <f>Price!N150*Delivery!N150*'Revenue (Baht)'!N$11</f>
        <v>349926000</v>
      </c>
      <c r="O150" s="230">
        <f>Price!O150*Delivery!O150*'Revenue (Baht)'!O$11</f>
        <v>349926000</v>
      </c>
      <c r="P150" s="230">
        <f>Price!P150*Delivery!P150*'Revenue (Baht)'!P$11</f>
        <v>349926000</v>
      </c>
      <c r="Q150" s="717">
        <f t="shared" ref="Q150:Q151" si="107">SUM(E150:P150)</f>
        <v>2145127735.5648</v>
      </c>
    </row>
    <row r="151" spans="1:34" ht="23.4" customHeight="1">
      <c r="B151" s="835"/>
      <c r="C151" s="836" t="s">
        <v>37</v>
      </c>
      <c r="D151" s="837">
        <f>SUM(D149:D150)</f>
        <v>23073333.1065</v>
      </c>
      <c r="E151" s="838">
        <f t="shared" ref="E151:P151" si="108">SUM(E149:E150)</f>
        <v>22725252.2346</v>
      </c>
      <c r="F151" s="838">
        <f>SUM(F149:F150)</f>
        <v>21885787.761300001</v>
      </c>
      <c r="G151" s="838">
        <f t="shared" si="108"/>
        <v>27455398.148099996</v>
      </c>
      <c r="H151" s="838">
        <f t="shared" si="108"/>
        <v>24154787.615699999</v>
      </c>
      <c r="I151" s="838">
        <f t="shared" si="108"/>
        <v>26901319.568399996</v>
      </c>
      <c r="J151" s="838">
        <f t="shared" si="108"/>
        <v>25971085.409999996</v>
      </c>
      <c r="K151" s="839">
        <f t="shared" si="108"/>
        <v>962296500</v>
      </c>
      <c r="L151" s="839">
        <f t="shared" si="108"/>
        <v>962296500</v>
      </c>
      <c r="M151" s="839">
        <f t="shared" si="108"/>
        <v>962296500</v>
      </c>
      <c r="N151" s="839">
        <f t="shared" si="108"/>
        <v>962296500</v>
      </c>
      <c r="O151" s="839">
        <f t="shared" si="108"/>
        <v>962296500</v>
      </c>
      <c r="P151" s="839">
        <f t="shared" si="108"/>
        <v>962296500</v>
      </c>
      <c r="Q151" s="839">
        <f t="shared" si="107"/>
        <v>5922872630.7381001</v>
      </c>
    </row>
    <row r="152" spans="1:34" ht="20.399999999999999" customHeight="1">
      <c r="B152" s="835"/>
      <c r="C152" s="223"/>
      <c r="D152" s="223"/>
      <c r="E152" s="1147">
        <f t="shared" ref="E152:Q152" si="109">E37+E52+E69+E95+E117+E118+E119+E144+E148+E96</f>
        <v>8311242970.549799</v>
      </c>
      <c r="F152" s="1147">
        <f t="shared" si="109"/>
        <v>8385689114.4009991</v>
      </c>
      <c r="G152" s="1147">
        <f t="shared" si="109"/>
        <v>9662217319.0976753</v>
      </c>
      <c r="H152" s="1147">
        <f t="shared" si="109"/>
        <v>8438861041.9074993</v>
      </c>
      <c r="I152" s="1147">
        <f t="shared" si="109"/>
        <v>9782125164.5762005</v>
      </c>
      <c r="J152" s="1147">
        <f>J37+J52+J69+J95+J117+J118+J119+J144+J148+J96</f>
        <v>9685655792.3430996</v>
      </c>
      <c r="K152" s="1147">
        <f t="shared" si="109"/>
        <v>9677054759.6416569</v>
      </c>
      <c r="L152" s="1147">
        <f t="shared" si="109"/>
        <v>8815163100.3927326</v>
      </c>
      <c r="M152" s="1147">
        <f t="shared" si="109"/>
        <v>8868749598.5966606</v>
      </c>
      <c r="N152" s="1147">
        <f t="shared" si="109"/>
        <v>8082493578.9515753</v>
      </c>
      <c r="O152" s="1147">
        <f t="shared" si="109"/>
        <v>8395326337.3385086</v>
      </c>
      <c r="P152" s="1147">
        <f t="shared" si="109"/>
        <v>9290231865.1727619</v>
      </c>
      <c r="Q152" s="1147">
        <f t="shared" si="109"/>
        <v>107446500367.03677</v>
      </c>
    </row>
    <row r="153" spans="1:34" ht="20.399999999999999" customHeight="1">
      <c r="C153" t="s">
        <v>140</v>
      </c>
      <c r="E153" s="956"/>
    </row>
    <row r="154" spans="1:34" ht="20.399999999999999" customHeight="1">
      <c r="C154" t="s">
        <v>617</v>
      </c>
      <c r="E154" s="956">
        <f>Table2[[#Totals],[ม.ค.-64]]/10^6-'PL (64)'!B15</f>
        <v>309.57072578117641</v>
      </c>
      <c r="F154" s="956">
        <f>Table2[[#Totals],[ก.พ.-64]]/10^6-'PL (64)'!C15</f>
        <v>877.70302474974051</v>
      </c>
      <c r="G154" s="956">
        <f>Table2[[#Totals],[มี.ค.-64]]/10^6-'PL (64)'!D15</f>
        <v>1699.256199612154</v>
      </c>
      <c r="H154" s="231">
        <f>Table2[[#Totals],[เม.ย.-64]]/10^6-'PL (64)'!F15</f>
        <v>651.21501968717894</v>
      </c>
      <c r="I154" s="231">
        <f>Table2[[#Totals],[พ.ค.-64]]/10^6-'PL (64)'!G15</f>
        <v>1864.9840027138762</v>
      </c>
      <c r="J154" s="231">
        <f>Table2[[#Totals],[มิ.ย.-64]]/10^6-'PL (64)'!H15</f>
        <v>1846.0992648712681</v>
      </c>
      <c r="K154" s="231">
        <f>Table2[[#Totals],[ก.ค.-64]]/10^6-'PL (64)'!J15</f>
        <v>2985.2980599542452</v>
      </c>
      <c r="L154" s="958">
        <f>Table2[[#Totals],[ส.ค.-64]]/10^6-'PL (64)'!K15</f>
        <v>800.28669877844277</v>
      </c>
      <c r="M154" s="958">
        <f>Table2[[#Totals],[ก.ย.-64]]/10^6-'PL (64)'!L15</f>
        <v>1318.4766066995253</v>
      </c>
      <c r="N154" s="958">
        <f>Table2[[#Totals],[ต.ค.-64]]/10^6-'PL (64)'!N15</f>
        <v>1439.9391392658836</v>
      </c>
      <c r="O154" s="958">
        <f>Table2[[#Totals],[พ.ย.-64]]/10^6-'PL (64)'!O15</f>
        <v>789.91215197753354</v>
      </c>
      <c r="P154" s="958">
        <f>Table2[[#Totals],[ธ.ค.-64]]/10^6-'PL (64)'!P15</f>
        <v>1267.0725318364985</v>
      </c>
    </row>
    <row r="155" spans="1:34">
      <c r="C155" t="s">
        <v>617</v>
      </c>
      <c r="E155" s="957">
        <f>(Table2[[#Totals],[ม.ค.-64]]/10^6-'PL (64)'!B15)/'PL (64)'!B15</f>
        <v>3.8688253693916194E-2</v>
      </c>
      <c r="F155" s="957">
        <f>(Table2[[#Totals],[ก.พ.-64]]/10^6-'PL (64)'!C15)/'PL (64)'!C15</f>
        <v>0.1169025906906694</v>
      </c>
      <c r="G155" s="957">
        <f>(Table2[[#Totals],[มี.ค.-64]]/10^6-'PL (64)'!D15)/'PL (64)'!D15</f>
        <v>0.21339501400478283</v>
      </c>
      <c r="H155" s="959">
        <f>(Table2[[#Totals],[เม.ย.-64]]/10^6-'PL (64)'!F15)/'PL (64)'!F15</f>
        <v>8.3621548517880923E-2</v>
      </c>
      <c r="I155" s="960">
        <f>(Table2[[#Totals],[พ.ค.-64]]/10^6-'PL (64)'!G15)/'PL (64)'!G15</f>
        <v>0.23556280791072592</v>
      </c>
      <c r="J155" s="959">
        <f>(Table2[[#Totals],[มิ.ย.-64]]/10^6-'PL (64)'!H15)/'PL (64)'!H15</f>
        <v>0.23548516531541797</v>
      </c>
      <c r="K155" s="959">
        <f>(Table2[[#Totals],[ก.ค.-64]]/10^6-'PL (64)'!J15)/'PL (64)'!J15</f>
        <v>0.44611575015775695</v>
      </c>
      <c r="L155" s="959">
        <f>(Table2[[#Totals],[ส.ค.-64]]/10^6-'PL (64)'!K15)/'PL (64)'!K15</f>
        <v>9.9850160960343159E-2</v>
      </c>
      <c r="M155" s="959">
        <f>(Table2[[#Totals],[ก.ย.-64]]/10^6-'PL (64)'!L15)/'PL (64)'!L15</f>
        <v>0.1746263490226776</v>
      </c>
      <c r="N155" s="959">
        <f>(Table2[[#Totals],[ต.ค.-64]]/10^6-'PL (64)'!N15)/'PL (64)'!N15</f>
        <v>0.21677490976408431</v>
      </c>
      <c r="O155" s="959">
        <f>(Table2[[#Totals],[พ.ย.-64]]/10^6-'PL (64)'!O15)/'PL (64)'!O15</f>
        <v>0.10386181905753</v>
      </c>
      <c r="P155" s="959">
        <f>(Table2[[#Totals],[ธ.ค.-64]]/10^6-'PL (64)'!P15)/'PL (64)'!P15</f>
        <v>0.15792688131866039</v>
      </c>
    </row>
    <row r="156" spans="1:34">
      <c r="F156" s="896"/>
    </row>
  </sheetData>
  <mergeCells count="3">
    <mergeCell ref="B2:C2"/>
    <mergeCell ref="B3:B8"/>
    <mergeCell ref="B9:B10"/>
  </mergeCells>
  <phoneticPr fontId="162" type="noConversion"/>
  <conditionalFormatting sqref="D4:P6">
    <cfRule type="cellIs" dxfId="122" priority="2" operator="lessThan">
      <formula>0</formula>
    </cfRule>
  </conditionalFormatting>
  <conditionalFormatting sqref="E154:Q155">
    <cfRule type="cellIs" dxfId="121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9"/>
  </sheetPr>
  <dimension ref="A1:AX169"/>
  <sheetViews>
    <sheetView tabSelected="1" zoomScale="70" zoomScaleNormal="70" workbookViewId="0">
      <pane xSplit="3" topLeftCell="D1" activePane="topRight" state="frozen"/>
      <selection activeCell="B140" sqref="B140"/>
      <selection pane="topRight" activeCell="C13" sqref="C13"/>
    </sheetView>
  </sheetViews>
  <sheetFormatPr defaultRowHeight="14.5"/>
  <cols>
    <col min="1" max="1" width="28.36328125" customWidth="1"/>
    <col min="2" max="2" width="20.1796875" customWidth="1"/>
    <col min="3" max="3" width="46.81640625" customWidth="1"/>
    <col min="4" max="4" width="16.6328125" customWidth="1"/>
    <col min="5" max="5" width="27.81640625" style="720" customWidth="1"/>
    <col min="6" max="16" width="24.453125" style="720" customWidth="1"/>
    <col min="17" max="17" width="17" customWidth="1"/>
    <col min="20" max="33" width="23.90625" customWidth="1"/>
    <col min="37" max="50" width="26.1796875" customWidth="1"/>
  </cols>
  <sheetData>
    <row r="1" spans="1:49" ht="18.5">
      <c r="A1" t="s">
        <v>714</v>
      </c>
      <c r="B1" s="880" t="s">
        <v>146</v>
      </c>
      <c r="C1" s="881"/>
      <c r="D1" s="43">
        <v>242492</v>
      </c>
      <c r="E1" s="43">
        <v>242523</v>
      </c>
      <c r="F1" s="43">
        <v>242554</v>
      </c>
      <c r="G1" s="43">
        <v>242583</v>
      </c>
      <c r="H1" s="43">
        <v>242614</v>
      </c>
      <c r="I1" s="43">
        <v>242644</v>
      </c>
      <c r="J1" s="43">
        <v>242675</v>
      </c>
      <c r="K1" s="43">
        <v>242705</v>
      </c>
      <c r="L1" s="43">
        <v>242736</v>
      </c>
      <c r="M1" s="43">
        <v>242767</v>
      </c>
      <c r="N1" s="43">
        <v>242797</v>
      </c>
      <c r="O1" s="43">
        <v>242828</v>
      </c>
      <c r="P1" s="43">
        <v>242858</v>
      </c>
      <c r="T1" s="786" t="s">
        <v>573</v>
      </c>
      <c r="AK1" s="786" t="s">
        <v>575</v>
      </c>
    </row>
    <row r="2" spans="1:49" ht="15" customHeight="1">
      <c r="A2" s="149" t="s">
        <v>715</v>
      </c>
      <c r="B2" s="62" t="s">
        <v>147</v>
      </c>
      <c r="C2" s="57" t="s">
        <v>148</v>
      </c>
      <c r="D2" s="140">
        <v>183.55340000000001</v>
      </c>
      <c r="E2" s="985">
        <v>184.06479999999999</v>
      </c>
      <c r="F2" s="985">
        <v>182.96960000000001</v>
      </c>
      <c r="G2" s="985">
        <v>183.36779999999999</v>
      </c>
      <c r="H2" s="985">
        <v>193.1071</v>
      </c>
      <c r="I2" s="985">
        <v>193.21520000000001</v>
      </c>
      <c r="J2" s="811">
        <v>184.83099568458204</v>
      </c>
      <c r="K2" s="811">
        <v>186.31251554923099</v>
      </c>
      <c r="L2" s="811">
        <v>185.80194614522304</v>
      </c>
      <c r="M2" s="811">
        <v>184.36249936677962</v>
      </c>
      <c r="N2" s="811">
        <v>177.26050947486152</v>
      </c>
      <c r="O2" s="811">
        <v>178.600986759427</v>
      </c>
      <c r="P2" s="811">
        <v>179.01224101229863</v>
      </c>
      <c r="Q2" s="812"/>
      <c r="T2" t="s">
        <v>5</v>
      </c>
      <c r="U2" s="43">
        <v>23377</v>
      </c>
      <c r="V2" s="43">
        <v>23408</v>
      </c>
      <c r="W2" s="43">
        <v>23437</v>
      </c>
      <c r="X2" s="43">
        <v>23468</v>
      </c>
      <c r="Y2" s="43">
        <v>23498</v>
      </c>
      <c r="Z2" s="43">
        <v>23529</v>
      </c>
      <c r="AA2" s="43">
        <v>23559</v>
      </c>
      <c r="AB2" s="43">
        <v>23590</v>
      </c>
      <c r="AC2" s="43">
        <v>23621</v>
      </c>
      <c r="AD2" s="43">
        <v>23651</v>
      </c>
      <c r="AE2" s="43">
        <v>23682</v>
      </c>
      <c r="AF2" s="43">
        <v>23712</v>
      </c>
      <c r="AK2" t="s">
        <v>5</v>
      </c>
      <c r="AL2" s="790">
        <v>23377</v>
      </c>
      <c r="AM2" s="790">
        <v>23378</v>
      </c>
      <c r="AN2" s="790">
        <v>23379</v>
      </c>
      <c r="AO2" s="790">
        <v>23380</v>
      </c>
      <c r="AP2" s="790">
        <v>23381</v>
      </c>
      <c r="AQ2" s="790">
        <v>23382</v>
      </c>
      <c r="AR2" s="790">
        <v>23383</v>
      </c>
      <c r="AS2" s="790">
        <v>23384</v>
      </c>
      <c r="AT2" s="790">
        <v>23385</v>
      </c>
      <c r="AU2" s="790">
        <v>23386</v>
      </c>
      <c r="AV2" s="790">
        <v>23387</v>
      </c>
      <c r="AW2" s="790">
        <v>23388</v>
      </c>
    </row>
    <row r="3" spans="1:49">
      <c r="B3" s="54" t="s">
        <v>149</v>
      </c>
      <c r="C3" s="58" t="s">
        <v>150</v>
      </c>
      <c r="D3" s="140">
        <v>189.18119999999999</v>
      </c>
      <c r="E3" s="718">
        <v>189.6926</v>
      </c>
      <c r="F3" s="718">
        <v>188.59739999999999</v>
      </c>
      <c r="G3" s="718">
        <v>188.9956</v>
      </c>
      <c r="H3" s="718">
        <v>198.73490000000001</v>
      </c>
      <c r="I3" s="985">
        <v>198.84299999999999</v>
      </c>
      <c r="J3" s="718"/>
      <c r="K3" s="718"/>
      <c r="L3" s="718"/>
      <c r="M3" s="718"/>
      <c r="N3" s="718"/>
      <c r="O3" s="718"/>
      <c r="P3" s="718"/>
      <c r="Q3" s="812"/>
      <c r="T3" t="s">
        <v>208</v>
      </c>
      <c r="U3" s="720">
        <f>E4</f>
        <v>342.25333387437439</v>
      </c>
      <c r="V3" s="720">
        <f t="shared" ref="U3:AF5" si="0">F4</f>
        <v>333.5003141667292</v>
      </c>
      <c r="W3" s="720">
        <f t="shared" si="0"/>
        <v>376.46874571623817</v>
      </c>
      <c r="X3" s="720">
        <f t="shared" si="0"/>
        <v>356.93829877032175</v>
      </c>
      <c r="Y3" s="720">
        <f t="shared" si="0"/>
        <v>353.84203976421531</v>
      </c>
      <c r="Z3" s="720">
        <f t="shared" si="0"/>
        <v>373.2555121368855</v>
      </c>
      <c r="AA3" s="720">
        <f t="shared" si="0"/>
        <v>372.27230230394298</v>
      </c>
      <c r="AB3" s="720">
        <f t="shared" si="0"/>
        <v>379.2777134042766</v>
      </c>
      <c r="AC3" s="720">
        <f t="shared" si="0"/>
        <v>377.89381368329418</v>
      </c>
      <c r="AD3" s="720">
        <f t="shared" si="0"/>
        <v>392.1779746922432</v>
      </c>
      <c r="AE3" s="720">
        <f t="shared" si="0"/>
        <v>393.76621777529465</v>
      </c>
      <c r="AF3" s="720">
        <f t="shared" si="0"/>
        <v>394.16932118845347</v>
      </c>
      <c r="AG3" s="231">
        <f>AVERAGE(U3:AF3)</f>
        <v>370.48463228968905</v>
      </c>
      <c r="AK3" t="s">
        <v>208</v>
      </c>
      <c r="AL3" s="720">
        <f>Price!U3-'COST (Baht)'!U3</f>
        <v>80.806922270343705</v>
      </c>
      <c r="AM3" s="720">
        <f>Price!V3-'COST (Baht)'!V3</f>
        <v>89.580768199263218</v>
      </c>
      <c r="AN3" s="720">
        <f>Price!W3-'COST (Baht)'!W3</f>
        <v>57.003964648463466</v>
      </c>
      <c r="AO3" s="720">
        <f>Price!X3-'COST (Baht)'!X3</f>
        <v>141.64775710353945</v>
      </c>
      <c r="AP3" s="720">
        <f>Price!Y3-'COST (Baht)'!Y3</f>
        <v>143.3445200997952</v>
      </c>
      <c r="AQ3" s="720">
        <f>Price!Z3-'COST (Baht)'!Z3</f>
        <v>82.799922531865093</v>
      </c>
      <c r="AR3" s="720">
        <f>Price!AA3-'COST (Baht)'!AA3</f>
        <v>66.150629998892896</v>
      </c>
      <c r="AS3" s="720">
        <f>Price!AB3-'COST (Baht)'!AB3</f>
        <v>48.135921295467256</v>
      </c>
      <c r="AT3" s="720">
        <f>Price!AC3-'COST (Baht)'!AC3</f>
        <v>45.168939009792552</v>
      </c>
      <c r="AU3" s="720">
        <f>Price!AD3-'COST (Baht)'!AD3</f>
        <v>28.428951052204525</v>
      </c>
      <c r="AV3" s="720">
        <f>Price!AE3-'COST (Baht)'!AE3</f>
        <v>29.697899499783091</v>
      </c>
      <c r="AW3" s="720">
        <f>Price!AF3-'COST (Baht)'!AF3</f>
        <v>39.920858714299754</v>
      </c>
    </row>
    <row r="4" spans="1:49">
      <c r="A4" t="s">
        <v>716</v>
      </c>
      <c r="B4" s="62" t="s">
        <v>151</v>
      </c>
      <c r="C4" s="57" t="s">
        <v>21</v>
      </c>
      <c r="D4" s="140">
        <v>380.25413718736957</v>
      </c>
      <c r="E4" s="714">
        <v>342.25333387437439</v>
      </c>
      <c r="F4" s="714">
        <v>333.5003141667292</v>
      </c>
      <c r="G4" s="714">
        <v>376.46874571623817</v>
      </c>
      <c r="H4" s="714">
        <v>356.93829877032175</v>
      </c>
      <c r="I4" s="714">
        <v>353.84203976421531</v>
      </c>
      <c r="J4" s="714">
        <v>373.2555121368855</v>
      </c>
      <c r="K4" s="714">
        <v>372.27230230394298</v>
      </c>
      <c r="L4" s="714">
        <v>379.2777134042766</v>
      </c>
      <c r="M4" s="714">
        <v>377.89381368329418</v>
      </c>
      <c r="N4" s="714">
        <v>392.1779746922432</v>
      </c>
      <c r="O4" s="714">
        <v>393.76621777529465</v>
      </c>
      <c r="P4" s="714">
        <v>394.16932118845347</v>
      </c>
      <c r="Q4" s="1027"/>
      <c r="T4" t="s">
        <v>38</v>
      </c>
      <c r="U4" s="720">
        <f t="shared" si="0"/>
        <v>336.77768510293134</v>
      </c>
      <c r="V4" s="720">
        <f t="shared" si="0"/>
        <v>328.01531332517436</v>
      </c>
      <c r="W4" s="720">
        <f t="shared" si="0"/>
        <v>369.54726098388983</v>
      </c>
      <c r="X4" s="720">
        <f t="shared" si="0"/>
        <v>350.86783357244809</v>
      </c>
      <c r="Y4" s="720">
        <f t="shared" si="0"/>
        <v>347.94732342970434</v>
      </c>
      <c r="Z4" s="720">
        <f t="shared" si="0"/>
        <v>366.47969162796966</v>
      </c>
      <c r="AA4" s="720">
        <f t="shared" si="0"/>
        <v>365.65576607234976</v>
      </c>
      <c r="AB4" s="720">
        <f t="shared" si="0"/>
        <v>372.40843284744562</v>
      </c>
      <c r="AC4" s="720">
        <f t="shared" si="0"/>
        <v>371.1226547664661</v>
      </c>
      <c r="AD4" s="720">
        <f t="shared" si="0"/>
        <v>385.24661787676132</v>
      </c>
      <c r="AE4" s="720">
        <f t="shared" si="0"/>
        <v>386.71920366357386</v>
      </c>
      <c r="AF4" s="720">
        <f t="shared" si="0"/>
        <v>387.12923789542197</v>
      </c>
      <c r="AG4" s="231">
        <f t="shared" ref="AG4:AG8" si="1">AVERAGE(U4:AF4)</f>
        <v>363.99308509701132</v>
      </c>
      <c r="AK4" t="s">
        <v>38</v>
      </c>
      <c r="AL4" s="720">
        <f>Price!U4-'COST (Baht)'!U4</f>
        <v>315.70052812266937</v>
      </c>
      <c r="AM4" s="720">
        <f>Price!V4-'COST (Baht)'!V4</f>
        <v>370.50777234367536</v>
      </c>
      <c r="AN4" s="720">
        <f>Price!W4-'COST (Baht)'!W4</f>
        <v>306.00888388520661</v>
      </c>
      <c r="AO4" s="720">
        <f>Price!X4-'COST (Baht)'!X4</f>
        <v>257.98369596385845</v>
      </c>
      <c r="AP4" s="720">
        <f>Price!Y4-'COST (Baht)'!Y4</f>
        <v>206.89761427400691</v>
      </c>
      <c r="AQ4" s="720">
        <f>Price!Z4-'COST (Baht)'!Z4</f>
        <v>231.53840924501372</v>
      </c>
      <c r="AR4" s="720">
        <f>Price!AA4-'COST (Baht)'!AA4</f>
        <v>308.44086566622349</v>
      </c>
      <c r="AS4" s="720">
        <f>Price!AB4-'COST (Baht)'!AB4</f>
        <v>295.29428987982715</v>
      </c>
      <c r="AT4" s="720">
        <f>Price!AC4-'COST (Baht)'!AC4</f>
        <v>291.21850363670183</v>
      </c>
      <c r="AU4" s="720">
        <f>Price!AD4-'COST (Baht)'!AD4</f>
        <v>246.08258212323869</v>
      </c>
      <c r="AV4" s="720">
        <f>Price!AE4-'COST (Baht)'!AE4</f>
        <v>265.49211906369891</v>
      </c>
      <c r="AW4" s="720">
        <f>Price!AF4-'COST (Baht)'!AF4</f>
        <v>278.38548483185093</v>
      </c>
    </row>
    <row r="5" spans="1:49">
      <c r="A5" s="149" t="s">
        <v>717</v>
      </c>
      <c r="B5" s="55"/>
      <c r="C5" s="59" t="s">
        <v>152</v>
      </c>
      <c r="D5" s="140">
        <v>373.51775924177201</v>
      </c>
      <c r="E5" s="714">
        <v>336.77768510293134</v>
      </c>
      <c r="F5" s="714">
        <v>328.01531332517436</v>
      </c>
      <c r="G5" s="714">
        <v>369.54726098388983</v>
      </c>
      <c r="H5" s="714">
        <v>350.86783357244809</v>
      </c>
      <c r="I5" s="714">
        <v>347.94732342970434</v>
      </c>
      <c r="J5" s="714">
        <v>366.47969162796966</v>
      </c>
      <c r="K5" s="714">
        <v>365.65576607234976</v>
      </c>
      <c r="L5" s="714">
        <v>372.40843284744562</v>
      </c>
      <c r="M5" s="714">
        <v>371.1226547664661</v>
      </c>
      <c r="N5" s="714">
        <v>385.24661787676132</v>
      </c>
      <c r="O5" s="714">
        <v>386.71920366357386</v>
      </c>
      <c r="P5" s="714">
        <v>387.12923789542197</v>
      </c>
      <c r="Q5" s="1027"/>
      <c r="T5" t="s">
        <v>214</v>
      </c>
      <c r="U5" s="720">
        <f t="shared" si="0"/>
        <v>333.96497505999042</v>
      </c>
      <c r="V5" s="720">
        <f t="shared" si="0"/>
        <v>325.72500747828582</v>
      </c>
      <c r="W5" s="720">
        <f t="shared" si="0"/>
        <v>367.56116507367756</v>
      </c>
      <c r="X5" s="720">
        <f t="shared" si="0"/>
        <v>347.92478415114391</v>
      </c>
      <c r="Y5" s="720">
        <f t="shared" si="0"/>
        <v>343.85536413001967</v>
      </c>
      <c r="Z5" s="720">
        <f t="shared" si="0"/>
        <v>359.7038711190537</v>
      </c>
      <c r="AA5" s="720">
        <f t="shared" si="0"/>
        <v>359.0392298407566</v>
      </c>
      <c r="AB5" s="720">
        <f t="shared" si="0"/>
        <v>365.53915229061477</v>
      </c>
      <c r="AC5" s="720">
        <f t="shared" si="0"/>
        <v>364.3514958496379</v>
      </c>
      <c r="AD5" s="720">
        <f t="shared" si="0"/>
        <v>378.31526106127922</v>
      </c>
      <c r="AE5" s="720">
        <f t="shared" si="0"/>
        <v>379.67218955185331</v>
      </c>
      <c r="AF5" s="720">
        <f t="shared" si="0"/>
        <v>380.08915460239052</v>
      </c>
      <c r="AG5" s="231">
        <f t="shared" si="1"/>
        <v>358.81180418405864</v>
      </c>
      <c r="AK5" t="s">
        <v>214</v>
      </c>
      <c r="AL5" s="720">
        <f>Price!U7-'COST (Baht)'!U5</f>
        <v>295.88115520105822</v>
      </c>
      <c r="AM5" s="720">
        <f>Price!V7-'COST (Baht)'!V5</f>
        <v>265.68871456770813</v>
      </c>
      <c r="AN5" s="720">
        <f>Price!W7-'COST (Baht)'!W5</f>
        <v>263.30630030389148</v>
      </c>
      <c r="AO5" s="720">
        <f>Price!X7-'COST (Baht)'!X5</f>
        <v>177.67698359828142</v>
      </c>
      <c r="AP5" s="720">
        <f>Price!Y7-'COST (Baht)'!Y5</f>
        <v>184.12457008399258</v>
      </c>
      <c r="AQ5" s="720">
        <f>Price!Z7-'COST (Baht)'!Z5</f>
        <v>217.07454619844282</v>
      </c>
      <c r="AR5" s="720">
        <f>Price!AA7-'COST (Baht)'!AA5</f>
        <v>300.69908667798137</v>
      </c>
      <c r="AS5" s="720">
        <f>Price!AB7-'COST (Baht)'!AB5</f>
        <v>284.18638352004223</v>
      </c>
      <c r="AT5" s="720">
        <f>Price!AC7-'COST (Baht)'!AC5</f>
        <v>280.57283568843241</v>
      </c>
      <c r="AU5" s="720">
        <f>Price!AD7-'COST (Baht)'!AD5</f>
        <v>241.89285821136434</v>
      </c>
      <c r="AV5" s="720">
        <f>Price!AE7-'COST (Baht)'!AE5</f>
        <v>250.61602110234787</v>
      </c>
      <c r="AW5" s="720">
        <f>Price!AF7-'COST (Baht)'!AF5</f>
        <v>263.38438797536799</v>
      </c>
    </row>
    <row r="6" spans="1:49">
      <c r="B6" s="55"/>
      <c r="C6" s="59" t="s">
        <v>153</v>
      </c>
      <c r="D6" s="140">
        <v>384.41138129617451</v>
      </c>
      <c r="E6" s="714">
        <v>333.96497505999042</v>
      </c>
      <c r="F6" s="714">
        <v>325.72500747828582</v>
      </c>
      <c r="G6" s="714">
        <v>367.56116507367756</v>
      </c>
      <c r="H6" s="714">
        <v>347.92478415114391</v>
      </c>
      <c r="I6" s="714">
        <v>343.85536413001967</v>
      </c>
      <c r="J6" s="714">
        <v>359.7038711190537</v>
      </c>
      <c r="K6" s="714">
        <v>359.0392298407566</v>
      </c>
      <c r="L6" s="714">
        <v>365.53915229061477</v>
      </c>
      <c r="M6" s="714">
        <v>364.3514958496379</v>
      </c>
      <c r="N6" s="714">
        <v>378.31526106127922</v>
      </c>
      <c r="O6" s="714">
        <v>379.67218955185331</v>
      </c>
      <c r="P6" s="714">
        <v>380.08915460239052</v>
      </c>
      <c r="Q6" s="1027"/>
      <c r="T6" t="s">
        <v>215</v>
      </c>
      <c r="U6" s="720">
        <f>E95/(Delivery!E95*E15)+(E24/(E14*Delivery!E24))</f>
        <v>409.15462565480448</v>
      </c>
      <c r="V6" s="720">
        <f>F95/(Delivery!F95*F15)+(F24/(F14*Delivery!F24))</f>
        <v>496.30227639246675</v>
      </c>
      <c r="W6" s="720">
        <f>G95/(Delivery!G95*G15)+(G24/(G14*Delivery!G24))</f>
        <v>505.82821775927948</v>
      </c>
      <c r="X6" s="720">
        <f>H95/(Delivery!H95*H15)+(H24/(H14*Delivery!H24))</f>
        <v>482.82291214831798</v>
      </c>
      <c r="Y6" s="720">
        <f>I95/(Delivery!I95*I15)+(I24/(I14*Delivery!I24))</f>
        <v>437.61888359463558</v>
      </c>
      <c r="Z6" s="720">
        <f>J95/(Delivery!J95*J15)+(J24/(J14*Delivery!J24))</f>
        <v>460.71944690301984</v>
      </c>
      <c r="AA6" s="720">
        <f>K95/(Delivery!K95*K15)+(K24/(K14*Delivery!K24))</f>
        <v>416.39032899192978</v>
      </c>
      <c r="AB6" s="720">
        <f>L95/(Delivery!L95*L15)+(L24/(L14*Delivery!L24))</f>
        <v>417.2210995441219</v>
      </c>
      <c r="AC6" s="720">
        <f>M95/(Delivery!M95*M15)+(M24/(M14*Delivery!M24))</f>
        <v>412.91113923881773</v>
      </c>
      <c r="AD6" s="720">
        <f>N95/(Delivery!N95*N15)+(N24/(N14*Delivery!N24))</f>
        <v>352.65596167079121</v>
      </c>
      <c r="AE6" s="720">
        <f>O95/(Delivery!O95*O15)+(O24/(O14*Delivery!O24))</f>
        <v>419.82210251363102</v>
      </c>
      <c r="AF6" s="720">
        <f>P95/(Delivery!P95*P15)+(P24/(P14*Delivery!P24))</f>
        <v>419.96774910084707</v>
      </c>
      <c r="AG6" s="231">
        <f t="shared" si="1"/>
        <v>435.95122862605518</v>
      </c>
      <c r="AK6" t="s">
        <v>215</v>
      </c>
      <c r="AL6" s="720">
        <f>Price!U8-'COST (Baht)'!U6</f>
        <v>11.053817788981462</v>
      </c>
      <c r="AM6" s="720">
        <f>Price!V8-'COST (Baht)'!V6</f>
        <v>-74.047225703684148</v>
      </c>
      <c r="AN6" s="720">
        <f>Price!W8-'COST (Baht)'!W6</f>
        <v>-87.23540648817783</v>
      </c>
      <c r="AO6" s="720">
        <f>Price!X8-'COST (Baht)'!X6</f>
        <v>-40.344538069255407</v>
      </c>
      <c r="AP6" s="720">
        <f>Price!Y8-'COST (Baht)'!Y6</f>
        <v>3.0927644831468797</v>
      </c>
      <c r="AQ6" s="720">
        <f>Price!Z8-'COST (Baht)'!Z6</f>
        <v>-20.435498174220811</v>
      </c>
      <c r="AR6" s="720">
        <f>Price!AA8-'COST (Baht)'!AA6</f>
        <v>-32.62868153180284</v>
      </c>
      <c r="AS6" s="720">
        <f>Price!AB8-'COST (Baht)'!AB6</f>
        <v>-31.376420668639412</v>
      </c>
      <c r="AT6" s="720">
        <f>Price!AC8-'COST (Baht)'!AC6</f>
        <v>-20.673238709497639</v>
      </c>
      <c r="AU6" s="720">
        <f>Price!AD8-'COST (Baht)'!AD6</f>
        <v>45.639374288765339</v>
      </c>
      <c r="AV6" s="720">
        <f>Price!AE8-'COST (Baht)'!AE6</f>
        <v>-18.039813930143737</v>
      </c>
      <c r="AW6" s="720">
        <f>Price!AF8-'COST (Baht)'!AF6</f>
        <v>-18.173761570747445</v>
      </c>
    </row>
    <row r="7" spans="1:49">
      <c r="B7" s="56"/>
      <c r="C7" s="60" t="s">
        <v>154</v>
      </c>
      <c r="D7" s="140">
        <v>377.48255900932685</v>
      </c>
      <c r="E7" s="714">
        <v>337.13380531500081</v>
      </c>
      <c r="F7" s="714">
        <v>337.23780311488252</v>
      </c>
      <c r="G7" s="714">
        <v>382.92052484936323</v>
      </c>
      <c r="H7" s="714">
        <v>362.90514218423709</v>
      </c>
      <c r="I7" s="714">
        <v>361.00655862737455</v>
      </c>
      <c r="J7" s="714">
        <v>393.80172104232281</v>
      </c>
      <c r="K7" s="714">
        <v>391.49567318655744</v>
      </c>
      <c r="L7" s="714">
        <v>396.71660850522022</v>
      </c>
      <c r="M7" s="714">
        <v>396.39670608166131</v>
      </c>
      <c r="N7" s="714">
        <v>335.15089180618997</v>
      </c>
      <c r="O7" s="714">
        <v>406.5649045977562</v>
      </c>
      <c r="P7" s="714">
        <v>406.46563643194753</v>
      </c>
      <c r="Q7" s="1027"/>
      <c r="T7" t="s">
        <v>71</v>
      </c>
      <c r="U7" s="720">
        <f t="shared" ref="U7:AF8" si="2">E9</f>
        <v>263.70352592219581</v>
      </c>
      <c r="V7" s="720">
        <f t="shared" si="2"/>
        <v>248.7728661068187</v>
      </c>
      <c r="W7" s="720">
        <f t="shared" si="2"/>
        <v>294.2228534300163</v>
      </c>
      <c r="X7" s="720">
        <f t="shared" si="2"/>
        <v>266.938308489333</v>
      </c>
      <c r="Y7" s="720">
        <f t="shared" si="2"/>
        <v>278.23612421072801</v>
      </c>
      <c r="Z7" s="720">
        <f t="shared" si="2"/>
        <v>352.92805061013786</v>
      </c>
      <c r="AA7" s="720">
        <f t="shared" si="2"/>
        <v>352.4226936091635</v>
      </c>
      <c r="AB7" s="720">
        <f t="shared" si="2"/>
        <v>358.66987173378391</v>
      </c>
      <c r="AC7" s="720">
        <f t="shared" si="2"/>
        <v>357.58033693280981</v>
      </c>
      <c r="AD7" s="720">
        <f t="shared" si="2"/>
        <v>371.38390424579717</v>
      </c>
      <c r="AE7" s="720">
        <f t="shared" si="2"/>
        <v>372.62517544013264</v>
      </c>
      <c r="AF7" s="720">
        <f t="shared" si="2"/>
        <v>373.04907130935919</v>
      </c>
      <c r="AG7" s="231">
        <f t="shared" si="1"/>
        <v>324.21106517002301</v>
      </c>
      <c r="AK7" t="s">
        <v>71</v>
      </c>
      <c r="AL7" s="720">
        <f>Price!U9-'COST (Baht)'!U7</f>
        <v>234.84554401419155</v>
      </c>
      <c r="AM7" s="720">
        <f>Price!V9-'COST (Baht)'!V7</f>
        <v>301.96790006761307</v>
      </c>
      <c r="AN7" s="720">
        <f>Price!W9-'COST (Baht)'!W7</f>
        <v>283.84120908939877</v>
      </c>
      <c r="AO7" s="720">
        <f>Price!X9-'COST (Baht)'!X7</f>
        <v>291.15104949093831</v>
      </c>
      <c r="AP7" s="720">
        <f>Price!Y9-'COST (Baht)'!Y7</f>
        <v>309.71750686736402</v>
      </c>
      <c r="AQ7" s="720">
        <f>Price!Z9-'COST (Baht)'!Z7</f>
        <v>229.59613752663842</v>
      </c>
      <c r="AR7" s="720">
        <f>Price!AA9-'COST (Baht)'!AA7</f>
        <v>267.83893217327125</v>
      </c>
      <c r="AS7" s="720">
        <f>Price!AB9-'COST (Baht)'!AB7</f>
        <v>256.4919901069868</v>
      </c>
      <c r="AT7" s="720">
        <f>Price!AC9-'COST (Baht)'!AC7</f>
        <v>247.95582105142535</v>
      </c>
      <c r="AU7" s="720">
        <f>Price!AD9-'COST (Baht)'!AD7</f>
        <v>230.61102389783292</v>
      </c>
      <c r="AV7" s="720">
        <f>Price!AE9-'COST (Baht)'!AE7</f>
        <v>223.84168400157779</v>
      </c>
      <c r="AW7" s="720">
        <f>Price!AF9-'COST (Baht)'!AF7</f>
        <v>222.21540396051955</v>
      </c>
    </row>
    <row r="8" spans="1:49">
      <c r="B8" s="56"/>
      <c r="C8" s="61" t="s">
        <v>155</v>
      </c>
      <c r="D8" s="140">
        <v>394.75710039515002</v>
      </c>
      <c r="E8" s="714">
        <v>337.13380531500081</v>
      </c>
      <c r="F8" s="714">
        <v>337.23780311488252</v>
      </c>
      <c r="G8" s="714">
        <v>382.92052484936323</v>
      </c>
      <c r="H8" s="714">
        <v>362.90514218423709</v>
      </c>
      <c r="I8" s="714">
        <v>361.00655862737455</v>
      </c>
      <c r="J8" s="714">
        <v>393.80172104232281</v>
      </c>
      <c r="K8" s="714">
        <v>391.49567318655744</v>
      </c>
      <c r="L8" s="714">
        <v>396.71660850522022</v>
      </c>
      <c r="M8" s="714">
        <v>396.39670608166131</v>
      </c>
      <c r="N8" s="714">
        <v>335.15089180618997</v>
      </c>
      <c r="O8" s="714">
        <v>406.5649045977562</v>
      </c>
      <c r="P8" s="714">
        <v>406.46563643194753</v>
      </c>
      <c r="Q8" s="1027"/>
      <c r="T8" t="s">
        <v>79</v>
      </c>
      <c r="U8" s="720">
        <f>E10</f>
        <v>328.77388686862906</v>
      </c>
      <c r="V8" s="720">
        <f t="shared" si="2"/>
        <v>320.09636574926458</v>
      </c>
      <c r="W8" s="720">
        <f t="shared" si="2"/>
        <v>361.46640235586545</v>
      </c>
      <c r="X8" s="720">
        <f t="shared" si="2"/>
        <v>342.43088878038395</v>
      </c>
      <c r="Y8" s="720">
        <f t="shared" si="2"/>
        <v>339.39437031535937</v>
      </c>
      <c r="Z8" s="720">
        <f t="shared" si="2"/>
        <v>352.9280506101378</v>
      </c>
      <c r="AA8" s="720">
        <f t="shared" si="2"/>
        <v>352.42269360916345</v>
      </c>
      <c r="AB8" s="720">
        <f t="shared" si="2"/>
        <v>358.66987173378385</v>
      </c>
      <c r="AC8" s="720">
        <f t="shared" si="2"/>
        <v>357.58033693280987</v>
      </c>
      <c r="AD8" s="720">
        <f t="shared" si="2"/>
        <v>371.38390424579717</v>
      </c>
      <c r="AE8" s="720">
        <f t="shared" si="2"/>
        <v>372.62517544013269</v>
      </c>
      <c r="AF8" s="720">
        <f t="shared" si="2"/>
        <v>373.04907130935919</v>
      </c>
      <c r="AG8" s="231">
        <f t="shared" si="1"/>
        <v>352.56841816255724</v>
      </c>
      <c r="AK8" t="s">
        <v>79</v>
      </c>
      <c r="AL8" s="720">
        <f>Price!U10-'COST (Baht)'!U8</f>
        <v>84.507413131370924</v>
      </c>
      <c r="AM8" s="720">
        <f>Price!V10-'COST (Baht)'!V8</f>
        <v>144.53523425073547</v>
      </c>
      <c r="AN8" s="720">
        <f>Price!W10-'COST (Baht)'!W8</f>
        <v>131.93029764413455</v>
      </c>
      <c r="AO8" s="720">
        <f>Price!X10-'COST (Baht)'!X8</f>
        <v>128.67621121961599</v>
      </c>
      <c r="AP8" s="720">
        <f>Price!Y10-'COST (Baht)'!Y8</f>
        <v>162.75692968464062</v>
      </c>
      <c r="AQ8" s="720">
        <f>Price!Z10-'COST (Baht)'!Z8</f>
        <v>190.99244938986214</v>
      </c>
      <c r="AR8" s="720">
        <f>Price!AA10-'COST (Baht)'!AA8</f>
        <v>184.62730639083651</v>
      </c>
      <c r="AS8" s="720">
        <f>Price!AB10-'COST (Baht)'!AB8</f>
        <v>174.1501282662162</v>
      </c>
      <c r="AT8" s="720">
        <f>Price!AC10-'COST (Baht)'!AC8</f>
        <v>164.16966306719013</v>
      </c>
      <c r="AU8" s="720">
        <f>Price!AD10-'COST (Baht)'!AD8</f>
        <v>149.19609575420287</v>
      </c>
      <c r="AV8" s="720">
        <f>Price!AE10-'COST (Baht)'!AE8</f>
        <v>139.94482455986736</v>
      </c>
      <c r="AW8" s="720">
        <f>Price!AF10-'COST (Baht)'!AF8</f>
        <v>139.97092869064079</v>
      </c>
    </row>
    <row r="9" spans="1:49">
      <c r="B9" s="56"/>
      <c r="C9" s="59" t="s">
        <v>157</v>
      </c>
      <c r="D9" s="140">
        <v>353.30862540497947</v>
      </c>
      <c r="E9" s="714">
        <v>263.70352592219581</v>
      </c>
      <c r="F9" s="714">
        <v>248.7728661068187</v>
      </c>
      <c r="G9" s="714">
        <v>294.2228534300163</v>
      </c>
      <c r="H9" s="714">
        <v>266.938308489333</v>
      </c>
      <c r="I9" s="714">
        <v>278.23612421072801</v>
      </c>
      <c r="J9" s="714">
        <v>352.92805061013786</v>
      </c>
      <c r="K9" s="714">
        <v>352.4226936091635</v>
      </c>
      <c r="L9" s="714">
        <v>358.66987173378391</v>
      </c>
      <c r="M9" s="714">
        <v>357.58033693280981</v>
      </c>
      <c r="N9" s="714">
        <v>371.38390424579717</v>
      </c>
      <c r="O9" s="714">
        <v>372.62517544013264</v>
      </c>
      <c r="P9" s="714">
        <v>373.04907130935919</v>
      </c>
      <c r="Q9" s="1027"/>
      <c r="T9" t="s">
        <v>177</v>
      </c>
      <c r="U9" s="722"/>
      <c r="V9" s="722"/>
      <c r="W9" s="722"/>
      <c r="X9" s="722"/>
      <c r="Y9" s="722"/>
      <c r="Z9" s="722"/>
      <c r="AA9" s="722"/>
      <c r="AB9" s="722"/>
      <c r="AC9" s="722"/>
      <c r="AD9" s="722"/>
      <c r="AE9" s="722"/>
      <c r="AF9" s="722"/>
      <c r="AG9" s="153"/>
      <c r="AL9" s="722"/>
      <c r="AM9" s="722"/>
      <c r="AN9" s="722"/>
      <c r="AO9" s="722"/>
      <c r="AP9" s="722"/>
      <c r="AQ9" s="722"/>
      <c r="AR9" s="722"/>
      <c r="AS9" s="722"/>
      <c r="AT9" s="722"/>
      <c r="AU9" s="722"/>
      <c r="AV9" s="722"/>
      <c r="AW9" s="722"/>
    </row>
    <row r="10" spans="1:49">
      <c r="B10" s="56"/>
      <c r="C10" s="59" t="s">
        <v>158</v>
      </c>
      <c r="D10" s="140">
        <v>353.30862540497947</v>
      </c>
      <c r="E10" s="714">
        <v>328.77388686862906</v>
      </c>
      <c r="F10" s="714">
        <v>320.09636574926458</v>
      </c>
      <c r="G10" s="714">
        <v>361.46640235586545</v>
      </c>
      <c r="H10" s="714">
        <v>342.43088878038395</v>
      </c>
      <c r="I10" s="714">
        <v>339.39437031535937</v>
      </c>
      <c r="J10" s="714">
        <v>352.9280506101378</v>
      </c>
      <c r="K10" s="714">
        <v>352.42269360916345</v>
      </c>
      <c r="L10" s="714">
        <v>358.66987173378385</v>
      </c>
      <c r="M10" s="714">
        <v>357.58033693280987</v>
      </c>
      <c r="N10" s="714">
        <v>371.38390424579717</v>
      </c>
      <c r="O10" s="714">
        <v>372.62517544013269</v>
      </c>
      <c r="P10" s="714">
        <v>373.04907130935919</v>
      </c>
      <c r="Q10" s="1027"/>
      <c r="T10" s="153"/>
      <c r="U10" s="153"/>
      <c r="V10" s="153"/>
      <c r="AK10" s="153"/>
      <c r="AL10" s="153"/>
      <c r="AM10" s="153"/>
    </row>
    <row r="11" spans="1:49">
      <c r="B11" s="1018" t="s">
        <v>647</v>
      </c>
      <c r="C11" s="59" t="s">
        <v>50</v>
      </c>
      <c r="D11" s="140"/>
      <c r="E11" s="714">
        <v>379.18872378959173</v>
      </c>
      <c r="F11" s="714">
        <v>444.47152392772608</v>
      </c>
      <c r="G11" s="714">
        <v>511.26489416417502</v>
      </c>
      <c r="H11" s="714">
        <v>396.94651419215535</v>
      </c>
      <c r="I11" s="714">
        <v>430.82756169161496</v>
      </c>
      <c r="J11" s="714">
        <v>367.88798313587949</v>
      </c>
      <c r="K11" s="714">
        <v>460.60501399090117</v>
      </c>
      <c r="L11" s="714">
        <v>370.56467783170746</v>
      </c>
      <c r="M11" s="714">
        <v>367.67955512706595</v>
      </c>
      <c r="N11" s="714">
        <v>371.54911335146585</v>
      </c>
      <c r="O11" s="714">
        <v>371.7132245054965</v>
      </c>
      <c r="P11" s="714">
        <v>373.88941026073252</v>
      </c>
      <c r="Q11" s="1027"/>
      <c r="T11" s="153"/>
      <c r="U11" s="153"/>
      <c r="V11" s="153"/>
      <c r="AK11" s="153"/>
      <c r="AL11" s="153"/>
      <c r="AM11" s="153"/>
    </row>
    <row r="12" spans="1:49" ht="15" thickBot="1">
      <c r="B12" s="1017"/>
      <c r="C12" s="59" t="s">
        <v>157</v>
      </c>
      <c r="D12" s="140"/>
      <c r="E12" s="714">
        <v>379.40395600277071</v>
      </c>
      <c r="F12" s="714">
        <v>443.87782894312494</v>
      </c>
      <c r="G12" s="714">
        <v>511.41903719135621</v>
      </c>
      <c r="H12" s="714">
        <v>397.6877120373058</v>
      </c>
      <c r="I12" s="714">
        <v>431.47772222918468</v>
      </c>
      <c r="J12" s="714">
        <v>361.14797499478328</v>
      </c>
      <c r="K12" s="714">
        <v>452.62896855953284</v>
      </c>
      <c r="L12" s="714">
        <v>363.74296659620995</v>
      </c>
      <c r="M12" s="714">
        <v>360.90813988665627</v>
      </c>
      <c r="N12" s="714">
        <v>364.71569872879292</v>
      </c>
      <c r="O12" s="714">
        <v>364.94123358744037</v>
      </c>
      <c r="P12" s="714">
        <v>367.10345930007099</v>
      </c>
      <c r="Q12" s="1027"/>
      <c r="T12" s="153"/>
      <c r="U12" s="153"/>
      <c r="V12" s="153"/>
      <c r="AK12" s="153"/>
      <c r="AL12" s="153"/>
      <c r="AM12" s="153"/>
    </row>
    <row r="13" spans="1:49" ht="18.5">
      <c r="B13" s="143" t="s">
        <v>147</v>
      </c>
      <c r="C13" s="48" t="s">
        <v>207</v>
      </c>
      <c r="D13" s="28"/>
      <c r="E13" s="941">
        <f>(E2-D2)/D2</f>
        <v>2.7861102000833571E-3</v>
      </c>
      <c r="F13" s="941">
        <f>(F2-E2)/E2</f>
        <v>-5.9500784506324794E-3</v>
      </c>
      <c r="G13" s="941">
        <f t="shared" ref="G13:P13" si="3">(G2-F2)/F2</f>
        <v>2.1763178145439151E-3</v>
      </c>
      <c r="H13" s="941">
        <f t="shared" si="3"/>
        <v>5.3113469213242538E-2</v>
      </c>
      <c r="I13" s="941">
        <f t="shared" si="3"/>
        <v>5.5979298534340478E-4</v>
      </c>
      <c r="J13" s="941">
        <f t="shared" si="3"/>
        <v>-4.3393088718785965E-2</v>
      </c>
      <c r="K13" s="941">
        <f t="shared" si="3"/>
        <v>8.0155379738212507E-3</v>
      </c>
      <c r="L13" s="941">
        <f t="shared" si="3"/>
        <v>-2.7403924127310732E-3</v>
      </c>
      <c r="M13" s="941">
        <f t="shared" si="3"/>
        <v>-7.7472104480453179E-3</v>
      </c>
      <c r="N13" s="941">
        <f t="shared" si="3"/>
        <v>-3.8521878995516623E-2</v>
      </c>
      <c r="O13" s="941">
        <f t="shared" si="3"/>
        <v>7.5621879263276194E-3</v>
      </c>
      <c r="P13" s="941">
        <f t="shared" si="3"/>
        <v>2.3026426691896314E-3</v>
      </c>
      <c r="T13" s="786" t="s">
        <v>573</v>
      </c>
      <c r="AK13" s="791" t="s">
        <v>575</v>
      </c>
      <c r="AL13" s="792"/>
      <c r="AM13" s="792"/>
      <c r="AN13" s="792"/>
      <c r="AO13" s="792"/>
      <c r="AP13" s="792"/>
      <c r="AQ13" s="792"/>
      <c r="AR13" s="792"/>
      <c r="AS13" s="792"/>
      <c r="AT13" s="792"/>
      <c r="AU13" s="792"/>
      <c r="AV13" s="792"/>
      <c r="AW13" s="793"/>
    </row>
    <row r="14" spans="1:49">
      <c r="B14" s="48" t="s">
        <v>630</v>
      </c>
      <c r="C14" s="47"/>
      <c r="D14" s="28"/>
      <c r="E14" s="714">
        <f>Price!E19</f>
        <v>30.194945161290324</v>
      </c>
      <c r="F14" s="714">
        <f>Price!F19</f>
        <v>30.172657142857133</v>
      </c>
      <c r="G14" s="714">
        <f>Price!G19</f>
        <v>30.465222580645165</v>
      </c>
      <c r="H14" s="714">
        <f>Price!H19</f>
        <v>31.329240000000009</v>
      </c>
      <c r="I14" s="714">
        <f>Price!I19</f>
        <v>31.444609677419379</v>
      </c>
      <c r="J14" s="714">
        <f>Price!J19</f>
        <v>31.465139999999998</v>
      </c>
      <c r="K14" s="714">
        <f>Price!K19</f>
        <v>31.655439999999999</v>
      </c>
      <c r="L14" s="714">
        <f>Price!L19</f>
        <v>31.73</v>
      </c>
      <c r="M14" s="714">
        <f>Price!M19</f>
        <v>31.47</v>
      </c>
      <c r="N14" s="714">
        <f>Price!N19</f>
        <v>31.23</v>
      </c>
      <c r="O14" s="714">
        <f>Price!O19</f>
        <v>31.23</v>
      </c>
      <c r="P14" s="714">
        <f>Price!P19</f>
        <v>31.23</v>
      </c>
      <c r="T14" t="s">
        <v>5</v>
      </c>
      <c r="U14" s="43">
        <v>23377</v>
      </c>
      <c r="V14" s="43">
        <v>23408</v>
      </c>
      <c r="W14" s="43">
        <v>23437</v>
      </c>
      <c r="X14" s="43">
        <v>23468</v>
      </c>
      <c r="Y14" s="43">
        <v>23498</v>
      </c>
      <c r="Z14" s="43">
        <v>23529</v>
      </c>
      <c r="AA14" s="43">
        <v>23559</v>
      </c>
      <c r="AB14" s="43">
        <v>23590</v>
      </c>
      <c r="AC14" s="43">
        <v>23621</v>
      </c>
      <c r="AD14" s="43">
        <v>23651</v>
      </c>
      <c r="AE14" s="43">
        <v>23682</v>
      </c>
      <c r="AF14" s="43">
        <v>23712</v>
      </c>
      <c r="AK14" s="754" t="s">
        <v>5</v>
      </c>
      <c r="AL14" s="790">
        <v>23377</v>
      </c>
      <c r="AM14" s="790">
        <v>23378</v>
      </c>
      <c r="AN14" s="790">
        <v>23379</v>
      </c>
      <c r="AO14" s="790">
        <v>23380</v>
      </c>
      <c r="AP14" s="790">
        <v>23381</v>
      </c>
      <c r="AQ14" s="790">
        <v>23382</v>
      </c>
      <c r="AR14" s="790">
        <v>23383</v>
      </c>
      <c r="AS14" s="790">
        <v>23384</v>
      </c>
      <c r="AT14" s="790">
        <v>23385</v>
      </c>
      <c r="AU14" s="790">
        <v>23386</v>
      </c>
      <c r="AV14" s="790">
        <v>23387</v>
      </c>
      <c r="AW14" s="794">
        <v>23388</v>
      </c>
    </row>
    <row r="15" spans="1:49">
      <c r="A15" t="s">
        <v>754</v>
      </c>
      <c r="B15" t="s">
        <v>606</v>
      </c>
      <c r="E15" s="719">
        <f>Price!E20</f>
        <v>30.0059</v>
      </c>
      <c r="F15" s="719">
        <f>Price!F20</f>
        <v>29.9816</v>
      </c>
      <c r="G15" s="719">
        <f>Price!G20</f>
        <v>30.7836</v>
      </c>
      <c r="H15" s="719">
        <f>Price!H20</f>
        <v>31.332999999999998</v>
      </c>
      <c r="I15" s="719">
        <f>Price!I20</f>
        <v>31.2956</v>
      </c>
      <c r="J15" s="719">
        <f>Price!J20</f>
        <v>31.437000000000001</v>
      </c>
      <c r="K15" s="719">
        <f>Price!K20</f>
        <v>30</v>
      </c>
      <c r="L15" s="719">
        <f>Price!L20</f>
        <v>30</v>
      </c>
      <c r="M15" s="719">
        <f>Price!M20</f>
        <v>30</v>
      </c>
      <c r="N15" s="719">
        <f>Price!N20</f>
        <v>30</v>
      </c>
      <c r="O15" s="719">
        <f>Price!O20</f>
        <v>30</v>
      </c>
      <c r="P15" s="719">
        <f>Price!P20</f>
        <v>30</v>
      </c>
      <c r="T15" t="s">
        <v>208</v>
      </c>
      <c r="U15" s="720">
        <f>U3</f>
        <v>342.25333387437439</v>
      </c>
      <c r="V15" s="720">
        <f t="shared" ref="V15:AF15" si="4">V3</f>
        <v>333.5003141667292</v>
      </c>
      <c r="W15" s="720">
        <f t="shared" si="4"/>
        <v>376.46874571623817</v>
      </c>
      <c r="X15" s="720">
        <f t="shared" si="4"/>
        <v>356.93829877032175</v>
      </c>
      <c r="Y15" s="720">
        <f t="shared" si="4"/>
        <v>353.84203976421531</v>
      </c>
      <c r="Z15" s="720">
        <f t="shared" si="4"/>
        <v>373.2555121368855</v>
      </c>
      <c r="AA15" s="720">
        <f t="shared" si="4"/>
        <v>372.27230230394298</v>
      </c>
      <c r="AB15" s="720">
        <f t="shared" si="4"/>
        <v>379.2777134042766</v>
      </c>
      <c r="AC15" s="720">
        <f t="shared" si="4"/>
        <v>377.89381368329418</v>
      </c>
      <c r="AD15" s="720">
        <f t="shared" si="4"/>
        <v>392.1779746922432</v>
      </c>
      <c r="AE15" s="720">
        <f t="shared" si="4"/>
        <v>393.76621777529465</v>
      </c>
      <c r="AF15" s="720">
        <f t="shared" si="4"/>
        <v>394.16932118845347</v>
      </c>
      <c r="AK15" s="795" t="s">
        <v>208</v>
      </c>
      <c r="AL15" s="796">
        <f>Price!U3-'COST (Baht)'!U15</f>
        <v>80.806922270343705</v>
      </c>
      <c r="AM15" s="796">
        <f>Price!V3-'COST (Baht)'!V15</f>
        <v>89.580768199263218</v>
      </c>
      <c r="AN15" s="796">
        <f>Price!W3-'COST (Baht)'!W15</f>
        <v>57.003964648463466</v>
      </c>
      <c r="AO15" s="796">
        <f>Price!X3-'COST (Baht)'!X15</f>
        <v>141.64775710353945</v>
      </c>
      <c r="AP15" s="796">
        <f>Price!Y3-'COST (Baht)'!Y15</f>
        <v>143.3445200997952</v>
      </c>
      <c r="AQ15" s="796">
        <f>Price!Z3-'COST (Baht)'!Z15</f>
        <v>82.799922531865093</v>
      </c>
      <c r="AR15" s="796">
        <f>Price!AA3-'COST (Baht)'!AA15</f>
        <v>66.150629998892896</v>
      </c>
      <c r="AS15" s="796">
        <f>Price!AB3-'COST (Baht)'!AB15</f>
        <v>48.135921295467256</v>
      </c>
      <c r="AT15" s="796">
        <f>Price!AC3-'COST (Baht)'!AC15</f>
        <v>45.168939009792552</v>
      </c>
      <c r="AU15" s="796">
        <f>Price!AD3-'COST (Baht)'!AD15</f>
        <v>28.428951052204525</v>
      </c>
      <c r="AV15" s="796">
        <f>Price!AE3-'COST (Baht)'!AE15</f>
        <v>29.697899499783091</v>
      </c>
      <c r="AW15" s="797">
        <f>Price!AF3-'COST (Baht)'!AF15</f>
        <v>39.920858714299754</v>
      </c>
    </row>
    <row r="16" spans="1:49" ht="19.5" customHeight="1">
      <c r="A16" s="1363" t="s">
        <v>599</v>
      </c>
      <c r="B16" s="1364"/>
      <c r="C16" s="1365"/>
      <c r="D16" s="879">
        <v>242492</v>
      </c>
      <c r="E16" s="43">
        <v>23377</v>
      </c>
      <c r="F16" s="43">
        <v>23408</v>
      </c>
      <c r="G16" s="43">
        <v>23437</v>
      </c>
      <c r="H16" s="43">
        <v>23468</v>
      </c>
      <c r="I16" s="43">
        <v>23498</v>
      </c>
      <c r="J16" s="43">
        <v>23529</v>
      </c>
      <c r="K16" s="43">
        <v>23559</v>
      </c>
      <c r="L16" s="43">
        <v>23590</v>
      </c>
      <c r="M16" s="43">
        <v>23621</v>
      </c>
      <c r="N16" s="43">
        <v>23651</v>
      </c>
      <c r="O16" s="43">
        <v>23682</v>
      </c>
      <c r="P16" s="43">
        <v>23712</v>
      </c>
      <c r="Q16" s="43" t="s">
        <v>177</v>
      </c>
      <c r="T16" t="s">
        <v>38</v>
      </c>
      <c r="U16" s="720">
        <f>U4</f>
        <v>336.77768510293134</v>
      </c>
      <c r="V16" s="720">
        <f t="shared" ref="V16:AF16" si="5">V4</f>
        <v>328.01531332517436</v>
      </c>
      <c r="W16" s="720">
        <f t="shared" si="5"/>
        <v>369.54726098388983</v>
      </c>
      <c r="X16" s="720">
        <f t="shared" si="5"/>
        <v>350.86783357244809</v>
      </c>
      <c r="Y16" s="720">
        <f t="shared" si="5"/>
        <v>347.94732342970434</v>
      </c>
      <c r="Z16" s="720">
        <f t="shared" si="5"/>
        <v>366.47969162796966</v>
      </c>
      <c r="AA16" s="720">
        <f t="shared" si="5"/>
        <v>365.65576607234976</v>
      </c>
      <c r="AB16" s="720">
        <f t="shared" si="5"/>
        <v>372.40843284744562</v>
      </c>
      <c r="AC16" s="720">
        <f t="shared" si="5"/>
        <v>371.1226547664661</v>
      </c>
      <c r="AD16" s="720">
        <f t="shared" si="5"/>
        <v>385.24661787676132</v>
      </c>
      <c r="AE16" s="720">
        <f t="shared" si="5"/>
        <v>386.71920366357386</v>
      </c>
      <c r="AF16" s="720">
        <f t="shared" si="5"/>
        <v>387.12923789542197</v>
      </c>
      <c r="AK16" s="795" t="s">
        <v>38</v>
      </c>
      <c r="AL16" s="796">
        <f>Price!U4-'COST (Baht)'!U16</f>
        <v>315.70052812266937</v>
      </c>
      <c r="AM16" s="796">
        <f>Price!V4-'COST (Baht)'!V16</f>
        <v>370.50777234367536</v>
      </c>
      <c r="AN16" s="796">
        <f>Price!W4-'COST (Baht)'!W16</f>
        <v>306.00888388520661</v>
      </c>
      <c r="AO16" s="796">
        <f>Price!X4-'COST (Baht)'!X16</f>
        <v>257.98369596385845</v>
      </c>
      <c r="AP16" s="796">
        <f>Price!Y4-'COST (Baht)'!Y16</f>
        <v>206.89761427400691</v>
      </c>
      <c r="AQ16" s="796">
        <f>Price!Z4-'COST (Baht)'!Z16</f>
        <v>231.53840924501372</v>
      </c>
      <c r="AR16" s="796">
        <f>Price!AA4-'COST (Baht)'!AA16</f>
        <v>308.44086566622349</v>
      </c>
      <c r="AS16" s="796">
        <f>Price!AB4-'COST (Baht)'!AB16</f>
        <v>295.29428987982715</v>
      </c>
      <c r="AT16" s="796">
        <f>Price!AC4-'COST (Baht)'!AC16</f>
        <v>291.21850363670183</v>
      </c>
      <c r="AU16" s="796">
        <f>Price!AD4-'COST (Baht)'!AD16</f>
        <v>246.08258212323869</v>
      </c>
      <c r="AV16" s="796">
        <f>Price!AE4-'COST (Baht)'!AE16</f>
        <v>265.49211906369891</v>
      </c>
      <c r="AW16" s="797">
        <f>Price!AF4-'COST (Baht)'!AF16</f>
        <v>278.38548483185093</v>
      </c>
    </row>
    <row r="17" spans="1:49" ht="14.25" customHeight="1">
      <c r="A17" s="1360" t="s">
        <v>598</v>
      </c>
      <c r="B17" s="1390" t="s">
        <v>540</v>
      </c>
      <c r="C17" s="1391"/>
      <c r="D17" s="227"/>
      <c r="E17" s="984">
        <v>505.86514414172041</v>
      </c>
      <c r="F17" s="983">
        <v>605.23967992109237</v>
      </c>
      <c r="G17" s="983">
        <v>610.99455878959702</v>
      </c>
      <c r="H17" s="894">
        <v>588.87963295953205</v>
      </c>
      <c r="I17" s="983">
        <v>562.06705604501542</v>
      </c>
      <c r="J17" s="983">
        <v>566.47</v>
      </c>
      <c r="K17" s="2"/>
      <c r="L17" s="2"/>
      <c r="M17" s="2"/>
      <c r="N17" s="2"/>
      <c r="O17" s="2"/>
      <c r="P17" s="2"/>
      <c r="Q17" s="691"/>
      <c r="T17" t="s">
        <v>214</v>
      </c>
      <c r="U17" s="720">
        <f>V42</f>
        <v>339.36763662291207</v>
      </c>
      <c r="V17" s="720">
        <f t="shared" ref="V17:AF17" si="6">W42</f>
        <v>380.8320899386465</v>
      </c>
      <c r="W17" s="720">
        <f t="shared" si="6"/>
        <v>411.15675194687816</v>
      </c>
      <c r="X17" s="720">
        <f t="shared" si="6"/>
        <v>388.64976220671849</v>
      </c>
      <c r="Y17" s="720">
        <f t="shared" si="6"/>
        <v>362.96216369772782</v>
      </c>
      <c r="Z17" s="720">
        <f t="shared" si="6"/>
        <v>379.91122544800021</v>
      </c>
      <c r="AA17" s="720">
        <f t="shared" si="6"/>
        <v>266.85456634245782</v>
      </c>
      <c r="AB17" s="720">
        <f t="shared" si="6"/>
        <v>307.39037015292138</v>
      </c>
      <c r="AC17" s="720">
        <f t="shared" si="6"/>
        <v>244.91077874444207</v>
      </c>
      <c r="AD17" s="720">
        <f t="shared" si="6"/>
        <v>252.45447735404034</v>
      </c>
      <c r="AE17" s="720">
        <f t="shared" si="6"/>
        <v>337.96366061919366</v>
      </c>
      <c r="AF17" s="720">
        <f t="shared" si="6"/>
        <v>296.79058507681594</v>
      </c>
      <c r="AK17" s="795" t="s">
        <v>214</v>
      </c>
      <c r="AL17" s="796">
        <f>Price!U7-'COST (Baht)'!U17</f>
        <v>290.47849363813657</v>
      </c>
      <c r="AM17" s="796">
        <f>Price!V7-'COST (Baht)'!V17</f>
        <v>210.58163210734745</v>
      </c>
      <c r="AN17" s="796">
        <f>Price!W7-'COST (Baht)'!W17</f>
        <v>219.71071343069087</v>
      </c>
      <c r="AO17" s="796">
        <f>Price!X7-'COST (Baht)'!X17</f>
        <v>136.95200554270684</v>
      </c>
      <c r="AP17" s="796">
        <f>Price!Y7-'COST (Baht)'!Y17</f>
        <v>165.01777051628443</v>
      </c>
      <c r="AQ17" s="796">
        <f>Price!Z7-'COST (Baht)'!Z17</f>
        <v>196.86719186949631</v>
      </c>
      <c r="AR17" s="796">
        <f>Price!AA7-'COST (Baht)'!AA17</f>
        <v>392.88375017628016</v>
      </c>
      <c r="AS17" s="796">
        <f>Price!AB7-'COST (Baht)'!AB17</f>
        <v>342.33516565773562</v>
      </c>
      <c r="AT17" s="796">
        <f>Price!AC7-'COST (Baht)'!AC17</f>
        <v>400.01355279362826</v>
      </c>
      <c r="AU17" s="796">
        <f>Price!AD7-'COST (Baht)'!AD17</f>
        <v>367.75364191860319</v>
      </c>
      <c r="AV17" s="796">
        <f>Price!AE7-'COST (Baht)'!AE17</f>
        <v>292.32455003500752</v>
      </c>
      <c r="AW17" s="797">
        <f>Price!AF7-'COST (Baht)'!AF17</f>
        <v>346.68295750094256</v>
      </c>
    </row>
    <row r="18" spans="1:49" ht="14.25" customHeight="1">
      <c r="A18" s="1361"/>
      <c r="B18" s="1350" t="s">
        <v>541</v>
      </c>
      <c r="C18" s="1351"/>
      <c r="D18" s="227"/>
      <c r="E18" s="1025">
        <f>Delivery!E118+Delivery!E119+Delivery!E122</f>
        <v>6279.2689999999993</v>
      </c>
      <c r="F18" s="1025">
        <f>Delivery!F118+Delivery!F119+Delivery!F122</f>
        <v>34302.394</v>
      </c>
      <c r="G18" s="1025">
        <f>Delivery!G118+Delivery!G119+Delivery!G122</f>
        <v>37319.013999999996</v>
      </c>
      <c r="H18" s="944">
        <f>Delivery!H118+Delivery!H119+Delivery!H122</f>
        <v>33548.983999999997</v>
      </c>
      <c r="I18" s="944">
        <f>Delivery!I118+Delivery!I119+Delivery!I122</f>
        <v>19498.03</v>
      </c>
      <c r="J18" s="944">
        <f>Delivery!J118+Delivery!J119+Delivery!J122</f>
        <v>21543.264999999999</v>
      </c>
      <c r="K18" s="944">
        <f>Delivery!K118+Delivery!K119+Delivery!K122</f>
        <v>69137.562508500487</v>
      </c>
      <c r="L18" s="944">
        <f>Delivery!L118+Delivery!L119+Delivery!L122</f>
        <v>32305.728152398955</v>
      </c>
      <c r="M18" s="944">
        <f>Delivery!M118+Delivery!M119+Delivery!M122</f>
        <v>65876.998751449326</v>
      </c>
      <c r="N18" s="944">
        <f>Delivery!N118+Delivery!N119+Delivery!N122</f>
        <v>67323.711224260711</v>
      </c>
      <c r="O18" s="944">
        <f>Delivery!O118+Delivery!O119+Delivery!O122</f>
        <v>22107.445384608582</v>
      </c>
      <c r="P18" s="944">
        <f>Delivery!P118+Delivery!P119+Delivery!P122</f>
        <v>44800.346324887469</v>
      </c>
      <c r="Q18" s="691">
        <f>SUM(E18:P18)</f>
        <v>454042.74834610557</v>
      </c>
      <c r="T18" t="s">
        <v>215</v>
      </c>
      <c r="U18" s="720">
        <f>V65</f>
        <v>342.06508834461835</v>
      </c>
      <c r="V18" s="720">
        <f t="shared" ref="V18:AF18" si="7">W65</f>
        <v>387.2416913691066</v>
      </c>
      <c r="W18" s="720">
        <f t="shared" si="7"/>
        <v>420.42843507969883</v>
      </c>
      <c r="X18" s="720">
        <f t="shared" si="7"/>
        <v>397.14567312777012</v>
      </c>
      <c r="Y18" s="720">
        <f t="shared" si="7"/>
        <v>376.68282553261554</v>
      </c>
      <c r="Z18" s="720">
        <f t="shared" si="7"/>
        <v>409.13090040042823</v>
      </c>
      <c r="AA18" s="720">
        <f t="shared" si="7"/>
        <v>295.97532093488115</v>
      </c>
      <c r="AB18" s="720">
        <f t="shared" si="7"/>
        <v>338.78759838304518</v>
      </c>
      <c r="AC18" s="720">
        <f t="shared" si="7"/>
        <v>278.77047755491435</v>
      </c>
      <c r="AD18" s="720">
        <f t="shared" si="7"/>
        <v>234.83473925339399</v>
      </c>
      <c r="AE18" s="720">
        <f t="shared" si="7"/>
        <v>366.0316436395658</v>
      </c>
      <c r="AF18" s="720">
        <f t="shared" si="7"/>
        <v>325.65837467769512</v>
      </c>
      <c r="AK18" s="795" t="s">
        <v>215</v>
      </c>
      <c r="AL18" s="796">
        <f>Price!U8-'COST (Baht)'!U18</f>
        <v>78.143355099167593</v>
      </c>
      <c r="AM18" s="796">
        <f>Price!V8-'COST (Baht)'!V18</f>
        <v>35.013359319675999</v>
      </c>
      <c r="AN18" s="796">
        <f>Price!W8-'COST (Baht)'!W18</f>
        <v>-1.8356238085971768</v>
      </c>
      <c r="AO18" s="796">
        <f>Price!X8-'COST (Baht)'!X18</f>
        <v>45.332700951292452</v>
      </c>
      <c r="AP18" s="796">
        <f>Price!Y8-'COST (Baht)'!Y18</f>
        <v>64.028822545166918</v>
      </c>
      <c r="AQ18" s="796">
        <f>Price!Z8-'COST (Baht)'!Z18</f>
        <v>31.153048328370801</v>
      </c>
      <c r="AR18" s="796">
        <f>Price!AA8-'COST (Baht)'!AA18</f>
        <v>87.786326525245784</v>
      </c>
      <c r="AS18" s="796">
        <f>Price!AB8-'COST (Baht)'!AB18</f>
        <v>47.057080492437308</v>
      </c>
      <c r="AT18" s="796">
        <f>Price!AC8-'COST (Baht)'!AC18</f>
        <v>113.46742297440574</v>
      </c>
      <c r="AU18" s="796">
        <f>Price!AD8-'COST (Baht)'!AD18</f>
        <v>163.46059670616256</v>
      </c>
      <c r="AV18" s="796">
        <f>Price!AE8-'COST (Baht)'!AE18</f>
        <v>35.750644943921486</v>
      </c>
      <c r="AW18" s="797">
        <f>Price!AF8-'COST (Baht)'!AF18</f>
        <v>76.135612852404506</v>
      </c>
    </row>
    <row r="19" spans="1:49" ht="14.25" customHeight="1">
      <c r="A19" s="1361"/>
      <c r="B19" s="1350" t="s">
        <v>542</v>
      </c>
      <c r="C19" s="1351"/>
      <c r="D19" s="227"/>
      <c r="E19" s="944">
        <f>E17*E18</f>
        <v>3176463.3177896361</v>
      </c>
      <c r="F19" s="944">
        <f>F17*F18</f>
        <v>20761169.965087201</v>
      </c>
      <c r="G19" s="944">
        <f>G17*G18</f>
        <v>22801714.493392792</v>
      </c>
      <c r="H19" s="944">
        <f t="shared" ref="H19:P19" si="8">H17*H18</f>
        <v>19756313.384085212</v>
      </c>
      <c r="I19" s="944">
        <f t="shared" si="8"/>
        <v>10959200.320777392</v>
      </c>
      <c r="J19" s="944">
        <f t="shared" si="8"/>
        <v>12203613.324550001</v>
      </c>
      <c r="K19" s="944">
        <f t="shared" si="8"/>
        <v>0</v>
      </c>
      <c r="L19" s="944">
        <f t="shared" si="8"/>
        <v>0</v>
      </c>
      <c r="M19" s="944">
        <f t="shared" si="8"/>
        <v>0</v>
      </c>
      <c r="N19" s="944">
        <f t="shared" si="8"/>
        <v>0</v>
      </c>
      <c r="O19" s="944">
        <f t="shared" si="8"/>
        <v>0</v>
      </c>
      <c r="P19" s="944">
        <f t="shared" si="8"/>
        <v>0</v>
      </c>
      <c r="Q19" s="691">
        <f>SUM(E19:P19)</f>
        <v>89658474.805682227</v>
      </c>
      <c r="T19" t="s">
        <v>71</v>
      </c>
      <c r="U19" s="720">
        <f>U7</f>
        <v>263.70352592219581</v>
      </c>
      <c r="V19" s="720">
        <f t="shared" ref="V19:AF19" si="9">V7</f>
        <v>248.7728661068187</v>
      </c>
      <c r="W19" s="720">
        <f t="shared" si="9"/>
        <v>294.2228534300163</v>
      </c>
      <c r="X19" s="720">
        <f t="shared" si="9"/>
        <v>266.938308489333</v>
      </c>
      <c r="Y19" s="720">
        <f t="shared" si="9"/>
        <v>278.23612421072801</v>
      </c>
      <c r="Z19" s="720">
        <f t="shared" si="9"/>
        <v>352.92805061013786</v>
      </c>
      <c r="AA19" s="720">
        <f t="shared" si="9"/>
        <v>352.4226936091635</v>
      </c>
      <c r="AB19" s="720">
        <f t="shared" si="9"/>
        <v>358.66987173378391</v>
      </c>
      <c r="AC19" s="720">
        <f t="shared" si="9"/>
        <v>357.58033693280981</v>
      </c>
      <c r="AD19" s="720">
        <f t="shared" si="9"/>
        <v>371.38390424579717</v>
      </c>
      <c r="AE19" s="720">
        <f t="shared" si="9"/>
        <v>372.62517544013264</v>
      </c>
      <c r="AF19" s="720">
        <f t="shared" si="9"/>
        <v>373.04907130935919</v>
      </c>
      <c r="AK19" s="795" t="s">
        <v>71</v>
      </c>
      <c r="AL19" s="796">
        <f>Price!U9-'COST (Baht)'!U19</f>
        <v>234.84554401419155</v>
      </c>
      <c r="AM19" s="796">
        <f>Price!V9-'COST (Baht)'!V19</f>
        <v>301.96790006761307</v>
      </c>
      <c r="AN19" s="796">
        <f>Price!W9-'COST (Baht)'!W19</f>
        <v>283.84120908939877</v>
      </c>
      <c r="AO19" s="796">
        <f>Price!X9-'COST (Baht)'!X19</f>
        <v>291.15104949093831</v>
      </c>
      <c r="AP19" s="796">
        <f>Price!Y9-'COST (Baht)'!Y19</f>
        <v>309.71750686736402</v>
      </c>
      <c r="AQ19" s="796">
        <f>Price!Z9-'COST (Baht)'!Z19</f>
        <v>229.59613752663842</v>
      </c>
      <c r="AR19" s="796">
        <f>Price!AA9-'COST (Baht)'!AA19</f>
        <v>267.83893217327125</v>
      </c>
      <c r="AS19" s="796">
        <f>Price!AB9-'COST (Baht)'!AB19</f>
        <v>256.4919901069868</v>
      </c>
      <c r="AT19" s="796">
        <f>Price!AC9-'COST (Baht)'!AC19</f>
        <v>247.95582105142535</v>
      </c>
      <c r="AU19" s="796">
        <f>Price!AD9-'COST (Baht)'!AD19</f>
        <v>230.61102389783292</v>
      </c>
      <c r="AV19" s="796">
        <f>Price!AE9-'COST (Baht)'!AE19</f>
        <v>223.84168400157779</v>
      </c>
      <c r="AW19" s="797">
        <f>Price!AF9-'COST (Baht)'!AF19</f>
        <v>222.21540396051955</v>
      </c>
    </row>
    <row r="20" spans="1:49" ht="20.25" customHeight="1" thickBot="1">
      <c r="A20" s="1362"/>
      <c r="B20" t="s">
        <v>631</v>
      </c>
      <c r="E20" s="894">
        <v>30.059779055311193</v>
      </c>
      <c r="F20" s="720">
        <v>30.018385850154949</v>
      </c>
      <c r="G20" s="720">
        <v>30.469259006575236</v>
      </c>
      <c r="H20" s="720">
        <v>30.717393318055734</v>
      </c>
      <c r="I20" s="720">
        <v>30.880656348529065</v>
      </c>
      <c r="J20" s="720">
        <v>31.1</v>
      </c>
      <c r="T20" t="s">
        <v>79</v>
      </c>
      <c r="U20" s="720">
        <f>U8</f>
        <v>328.77388686862906</v>
      </c>
      <c r="V20" s="720">
        <f t="shared" ref="V20:AF20" si="10">V8</f>
        <v>320.09636574926458</v>
      </c>
      <c r="W20" s="720">
        <f t="shared" si="10"/>
        <v>361.46640235586545</v>
      </c>
      <c r="X20" s="720">
        <f t="shared" si="10"/>
        <v>342.43088878038395</v>
      </c>
      <c r="Y20" s="720">
        <f t="shared" si="10"/>
        <v>339.39437031535937</v>
      </c>
      <c r="Z20" s="720">
        <f t="shared" si="10"/>
        <v>352.9280506101378</v>
      </c>
      <c r="AA20" s="720">
        <f t="shared" si="10"/>
        <v>352.42269360916345</v>
      </c>
      <c r="AB20" s="720">
        <f t="shared" si="10"/>
        <v>358.66987173378385</v>
      </c>
      <c r="AC20" s="720">
        <f t="shared" si="10"/>
        <v>357.58033693280987</v>
      </c>
      <c r="AD20" s="720">
        <f t="shared" si="10"/>
        <v>371.38390424579717</v>
      </c>
      <c r="AE20" s="720">
        <f t="shared" si="10"/>
        <v>372.62517544013269</v>
      </c>
      <c r="AF20" s="720">
        <f t="shared" si="10"/>
        <v>373.04907130935919</v>
      </c>
      <c r="AK20" s="798" t="s">
        <v>79</v>
      </c>
      <c r="AL20" s="799">
        <f>Price!U10-'COST (Baht)'!U20</f>
        <v>84.507413131370924</v>
      </c>
      <c r="AM20" s="799">
        <f>Price!V10-'COST (Baht)'!V20</f>
        <v>144.53523425073547</v>
      </c>
      <c r="AN20" s="799">
        <f>Price!W10-'COST (Baht)'!W20</f>
        <v>131.93029764413455</v>
      </c>
      <c r="AO20" s="799">
        <f>Price!X10-'COST (Baht)'!X20</f>
        <v>128.67621121961599</v>
      </c>
      <c r="AP20" s="799">
        <f>Price!Y10-'COST (Baht)'!Y20</f>
        <v>162.75692968464062</v>
      </c>
      <c r="AQ20" s="799">
        <f>Price!Z10-'COST (Baht)'!Z20</f>
        <v>190.99244938986214</v>
      </c>
      <c r="AR20" s="799">
        <f>Price!AA10-'COST (Baht)'!AA20</f>
        <v>184.62730639083651</v>
      </c>
      <c r="AS20" s="799">
        <f>Price!AB10-'COST (Baht)'!AB20</f>
        <v>174.1501282662162</v>
      </c>
      <c r="AT20" s="799">
        <f>Price!AC10-'COST (Baht)'!AC20</f>
        <v>164.16966306719013</v>
      </c>
      <c r="AU20" s="799">
        <f>Price!AD10-'COST (Baht)'!AD20</f>
        <v>149.19609575420287</v>
      </c>
      <c r="AV20" s="799">
        <f>Price!AE10-'COST (Baht)'!AE20</f>
        <v>139.94482455986736</v>
      </c>
      <c r="AW20" s="800">
        <f>Price!AF10-'COST (Baht)'!AF20</f>
        <v>139.97092869064079</v>
      </c>
    </row>
    <row r="21" spans="1:49">
      <c r="A21" s="1359" t="s">
        <v>597</v>
      </c>
      <c r="B21" s="1389" t="s">
        <v>594</v>
      </c>
      <c r="C21" s="1389"/>
      <c r="D21" s="893">
        <v>144557218.9262</v>
      </c>
      <c r="E21" s="893">
        <v>236962178.76540002</v>
      </c>
      <c r="F21" s="714">
        <v>178457165.9156</v>
      </c>
      <c r="G21" s="714">
        <v>0</v>
      </c>
      <c r="H21" s="714">
        <v>23051621.9582</v>
      </c>
      <c r="I21" s="714">
        <v>0</v>
      </c>
      <c r="J21" s="714">
        <v>0</v>
      </c>
      <c r="K21" s="714"/>
      <c r="L21" s="714"/>
      <c r="M21" s="714"/>
      <c r="N21" s="714"/>
      <c r="O21" s="714"/>
      <c r="P21" s="714"/>
      <c r="U21" s="722"/>
      <c r="V21" s="722"/>
      <c r="W21" s="722"/>
      <c r="X21" s="722"/>
      <c r="Y21" s="722"/>
      <c r="Z21" s="722"/>
      <c r="AA21" s="722"/>
      <c r="AB21" s="722"/>
      <c r="AC21" s="722"/>
      <c r="AD21" s="722"/>
      <c r="AE21" s="722"/>
      <c r="AF21" s="722"/>
    </row>
    <row r="22" spans="1:49">
      <c r="A22" s="1359"/>
      <c r="B22" s="1389" t="s">
        <v>595</v>
      </c>
      <c r="C22" s="1389"/>
      <c r="D22" s="893">
        <v>79463735.801200002</v>
      </c>
      <c r="E22" s="893">
        <v>86578078.937099993</v>
      </c>
      <c r="F22" s="714">
        <v>93895629.828000009</v>
      </c>
      <c r="G22" s="714">
        <v>87473278.349000007</v>
      </c>
      <c r="H22" s="714">
        <v>71521252.226300001</v>
      </c>
      <c r="I22" s="714">
        <v>68070867.8169</v>
      </c>
      <c r="J22" s="714">
        <v>59558446.100000001</v>
      </c>
      <c r="K22" s="714"/>
      <c r="L22" s="714"/>
      <c r="M22" s="714"/>
      <c r="N22" s="714"/>
      <c r="O22" s="714"/>
      <c r="P22" s="714"/>
    </row>
    <row r="23" spans="1:49">
      <c r="A23" s="1359"/>
      <c r="B23" s="1389" t="s">
        <v>596</v>
      </c>
      <c r="C23" s="1389"/>
      <c r="D23" s="893">
        <v>25965393.560400002</v>
      </c>
      <c r="E23" s="893">
        <v>0</v>
      </c>
      <c r="F23" s="714">
        <v>33264073.843199998</v>
      </c>
      <c r="G23" s="714">
        <v>16644519.133199999</v>
      </c>
      <c r="H23" s="714">
        <v>16670268.7578</v>
      </c>
      <c r="I23" s="714">
        <v>16654466.921399999</v>
      </c>
      <c r="J23" s="714">
        <v>0</v>
      </c>
      <c r="K23" s="714"/>
      <c r="L23" s="714"/>
      <c r="M23" s="714"/>
      <c r="N23" s="714"/>
      <c r="O23" s="714"/>
      <c r="P23" s="714"/>
    </row>
    <row r="24" spans="1:49" ht="23.5">
      <c r="B24" s="1358" t="s">
        <v>752</v>
      </c>
      <c r="C24" s="1358"/>
      <c r="E24" s="735">
        <f>(E19*E20)+SUM(E21:E23)</f>
        <v>419024043.2125572</v>
      </c>
      <c r="F24" s="735">
        <f t="shared" ref="F24:P24" si="11">(F19*F20)+SUM(F21:F23)</f>
        <v>928833680.2994355</v>
      </c>
      <c r="G24" s="735">
        <f t="shared" si="11"/>
        <v>798869142.17536545</v>
      </c>
      <c r="H24" s="735">
        <f t="shared" si="11"/>
        <v>718105591.67601407</v>
      </c>
      <c r="I24" s="735">
        <f t="shared" si="11"/>
        <v>423152633.69891608</v>
      </c>
      <c r="J24" s="735">
        <f t="shared" si="11"/>
        <v>439090820.49350506</v>
      </c>
      <c r="K24" s="735">
        <f t="shared" si="11"/>
        <v>0</v>
      </c>
      <c r="L24" s="735">
        <f t="shared" si="11"/>
        <v>0</v>
      </c>
      <c r="M24" s="735">
        <f t="shared" si="11"/>
        <v>0</v>
      </c>
      <c r="N24" s="735">
        <f t="shared" si="11"/>
        <v>0</v>
      </c>
      <c r="O24" s="735">
        <f t="shared" si="11"/>
        <v>0</v>
      </c>
      <c r="P24" s="735">
        <f t="shared" si="11"/>
        <v>0</v>
      </c>
      <c r="T24" s="737"/>
      <c r="U24" s="737"/>
    </row>
    <row r="25" spans="1:49" ht="21.75" customHeight="1">
      <c r="A25" s="869" t="s">
        <v>0</v>
      </c>
      <c r="B25" s="841" t="s">
        <v>23</v>
      </c>
      <c r="C25" s="841" t="s">
        <v>22</v>
      </c>
      <c r="D25" s="842" t="s">
        <v>578</v>
      </c>
      <c r="E25" s="842" t="s">
        <v>579</v>
      </c>
      <c r="F25" s="842" t="s">
        <v>580</v>
      </c>
      <c r="G25" s="842" t="s">
        <v>581</v>
      </c>
      <c r="H25" s="842" t="s">
        <v>582</v>
      </c>
      <c r="I25" s="842" t="s">
        <v>583</v>
      </c>
      <c r="J25" s="842" t="s">
        <v>584</v>
      </c>
      <c r="K25" s="842" t="s">
        <v>585</v>
      </c>
      <c r="L25" s="842" t="s">
        <v>586</v>
      </c>
      <c r="M25" s="842" t="s">
        <v>587</v>
      </c>
      <c r="N25" s="842" t="s">
        <v>588</v>
      </c>
      <c r="O25" s="842" t="s">
        <v>589</v>
      </c>
      <c r="P25" s="842" t="s">
        <v>590</v>
      </c>
      <c r="T25" s="738"/>
      <c r="U25" s="738"/>
    </row>
    <row r="26" spans="1:49" ht="15.5">
      <c r="A26" s="866" t="str">
        <f>Table3[[#This Row],[Product]]</f>
        <v>Ethane</v>
      </c>
      <c r="B26" s="28" t="s">
        <v>25</v>
      </c>
      <c r="C26" s="27" t="s">
        <v>86</v>
      </c>
      <c r="D26" s="28"/>
      <c r="E26" s="714">
        <f>Delivery!E26*'COST (Baht)'!E$4*'COST (Baht)'!E$15</f>
        <v>471939123.07814229</v>
      </c>
      <c r="F26" s="714">
        <f>Delivery!F26*'COST (Baht)'!F$4*'COST (Baht)'!F$15</f>
        <v>381227451.55651385</v>
      </c>
      <c r="G26" s="714">
        <f>Delivery!G26*'COST (Baht)'!G$4*'COST (Baht)'!G$15</f>
        <v>449325668.30060643</v>
      </c>
      <c r="H26" s="714">
        <f>Delivery!H26*'COST (Baht)'!H$4*'COST (Baht)'!H$15</f>
        <v>364152021.75991488</v>
      </c>
      <c r="I26" s="714">
        <f>Delivery!I26*'COST (Baht)'!I$4*'COST (Baht)'!I$15</f>
        <v>409518564.48980945</v>
      </c>
      <c r="J26" s="714">
        <f>Delivery!J26*'COST (Baht)'!J$4*'COST (Baht)'!J$15</f>
        <v>430290201.3873049</v>
      </c>
      <c r="K26" s="714">
        <f>Delivery!K26*'COST (Baht)'!K$4*'COST (Baht)'!K$15</f>
        <v>489165805.22738117</v>
      </c>
      <c r="L26" s="714">
        <f>Delivery!L26*'COST (Baht)'!L$4*'COST (Baht)'!L$15</f>
        <v>491543916.57194251</v>
      </c>
      <c r="M26" s="714">
        <f>Delivery!M26*'COST (Baht)'!M$4*'COST (Baht)'!M$15</f>
        <v>455739939.3020528</v>
      </c>
      <c r="N26" s="714">
        <f>Delivery!N26*'COST (Baht)'!N$4*'COST (Baht)'!N$15</f>
        <v>417669543.04723895</v>
      </c>
      <c r="O26" s="714">
        <f>Delivery!O26*'COST (Baht)'!O$4*'COST (Baht)'!O$15</f>
        <v>473700759.98367947</v>
      </c>
      <c r="P26" s="714">
        <f>Delivery!P26*'COST (Baht)'!P$4*'COST (Baht)'!P$15</f>
        <v>489558296.9160592</v>
      </c>
      <c r="T26" s="738"/>
      <c r="U26" s="738"/>
      <c r="V26" s="705"/>
      <c r="W26" s="705"/>
      <c r="X26" s="705"/>
      <c r="Y26" s="705"/>
      <c r="Z26" s="705"/>
      <c r="AA26" s="705"/>
      <c r="AB26" s="705"/>
      <c r="AC26" s="705"/>
      <c r="AD26" s="705"/>
      <c r="AE26" s="705"/>
      <c r="AF26" s="705"/>
      <c r="AG26" s="705"/>
    </row>
    <row r="27" spans="1:49" ht="15.5">
      <c r="A27" s="866" t="str">
        <f>Table3[[#This Row],[Product]]</f>
        <v>Ethane</v>
      </c>
      <c r="B27" s="28" t="s">
        <v>25</v>
      </c>
      <c r="C27" s="27" t="s">
        <v>26</v>
      </c>
      <c r="D27" s="28"/>
      <c r="E27" s="714">
        <f>Delivery!E27*'COST (Baht)'!E$4*'COST (Baht)'!E$15</f>
        <v>331764395.88762826</v>
      </c>
      <c r="F27" s="714">
        <f>Delivery!F27*'COST (Baht)'!F$4*'COST (Baht)'!F$15</f>
        <v>301134738.86864656</v>
      </c>
      <c r="G27" s="714">
        <f>Delivery!G27*'COST (Baht)'!G$4*'COST (Baht)'!G$15</f>
        <v>370714676.31011802</v>
      </c>
      <c r="H27" s="714">
        <f>Delivery!H27*'COST (Baht)'!H$4*'COST (Baht)'!H$15</f>
        <v>357974993.22934318</v>
      </c>
      <c r="I27" s="714">
        <f>Delivery!I27*'COST (Baht)'!I$4*'COST (Baht)'!I$15</f>
        <v>306469756.35098273</v>
      </c>
      <c r="J27" s="714">
        <f>Delivery!J27*'COST (Baht)'!J$4*'COST (Baht)'!J$15</f>
        <v>369376275.28756392</v>
      </c>
      <c r="K27" s="714">
        <f>Delivery!K27*'COST (Baht)'!K$4*'COST (Baht)'!K$15</f>
        <v>484975925.6874516</v>
      </c>
      <c r="L27" s="714">
        <f>Delivery!L27*'COST (Baht)'!L$4*'COST (Baht)'!L$15</f>
        <v>494102190.82235163</v>
      </c>
      <c r="M27" s="714">
        <f>Delivery!M27*'COST (Baht)'!M$4*'COST (Baht)'!M$15</f>
        <v>492299322.21222854</v>
      </c>
      <c r="N27" s="714">
        <f>Delivery!N27*'COST (Baht)'!N$4*'COST (Baht)'!N$15</f>
        <v>510907943.28102797</v>
      </c>
      <c r="O27" s="714">
        <f>Delivery!O27*'COST (Baht)'!O$4*'COST (Baht)'!O$15</f>
        <v>512977019.20919281</v>
      </c>
      <c r="P27" s="714">
        <f>Delivery!P27*'COST (Baht)'!P$4*'COST (Baht)'!P$15</f>
        <v>513502160.21413612</v>
      </c>
      <c r="T27" s="738"/>
      <c r="U27" s="738"/>
      <c r="V27" s="705"/>
      <c r="W27" s="705"/>
      <c r="X27" s="705"/>
      <c r="Y27" s="705"/>
      <c r="Z27" s="705"/>
      <c r="AA27" s="705"/>
      <c r="AB27" s="705"/>
      <c r="AC27" s="705"/>
      <c r="AD27" s="705"/>
      <c r="AE27" s="705"/>
      <c r="AF27" s="705"/>
      <c r="AG27" s="705"/>
    </row>
    <row r="28" spans="1:49" ht="15.5">
      <c r="A28" s="866" t="str">
        <f>Table3[[#This Row],[Product]]</f>
        <v>Ethane</v>
      </c>
      <c r="B28" s="28" t="s">
        <v>25</v>
      </c>
      <c r="C28" s="29" t="s">
        <v>27</v>
      </c>
      <c r="D28" s="28"/>
      <c r="E28" s="714">
        <f>Delivery!E28*'COST (Baht)'!E$4*'COST (Baht)'!E$15</f>
        <v>1076442743.8437908</v>
      </c>
      <c r="F28" s="714">
        <f>Delivery!F28*'COST (Baht)'!F$4*'COST (Baht)'!F$15</f>
        <v>991169204.54567778</v>
      </c>
      <c r="G28" s="714">
        <f>Delivery!G28*'COST (Baht)'!G$4*'COST (Baht)'!G$15</f>
        <v>1292807976.0872383</v>
      </c>
      <c r="H28" s="714">
        <f>Delivery!H28*'COST (Baht)'!H$4*'COST (Baht)'!H$15</f>
        <v>1012268737.0971661</v>
      </c>
      <c r="I28" s="714">
        <f>Delivery!I28*'COST (Baht)'!I$4*'COST (Baht)'!I$15</f>
        <v>1237327236.8417146</v>
      </c>
      <c r="J28" s="714">
        <f>Delivery!J28*'COST (Baht)'!J$4*'COST (Baht)'!J$15</f>
        <v>1235655065.0337653</v>
      </c>
      <c r="K28" s="714">
        <f>Delivery!K28*'COST (Baht)'!K$4*'COST (Baht)'!K$15</f>
        <v>597657449.33762014</v>
      </c>
      <c r="L28" s="714">
        <f>Delivery!L28*'COST (Baht)'!L$4*'COST (Baht)'!L$15</f>
        <v>1165586740.8176904</v>
      </c>
      <c r="M28" s="714">
        <f>Delivery!M28*'COST (Baht)'!M$4*'COST (Baht)'!M$15</f>
        <v>987652953.69633675</v>
      </c>
      <c r="N28" s="714">
        <f>Delivery!N28*'COST (Baht)'!N$4*'COST (Baht)'!N$15</f>
        <v>810610734.90713108</v>
      </c>
      <c r="O28" s="714">
        <f>Delivery!O28*'COST (Baht)'!O$4*'COST (Baht)'!O$15</f>
        <v>1189618653.7014303</v>
      </c>
      <c r="P28" s="714">
        <f>Delivery!P28*'COST (Baht)'!P$4*'COST (Baht)'!P$15</f>
        <v>1214565671.8867862</v>
      </c>
      <c r="T28" s="738"/>
      <c r="U28" s="738"/>
      <c r="V28" s="705"/>
      <c r="W28" s="705"/>
      <c r="X28" s="705"/>
      <c r="Y28" s="705"/>
      <c r="Z28" s="705"/>
      <c r="AA28" s="705"/>
      <c r="AB28" s="705"/>
      <c r="AC28" s="705"/>
      <c r="AD28" s="705"/>
      <c r="AE28" s="705"/>
      <c r="AF28" s="705"/>
      <c r="AG28" s="705"/>
    </row>
    <row r="29" spans="1:49" ht="29">
      <c r="A29" s="866" t="str">
        <f>Table3[[#This Row],[Product]]</f>
        <v>Ethane</v>
      </c>
      <c r="B29" s="28" t="s">
        <v>25</v>
      </c>
      <c r="C29" s="30" t="s">
        <v>28</v>
      </c>
      <c r="D29" s="28"/>
      <c r="E29" s="714">
        <f>Delivery!E29*'COST (Baht)'!E$4*'COST (Baht)'!E$15</f>
        <v>3792200.7052205806</v>
      </c>
      <c r="F29" s="714">
        <f>Delivery!F29*'COST (Baht)'!F$4*'COST (Baht)'!F$15</f>
        <v>5362195.6227479493</v>
      </c>
      <c r="G29" s="714">
        <f>Delivery!G29*'COST (Baht)'!G$4*'COST (Baht)'!G$15</f>
        <v>649729.24376526219</v>
      </c>
      <c r="H29" s="714">
        <f>Delivery!H29*'COST (Baht)'!H$4*'COST (Baht)'!H$15</f>
        <v>4090909.1311190794</v>
      </c>
      <c r="I29" s="714">
        <f>Delivery!I29*'COST (Baht)'!I$4*'COST (Baht)'!I$15</f>
        <v>0</v>
      </c>
      <c r="J29" s="714">
        <f>Delivery!J29*'COST (Baht)'!J$4*'COST (Baht)'!J$15</f>
        <v>0</v>
      </c>
      <c r="K29" s="714">
        <f>Delivery!K29*'COST (Baht)'!K$4*'COST (Baht)'!K$15</f>
        <v>0</v>
      </c>
      <c r="L29" s="714">
        <f>Delivery!L29*'COST (Baht)'!L$4*'COST (Baht)'!L$15</f>
        <v>0</v>
      </c>
      <c r="M29" s="714">
        <f>Delivery!M29*'COST (Baht)'!M$4*'COST (Baht)'!M$15</f>
        <v>0</v>
      </c>
      <c r="N29" s="714">
        <f>Delivery!N29*'COST (Baht)'!N$4*'COST (Baht)'!N$15</f>
        <v>0</v>
      </c>
      <c r="O29" s="714">
        <f>Delivery!O29*'COST (Baht)'!O$4*'COST (Baht)'!O$15</f>
        <v>0</v>
      </c>
      <c r="P29" s="714">
        <f>Delivery!P29*'COST (Baht)'!P$4*'COST (Baht)'!P$15</f>
        <v>0</v>
      </c>
      <c r="T29" s="739"/>
      <c r="U29" s="739"/>
      <c r="V29" s="705"/>
      <c r="W29" s="705"/>
      <c r="X29" s="705"/>
      <c r="Y29" s="705"/>
      <c r="Z29" s="705"/>
      <c r="AA29" s="705"/>
      <c r="AB29" s="705"/>
      <c r="AC29" s="705"/>
      <c r="AD29" s="705"/>
      <c r="AE29" s="705"/>
      <c r="AF29" s="705"/>
      <c r="AG29" s="705"/>
    </row>
    <row r="30" spans="1:49" ht="29">
      <c r="A30" s="866" t="str">
        <f>Table3[[#This Row],[Product]]</f>
        <v>Ethane</v>
      </c>
      <c r="B30" s="28" t="s">
        <v>25</v>
      </c>
      <c r="C30" s="30" t="s">
        <v>29</v>
      </c>
      <c r="D30" s="28"/>
      <c r="E30" s="714">
        <f>Delivery!E30*'COST (Baht)'!E$4*'COST (Baht)'!E$15</f>
        <v>135940101.01576054</v>
      </c>
      <c r="F30" s="714">
        <f>Delivery!F30*'COST (Baht)'!F$4*'COST (Baht)'!F$15</f>
        <v>118622959.91364236</v>
      </c>
      <c r="G30" s="714">
        <f>Delivery!G30*'COST (Baht)'!G$4*'COST (Baht)'!G$15</f>
        <v>103575317.69706625</v>
      </c>
      <c r="H30" s="714">
        <f>Delivery!H30*'COST (Baht)'!H$4*'COST (Baht)'!H$15</f>
        <v>63517956.079407156</v>
      </c>
      <c r="I30" s="714">
        <f>Delivery!I30*'COST (Baht)'!I$4*'COST (Baht)'!I$15</f>
        <v>104399788.33576444</v>
      </c>
      <c r="J30" s="714">
        <f>Delivery!J30*'COST (Baht)'!J$4*'COST (Baht)'!J$15</f>
        <v>99276729.44595024</v>
      </c>
      <c r="K30" s="714">
        <f>Delivery!K30*'COST (Baht)'!K$4*'COST (Baht)'!K$15</f>
        <v>0</v>
      </c>
      <c r="L30" s="714">
        <f>Delivery!L30*'COST (Baht)'!L$4*'COST (Baht)'!L$15</f>
        <v>0</v>
      </c>
      <c r="M30" s="714">
        <f>Delivery!M30*'COST (Baht)'!M$4*'COST (Baht)'!M$15</f>
        <v>0</v>
      </c>
      <c r="N30" s="714">
        <f>Delivery!N30*'COST (Baht)'!N$4*'COST (Baht)'!N$15</f>
        <v>0</v>
      </c>
      <c r="O30" s="714">
        <f>Delivery!O30*'COST (Baht)'!O$4*'COST (Baht)'!O$15</f>
        <v>0</v>
      </c>
      <c r="P30" s="714">
        <f>Delivery!P30*'COST (Baht)'!P$4*'COST (Baht)'!P$15</f>
        <v>0</v>
      </c>
      <c r="T30" s="738"/>
      <c r="U30" s="738"/>
      <c r="V30" s="705"/>
      <c r="W30" s="705"/>
      <c r="X30" s="705"/>
      <c r="Y30" s="705"/>
      <c r="Z30" s="705"/>
      <c r="AA30" s="705"/>
      <c r="AB30" s="705"/>
      <c r="AC30" s="705"/>
      <c r="AD30" s="705"/>
      <c r="AE30" s="705"/>
      <c r="AF30" s="705"/>
      <c r="AG30" s="705"/>
    </row>
    <row r="31" spans="1:49" ht="29">
      <c r="A31" s="866" t="str">
        <f>Table3[[#This Row],[Product]]</f>
        <v>Ethane</v>
      </c>
      <c r="B31" s="28" t="s">
        <v>25</v>
      </c>
      <c r="C31" s="30" t="s">
        <v>30</v>
      </c>
      <c r="D31" s="28"/>
      <c r="E31" s="714">
        <f>Delivery!E31*'COST (Baht)'!E$4*'COST (Baht)'!E$15</f>
        <v>30562387.069241643</v>
      </c>
      <c r="F31" s="714">
        <f>Delivery!F31*'COST (Baht)'!F$4*'COST (Baht)'!F$15</f>
        <v>26876970.675666608</v>
      </c>
      <c r="G31" s="714">
        <f>Delivery!G31*'COST (Baht)'!G$4*'COST (Baht)'!G$15</f>
        <v>34489052.323156036</v>
      </c>
      <c r="H31" s="714">
        <f>Delivery!H31*'COST (Baht)'!H$4*'COST (Baht)'!H$15</f>
        <v>30062451.458915878</v>
      </c>
      <c r="I31" s="714">
        <f>Delivery!I31*'COST (Baht)'!I$4*'COST (Baht)'!I$15</f>
        <v>32955328.044383448</v>
      </c>
      <c r="J31" s="714">
        <f>Delivery!J31*'COST (Baht)'!J$4*'COST (Baht)'!J$15</f>
        <v>33794016.580936134</v>
      </c>
      <c r="K31" s="714">
        <f>Delivery!K31*'COST (Baht)'!K$4*'COST (Baht)'!K$15</f>
        <v>33236471.14969603</v>
      </c>
      <c r="L31" s="714">
        <f>Delivery!L31*'COST (Baht)'!L$4*'COST (Baht)'!L$15</f>
        <v>33861914.252733819</v>
      </c>
      <c r="M31" s="714">
        <f>Delivery!M31*'COST (Baht)'!M$4*'COST (Baht)'!M$15</f>
        <v>32650025.50223662</v>
      </c>
      <c r="N31" s="714">
        <f>Delivery!N31*'COST (Baht)'!N$4*'COST (Baht)'!N$15</f>
        <v>35013649.580523476</v>
      </c>
      <c r="O31" s="714">
        <f>Delivery!O31*'COST (Baht)'!O$4*'COST (Baht)'!O$15</f>
        <v>34021401.215785459</v>
      </c>
      <c r="P31" s="714">
        <f>Delivery!P31*'COST (Baht)'!P$4*'COST (Baht)'!P$15</f>
        <v>35191436.995705128</v>
      </c>
      <c r="T31" s="737"/>
      <c r="U31" s="737"/>
      <c r="V31" s="705"/>
      <c r="W31" s="705"/>
      <c r="X31" s="705"/>
      <c r="Y31" s="705"/>
      <c r="Z31" s="705"/>
      <c r="AA31" s="705"/>
      <c r="AB31" s="705"/>
      <c r="AC31" s="705"/>
      <c r="AD31" s="705"/>
      <c r="AE31" s="705"/>
      <c r="AF31" s="705"/>
      <c r="AG31" s="705"/>
    </row>
    <row r="32" spans="1:49" ht="15.5">
      <c r="A32" s="866" t="str">
        <f>Table3[[#This Row],[Product]]</f>
        <v>Ethane</v>
      </c>
      <c r="B32" s="28" t="s">
        <v>25</v>
      </c>
      <c r="C32" s="31" t="s">
        <v>31</v>
      </c>
      <c r="D32" s="28"/>
      <c r="E32" s="714">
        <f>Delivery!E32*'COST (Baht)'!E$4*'COST (Baht)'!E$15</f>
        <v>0</v>
      </c>
      <c r="F32" s="714">
        <f>Delivery!F32*'COST (Baht)'!F$4*'COST (Baht)'!F$15</f>
        <v>0</v>
      </c>
      <c r="G32" s="714">
        <f>Delivery!G32*'COST (Baht)'!G$4*'COST (Baht)'!G$15</f>
        <v>67638339.396691531</v>
      </c>
      <c r="H32" s="714">
        <f>Delivery!H32*'COST (Baht)'!H$4*'COST (Baht)'!H$15</f>
        <v>63684809.395372763</v>
      </c>
      <c r="I32" s="714">
        <f>Delivery!I32*'COST (Baht)'!I$4*'COST (Baht)'!I$15</f>
        <v>124573100.05248176</v>
      </c>
      <c r="J32" s="714">
        <f>Delivery!J32*'COST (Baht)'!J$4*'COST (Baht)'!J$15</f>
        <v>130788335.69591725</v>
      </c>
      <c r="K32" s="714">
        <f>Delivery!K32*'COST (Baht)'!K$4*'COST (Baht)'!K$15</f>
        <v>79124244.220889255</v>
      </c>
      <c r="L32" s="714">
        <f>Delivery!L32*'COST (Baht)'!L$4*'COST (Baht)'!L$15</f>
        <v>126982178.44775182</v>
      </c>
      <c r="M32" s="714">
        <f>Delivery!M32*'COST (Baht)'!M$4*'COST (Baht)'!M$15</f>
        <v>114230566.49577965</v>
      </c>
      <c r="N32" s="714">
        <f>Delivery!N32*'COST (Baht)'!N$4*'COST (Baht)'!N$15</f>
        <v>102369738.08646211</v>
      </c>
      <c r="O32" s="714">
        <f>Delivery!O32*'COST (Baht)'!O$4*'COST (Baht)'!O$15</f>
        <v>127472200.82183635</v>
      </c>
      <c r="P32" s="714">
        <f>Delivery!P32*'COST (Baht)'!P$4*'COST (Baht)'!P$15</f>
        <v>129935980.57151467</v>
      </c>
      <c r="T32" s="738"/>
      <c r="U32" s="738"/>
      <c r="V32" s="705"/>
      <c r="W32" s="705"/>
      <c r="X32" s="705"/>
      <c r="Y32" s="705"/>
      <c r="Z32" s="705"/>
      <c r="AA32" s="705"/>
      <c r="AB32" s="705"/>
      <c r="AC32" s="705"/>
      <c r="AD32" s="705"/>
      <c r="AE32" s="705"/>
      <c r="AF32" s="705"/>
      <c r="AG32" s="705"/>
    </row>
    <row r="33" spans="1:50" ht="15.5">
      <c r="A33" s="866" t="str">
        <f>Table3[[#This Row],[Product]]</f>
        <v>Ethane</v>
      </c>
      <c r="B33" s="28" t="s">
        <v>25</v>
      </c>
      <c r="C33" s="31" t="s">
        <v>32</v>
      </c>
      <c r="D33" s="28"/>
      <c r="E33" s="714">
        <f>Delivery!E33*'COST (Baht)'!E$4*'COST (Baht)'!E$15</f>
        <v>0</v>
      </c>
      <c r="F33" s="714">
        <f>Delivery!F33*'COST (Baht)'!F$4*'COST (Baht)'!F$15</f>
        <v>0</v>
      </c>
      <c r="G33" s="714">
        <f>Delivery!G33*'COST (Baht)'!G$4*'COST (Baht)'!G$15</f>
        <v>0</v>
      </c>
      <c r="H33" s="714">
        <f>Delivery!H33*'COST (Baht)'!H$4*'COST (Baht)'!H$15</f>
        <v>0</v>
      </c>
      <c r="I33" s="714">
        <f>Delivery!I33*'COST (Baht)'!I$4*'COST (Baht)'!I$15</f>
        <v>0</v>
      </c>
      <c r="J33" s="714">
        <f>Delivery!J33*'COST (Baht)'!J$4*'COST (Baht)'!J$15</f>
        <v>0</v>
      </c>
      <c r="K33" s="714">
        <f>Delivery!K33*'COST (Baht)'!K$4*'COST (Baht)'!K$15</f>
        <v>0</v>
      </c>
      <c r="L33" s="714">
        <f>Delivery!L33*'COST (Baht)'!L$4*'COST (Baht)'!L$15</f>
        <v>0</v>
      </c>
      <c r="M33" s="714">
        <f>Delivery!M33*'COST (Baht)'!M$4*'COST (Baht)'!M$15</f>
        <v>0</v>
      </c>
      <c r="N33" s="714">
        <f>Delivery!N33*'COST (Baht)'!N$4*'COST (Baht)'!N$15</f>
        <v>0</v>
      </c>
      <c r="O33" s="714">
        <f>Delivery!O33*'COST (Baht)'!O$4*'COST (Baht)'!O$15</f>
        <v>0</v>
      </c>
      <c r="P33" s="714">
        <f>Delivery!P33*'COST (Baht)'!P$4*'COST (Baht)'!P$15</f>
        <v>0</v>
      </c>
    </row>
    <row r="34" spans="1:50" ht="15.5">
      <c r="A34" s="866" t="str">
        <f>Table3[[#This Row],[Product]]</f>
        <v>Ethane</v>
      </c>
      <c r="B34" s="32" t="s">
        <v>34</v>
      </c>
      <c r="C34" s="31" t="s">
        <v>33</v>
      </c>
      <c r="D34" s="28"/>
      <c r="E34" s="714">
        <f>Delivery!E34*'COST (Baht)'!E$4*'COST (Baht)'!E$15</f>
        <v>0</v>
      </c>
      <c r="F34" s="714">
        <f>Delivery!F34*'COST (Baht)'!F$4*'COST (Baht)'!F$15</f>
        <v>0</v>
      </c>
      <c r="G34" s="714">
        <f>Delivery!G34*'COST (Baht)'!G$4*'COST (Baht)'!G$15</f>
        <v>0</v>
      </c>
      <c r="H34" s="714">
        <f>Delivery!H34*'COST (Baht)'!H$4*'COST (Baht)'!H$15</f>
        <v>0</v>
      </c>
      <c r="I34" s="714">
        <f>Delivery!I34*'COST (Baht)'!I$4*'COST (Baht)'!I$15</f>
        <v>0</v>
      </c>
      <c r="J34" s="714">
        <f>Delivery!J34*'COST (Baht)'!J$4*'COST (Baht)'!J$15</f>
        <v>0</v>
      </c>
      <c r="K34" s="714">
        <f>Delivery!K34*'COST (Baht)'!K$4*'COST (Baht)'!K$15</f>
        <v>0</v>
      </c>
      <c r="L34" s="714">
        <f>Delivery!L34*'COST (Baht)'!L$4*'COST (Baht)'!L$15</f>
        <v>0</v>
      </c>
      <c r="M34" s="714">
        <f>Delivery!M34*'COST (Baht)'!M$4*'COST (Baht)'!M$15</f>
        <v>0</v>
      </c>
      <c r="N34" s="714">
        <f>Delivery!N34*'COST (Baht)'!N$4*'COST (Baht)'!N$15</f>
        <v>0</v>
      </c>
      <c r="O34" s="714">
        <f>Delivery!O34*'COST (Baht)'!O$4*'COST (Baht)'!O$15</f>
        <v>0</v>
      </c>
      <c r="P34" s="714">
        <f>Delivery!P34*'COST (Baht)'!P$4*'COST (Baht)'!P$15</f>
        <v>0</v>
      </c>
    </row>
    <row r="35" spans="1:50" ht="19.5" customHeight="1">
      <c r="A35" s="866" t="str">
        <f>Table3[[#This Row],[Product]]</f>
        <v>Ethane</v>
      </c>
      <c r="B35" s="32"/>
      <c r="C35" s="33" t="s">
        <v>35</v>
      </c>
      <c r="D35" s="28">
        <f>SUM(D26:D31)</f>
        <v>0</v>
      </c>
      <c r="E35" s="714">
        <f t="shared" ref="E35:P35" si="12">SUM(E26:E31)</f>
        <v>2050440951.5997839</v>
      </c>
      <c r="F35" s="714">
        <f t="shared" si="12"/>
        <v>1824393521.1828949</v>
      </c>
      <c r="G35" s="714">
        <f t="shared" si="12"/>
        <v>2251562419.9619503</v>
      </c>
      <c r="H35" s="714">
        <f t="shared" si="12"/>
        <v>1832067068.7558663</v>
      </c>
      <c r="I35" s="714">
        <f t="shared" si="12"/>
        <v>2090670674.0626547</v>
      </c>
      <c r="J35" s="714">
        <f t="shared" si="12"/>
        <v>2168392287.7355204</v>
      </c>
      <c r="K35" s="714">
        <f t="shared" si="12"/>
        <v>1605035651.402149</v>
      </c>
      <c r="L35" s="714">
        <f t="shared" si="12"/>
        <v>2185094762.4647183</v>
      </c>
      <c r="M35" s="714">
        <f t="shared" si="12"/>
        <v>1968342240.7128546</v>
      </c>
      <c r="N35" s="714">
        <f t="shared" si="12"/>
        <v>1774201870.8159213</v>
      </c>
      <c r="O35" s="714">
        <f t="shared" si="12"/>
        <v>2210317834.1100879</v>
      </c>
      <c r="P35" s="714">
        <f t="shared" si="12"/>
        <v>2252817566.0126867</v>
      </c>
      <c r="T35" s="1344" t="s">
        <v>572</v>
      </c>
      <c r="U35" s="1344"/>
      <c r="V35" s="1344"/>
      <c r="W35" s="1344"/>
      <c r="X35" s="1344"/>
      <c r="Y35" s="1344"/>
      <c r="Z35" s="1344"/>
      <c r="AA35" s="1344"/>
      <c r="AB35" s="1344"/>
      <c r="AC35" s="1344"/>
      <c r="AD35" s="1344"/>
      <c r="AE35" s="1344"/>
      <c r="AF35" s="1344"/>
      <c r="AG35" s="1344"/>
      <c r="AK35" s="1352" t="s">
        <v>552</v>
      </c>
      <c r="AL35" s="1353"/>
      <c r="AM35" s="1353"/>
      <c r="AN35" s="1353"/>
      <c r="AO35" s="1353"/>
      <c r="AP35" s="1353"/>
      <c r="AQ35" s="1353"/>
      <c r="AR35" s="1353"/>
      <c r="AS35" s="1353"/>
      <c r="AT35" s="1353"/>
      <c r="AU35" s="1353"/>
      <c r="AV35" s="1353"/>
      <c r="AW35" s="1353"/>
      <c r="AX35" s="1354"/>
    </row>
    <row r="36" spans="1:50" ht="14.25" customHeight="1">
      <c r="A36" s="866" t="str">
        <f>Table3[[#This Row],[Product]]</f>
        <v>Ethane</v>
      </c>
      <c r="B36" s="32"/>
      <c r="C36" s="33" t="s">
        <v>36</v>
      </c>
      <c r="D36" s="28">
        <f>SUM(D32:D34)</f>
        <v>0</v>
      </c>
      <c r="E36" s="714">
        <f t="shared" ref="E36:P36" si="13">SUM(E32:E34)</f>
        <v>0</v>
      </c>
      <c r="F36" s="714">
        <f t="shared" si="13"/>
        <v>0</v>
      </c>
      <c r="G36" s="714">
        <f t="shared" si="13"/>
        <v>67638339.396691531</v>
      </c>
      <c r="H36" s="714">
        <f t="shared" si="13"/>
        <v>63684809.395372763</v>
      </c>
      <c r="I36" s="714">
        <f t="shared" si="13"/>
        <v>124573100.05248176</v>
      </c>
      <c r="J36" s="714">
        <f t="shared" si="13"/>
        <v>130788335.69591725</v>
      </c>
      <c r="K36" s="714">
        <f t="shared" si="13"/>
        <v>79124244.220889255</v>
      </c>
      <c r="L36" s="714">
        <f t="shared" si="13"/>
        <v>126982178.44775182</v>
      </c>
      <c r="M36" s="714">
        <f t="shared" si="13"/>
        <v>114230566.49577965</v>
      </c>
      <c r="N36" s="714">
        <f t="shared" si="13"/>
        <v>102369738.08646211</v>
      </c>
      <c r="O36" s="714">
        <f t="shared" si="13"/>
        <v>127472200.82183635</v>
      </c>
      <c r="P36" s="714">
        <f t="shared" si="13"/>
        <v>129935980.57151467</v>
      </c>
      <c r="T36" s="1344"/>
      <c r="U36" s="1344"/>
      <c r="V36" s="1344"/>
      <c r="W36" s="1344"/>
      <c r="X36" s="1344"/>
      <c r="Y36" s="1344"/>
      <c r="Z36" s="1344"/>
      <c r="AA36" s="1344"/>
      <c r="AB36" s="1344"/>
      <c r="AC36" s="1344"/>
      <c r="AD36" s="1344"/>
      <c r="AE36" s="1344"/>
      <c r="AF36" s="1344"/>
      <c r="AG36" s="1344"/>
      <c r="AK36" s="1355"/>
      <c r="AL36" s="1356"/>
      <c r="AM36" s="1356"/>
      <c r="AN36" s="1356"/>
      <c r="AO36" s="1356"/>
      <c r="AP36" s="1356"/>
      <c r="AQ36" s="1356"/>
      <c r="AR36" s="1356"/>
      <c r="AS36" s="1356"/>
      <c r="AT36" s="1356"/>
      <c r="AU36" s="1356"/>
      <c r="AV36" s="1356"/>
      <c r="AW36" s="1356"/>
      <c r="AX36" s="1357"/>
    </row>
    <row r="37" spans="1:50" ht="14.25" customHeight="1">
      <c r="A37" s="866" t="str">
        <f>Table3[[#This Row],[Product]]</f>
        <v>Ethane</v>
      </c>
      <c r="B37" s="28"/>
      <c r="C37" s="34" t="s">
        <v>37</v>
      </c>
      <c r="D37" s="28">
        <f>SUM(D26:D34)</f>
        <v>0</v>
      </c>
      <c r="E37" s="822">
        <f>SUM(E26:E34)</f>
        <v>2050440951.5997839</v>
      </c>
      <c r="F37" s="822">
        <f t="shared" ref="F37:P37" si="14">SUM(F26:F34)</f>
        <v>1824393521.1828949</v>
      </c>
      <c r="G37" s="822">
        <f t="shared" si="14"/>
        <v>2319200759.3586416</v>
      </c>
      <c r="H37" s="822">
        <f t="shared" si="14"/>
        <v>1895751878.1512392</v>
      </c>
      <c r="I37" s="822">
        <f t="shared" si="14"/>
        <v>2215243774.1151366</v>
      </c>
      <c r="J37" s="822">
        <f t="shared" si="14"/>
        <v>2299180623.4314375</v>
      </c>
      <c r="K37" s="822">
        <f t="shared" si="14"/>
        <v>1684159895.6230383</v>
      </c>
      <c r="L37" s="822">
        <f t="shared" si="14"/>
        <v>2312076940.9124703</v>
      </c>
      <c r="M37" s="822">
        <f t="shared" si="14"/>
        <v>2082572807.2086344</v>
      </c>
      <c r="N37" s="822">
        <f t="shared" si="14"/>
        <v>1876571608.9023833</v>
      </c>
      <c r="O37" s="822">
        <f t="shared" si="14"/>
        <v>2337790034.9319243</v>
      </c>
      <c r="P37" s="822">
        <f t="shared" si="14"/>
        <v>2382753546.5842013</v>
      </c>
      <c r="V37" s="43">
        <v>23377</v>
      </c>
      <c r="W37" s="43">
        <v>23408</v>
      </c>
      <c r="X37" s="43">
        <v>23437</v>
      </c>
      <c r="Y37" s="43">
        <v>23468</v>
      </c>
      <c r="Z37" s="43">
        <v>23498</v>
      </c>
      <c r="AA37" s="43">
        <v>23529</v>
      </c>
      <c r="AB37" s="43">
        <v>23559</v>
      </c>
      <c r="AC37" s="43">
        <v>23590</v>
      </c>
      <c r="AD37" s="43">
        <v>23621</v>
      </c>
      <c r="AE37" s="43">
        <v>23651</v>
      </c>
      <c r="AF37" s="43">
        <v>23682</v>
      </c>
      <c r="AG37" s="43">
        <v>23712</v>
      </c>
      <c r="AM37" s="43">
        <v>23377</v>
      </c>
      <c r="AN37" s="43">
        <v>23408</v>
      </c>
      <c r="AO37" s="43">
        <v>23437</v>
      </c>
      <c r="AP37" s="43">
        <v>23468</v>
      </c>
      <c r="AQ37" s="43">
        <v>23498</v>
      </c>
      <c r="AR37" s="43">
        <v>23529</v>
      </c>
      <c r="AS37" s="43">
        <v>23559</v>
      </c>
      <c r="AT37" s="43">
        <v>23590</v>
      </c>
      <c r="AU37" s="43">
        <v>23621</v>
      </c>
      <c r="AV37" s="43">
        <v>23651</v>
      </c>
      <c r="AW37" s="43">
        <v>23682</v>
      </c>
      <c r="AX37" s="43">
        <v>23712</v>
      </c>
    </row>
    <row r="38" spans="1:50" ht="23.5">
      <c r="A38" s="867" t="str">
        <f>Table3[[#This Row],[Product]]</f>
        <v>Propane</v>
      </c>
      <c r="B38" s="28" t="s">
        <v>25</v>
      </c>
      <c r="C38" s="35" t="s">
        <v>39</v>
      </c>
      <c r="D38" s="28"/>
      <c r="E38" s="714">
        <f>Delivery!E38*'COST (Baht)'!E$5*'COST (Baht)'!E$15</f>
        <v>222466787.13869521</v>
      </c>
      <c r="F38" s="714">
        <f>Delivery!F38*'COST (Baht)'!F$5*'COST (Baht)'!F$15</f>
        <v>188606234.08243138</v>
      </c>
      <c r="G38" s="714">
        <f>Delivery!G38*'COST (Baht)'!G$5*'COST (Baht)'!G$15</f>
        <v>213051080.29542595</v>
      </c>
      <c r="H38" s="714">
        <f>Delivery!H38*'COST (Baht)'!H$5*'COST (Baht)'!H$15</f>
        <v>131099436.84665129</v>
      </c>
      <c r="I38" s="714">
        <f>Delivery!I38*'COST (Baht)'!I$5*'COST (Baht)'!I$15</f>
        <v>265830639.40372208</v>
      </c>
      <c r="J38" s="714">
        <f>Delivery!J38*'COST (Baht)'!J$5*'COST (Baht)'!J$15</f>
        <v>217489142.45841986</v>
      </c>
      <c r="K38" s="714">
        <f>Delivery!K38*'COST (Baht)'!K$5*'COST (Baht)'!K$15</f>
        <v>244843100.9620454</v>
      </c>
      <c r="L38" s="714">
        <f>Delivery!L38*'COST (Baht)'!L$5*'COST (Baht)'!L$15</f>
        <v>249364686.63464957</v>
      </c>
      <c r="M38" s="714">
        <f>Delivery!M38*'COST (Baht)'!M$5*'COST (Baht)'!M$15</f>
        <v>230867981.07712322</v>
      </c>
      <c r="N38" s="714">
        <f>Delivery!N38*'COST (Baht)'!N$5*'COST (Baht)'!N$15</f>
        <v>257961135.33027941</v>
      </c>
      <c r="O38" s="714">
        <f>Delivery!O38*'COST (Baht)'!O$5*'COST (Baht)'!O$15</f>
        <v>250594043.97399586</v>
      </c>
      <c r="P38" s="714">
        <f>Delivery!P38*'COST (Baht)'!P$5*'COST (Baht)'!P$15</f>
        <v>259221737.69477454</v>
      </c>
      <c r="T38" s="44" t="s">
        <v>214</v>
      </c>
      <c r="U38" s="702"/>
      <c r="V38" s="705"/>
      <c r="W38" s="705"/>
      <c r="X38" s="705"/>
      <c r="Y38" s="705"/>
      <c r="Z38" s="705"/>
      <c r="AA38" s="705"/>
      <c r="AB38" s="705"/>
      <c r="AC38" s="705"/>
      <c r="AD38" s="705"/>
      <c r="AE38" s="705"/>
      <c r="AF38" s="705"/>
      <c r="AG38" s="705"/>
      <c r="AK38" s="44" t="s">
        <v>214</v>
      </c>
      <c r="AL38" s="702"/>
    </row>
    <row r="39" spans="1:50" ht="15.5">
      <c r="A39" s="867" t="str">
        <f>Table3[[#This Row],[Product]]</f>
        <v>Propane</v>
      </c>
      <c r="B39" s="28" t="s">
        <v>25</v>
      </c>
      <c r="C39" s="35" t="s">
        <v>40</v>
      </c>
      <c r="D39" s="28"/>
      <c r="E39" s="714">
        <f>Delivery!E39*'COST (Baht)'!E$5*'COST (Baht)'!E$15</f>
        <v>0</v>
      </c>
      <c r="F39" s="714">
        <f>Delivery!F39*'COST (Baht)'!F$5*'COST (Baht)'!F$15</f>
        <v>0</v>
      </c>
      <c r="G39" s="714">
        <f>Delivery!G39*'COST (Baht)'!G$5*'COST (Baht)'!G$15</f>
        <v>0</v>
      </c>
      <c r="H39" s="714">
        <f>Delivery!H39*'COST (Baht)'!H$5*'COST (Baht)'!H$15</f>
        <v>0</v>
      </c>
      <c r="I39" s="714">
        <f>Delivery!I39*'COST (Baht)'!I$5*'COST (Baht)'!I$15</f>
        <v>0</v>
      </c>
      <c r="J39" s="714">
        <f>Delivery!J39*'COST (Baht)'!J$5*'COST (Baht)'!J$15</f>
        <v>0</v>
      </c>
      <c r="K39" s="714">
        <f>Delivery!K39*'COST (Baht)'!K$5*'COST (Baht)'!K$15</f>
        <v>0</v>
      </c>
      <c r="L39" s="714">
        <f>Delivery!L39*'COST (Baht)'!L$5*'COST (Baht)'!L$15</f>
        <v>0</v>
      </c>
      <c r="M39" s="714">
        <f>Delivery!M39*'COST (Baht)'!M$5*'COST (Baht)'!M$15</f>
        <v>0</v>
      </c>
      <c r="N39" s="714">
        <f>Delivery!N39*'COST (Baht)'!N$5*'COST (Baht)'!N$15</f>
        <v>0</v>
      </c>
      <c r="O39" s="714">
        <f>Delivery!O39*'COST (Baht)'!O$5*'COST (Baht)'!O$15</f>
        <v>0</v>
      </c>
      <c r="P39" s="714">
        <f>Delivery!P39*'COST (Baht)'!P$5*'COST (Baht)'!P$15</f>
        <v>0</v>
      </c>
      <c r="T39" t="s">
        <v>217</v>
      </c>
      <c r="V39" s="705">
        <f>IF(Delivery!V39&gt;0,((Delivery!V87*'COST (Baht)'!V87)+('COST (Baht)'!V121*Delivery!V121))/Delivery!V39," ")</f>
        <v>339.36763662291207</v>
      </c>
      <c r="W39" s="705">
        <f>IF(Delivery!W39&gt;0,((Delivery!W87*'COST (Baht)'!W87)+('COST (Baht)'!W121*Delivery!W121))/Delivery!W39," ")</f>
        <v>380.8320899386465</v>
      </c>
      <c r="X39" s="705">
        <f>IF(Delivery!X39&gt;0,((Delivery!X87*'COST (Baht)'!X87)+('COST (Baht)'!X121*Delivery!X121))/Delivery!X39," ")</f>
        <v>411.15675194687816</v>
      </c>
      <c r="Y39" s="705">
        <f>IF(Delivery!Y39&gt;0,((Delivery!Y87*'COST (Baht)'!Y87)+('COST (Baht)'!Y121*Delivery!Y121))/Delivery!Y39," ")</f>
        <v>388.64976220671855</v>
      </c>
      <c r="Z39" s="705">
        <f>IF(Delivery!Z39&gt;0,((Delivery!Z87*'COST (Baht)'!Z87)+('COST (Baht)'!Z121*Delivery!Z121))/Delivery!Z39," ")</f>
        <v>362.96216369772782</v>
      </c>
      <c r="AA39" s="705">
        <f>IF(Delivery!AA39&gt;0,((Delivery!AA87*'COST (Baht)'!AA87)+('COST (Baht)'!AA121*Delivery!AA121))/Delivery!AA39," ")</f>
        <v>379.91122544800027</v>
      </c>
      <c r="AB39" s="705">
        <f>IF(Delivery!AB39&gt;0,((Delivery!AB87*'COST (Baht)'!AB87)+('COST (Baht)'!AB121*Delivery!AB121))/Delivery!AB39," ")</f>
        <v>266.85456634245776</v>
      </c>
      <c r="AC39" s="705">
        <f>IF(Delivery!AC39&gt;0,((Delivery!AC87*'COST (Baht)'!AC87)+('COST (Baht)'!AC121*Delivery!AC121))/Delivery!AC39," ")</f>
        <v>307.39037015292143</v>
      </c>
      <c r="AD39" s="705">
        <f>IF(Delivery!AD39&gt;0,((Delivery!AD87*'COST (Baht)'!AD87)+('COST (Baht)'!AD121*Delivery!AD121))/Delivery!AD39," ")</f>
        <v>244.9107787444421</v>
      </c>
      <c r="AE39" s="705">
        <f>IF(Delivery!AE39&gt;0,((Delivery!AE87*'COST (Baht)'!AE87)+('COST (Baht)'!AE121*Delivery!AE121))/Delivery!AE39," ")</f>
        <v>252.45447735404034</v>
      </c>
      <c r="AF39" s="705">
        <f>IF(Delivery!AF39&gt;0,((Delivery!AF87*'COST (Baht)'!AF87)+('COST (Baht)'!AF121*Delivery!AF121))/Delivery!AF39," ")</f>
        <v>337.96366061919366</v>
      </c>
      <c r="AG39" s="705">
        <f>IF(Delivery!AG39&gt;0,((Delivery!AG87*'COST (Baht)'!AG87)+('COST (Baht)'!AG121*Delivery!AG121))/Delivery!AG39," ")</f>
        <v>296.790585076816</v>
      </c>
      <c r="AK39" t="s">
        <v>217</v>
      </c>
      <c r="AM39" s="735">
        <f>V87*Delivery!V39*'COST (Baht)'!E$15</f>
        <v>36625959.972014591</v>
      </c>
      <c r="AN39" s="735">
        <f>W87*Delivery!W39*'COST (Baht)'!F$15</f>
        <v>33927042.02858074</v>
      </c>
      <c r="AO39" s="735">
        <f>X87*Delivery!X39*'COST (Baht)'!G$15</f>
        <v>156680647.8403869</v>
      </c>
      <c r="AP39" s="735">
        <f>Y87*Delivery!Y39*'COST (Baht)'!H$15</f>
        <v>39162562.073494866</v>
      </c>
      <c r="AQ39" s="735">
        <f>Z87*Delivery!Z39*'COST (Baht)'!I$15</f>
        <v>166532595.16807112</v>
      </c>
      <c r="AR39" s="735">
        <f>AA87*Delivery!AA39*'COST (Baht)'!J$15</f>
        <v>77869341.213844329</v>
      </c>
      <c r="AS39" s="735">
        <f>AB87*Delivery!AB39*'COST (Baht)'!K$15</f>
        <v>0</v>
      </c>
      <c r="AT39" s="735">
        <f>AC87*Delivery!AC39*'COST (Baht)'!L$15</f>
        <v>0</v>
      </c>
      <c r="AU39" s="735">
        <f>AD87*Delivery!AD39*'COST (Baht)'!M$15</f>
        <v>0</v>
      </c>
      <c r="AV39" s="735">
        <f>AE87*Delivery!AE39*'COST (Baht)'!N$15</f>
        <v>0</v>
      </c>
      <c r="AW39" s="735">
        <f>AF87*Delivery!AF39*'COST (Baht)'!O$15</f>
        <v>0</v>
      </c>
      <c r="AX39" s="735">
        <f>AG87*Delivery!AG39*'COST (Baht)'!P$15</f>
        <v>0</v>
      </c>
    </row>
    <row r="40" spans="1:50" ht="15.5">
      <c r="A40" s="867" t="str">
        <f>Table3[[#This Row],[Product]]</f>
        <v>Propane</v>
      </c>
      <c r="B40" s="32" t="s">
        <v>34</v>
      </c>
      <c r="C40" s="35" t="s">
        <v>41</v>
      </c>
      <c r="D40" s="28"/>
      <c r="E40" s="714">
        <f>Delivery!E40*'COST (Baht)'!E$5*'COST (Baht)'!E$15</f>
        <v>0</v>
      </c>
      <c r="F40" s="714">
        <f>Delivery!F40*'COST (Baht)'!F$5*'COST (Baht)'!F$15</f>
        <v>0</v>
      </c>
      <c r="G40" s="714">
        <f>Delivery!G40*'COST (Baht)'!G$5*'COST (Baht)'!G$15</f>
        <v>0</v>
      </c>
      <c r="H40" s="714">
        <f>Delivery!H40*'COST (Baht)'!H$5*'COST (Baht)'!H$15</f>
        <v>0</v>
      </c>
      <c r="I40" s="714">
        <f>Delivery!I40*'COST (Baht)'!I$5*'COST (Baht)'!I$15</f>
        <v>0</v>
      </c>
      <c r="J40" s="714">
        <f>Delivery!J40*'COST (Baht)'!J$5*'COST (Baht)'!J$15</f>
        <v>0</v>
      </c>
      <c r="K40" s="714">
        <f>Delivery!K40*'COST (Baht)'!K$5*'COST (Baht)'!K$15</f>
        <v>0</v>
      </c>
      <c r="L40" s="714">
        <f>Delivery!L40*'COST (Baht)'!L$5*'COST (Baht)'!L$15</f>
        <v>0</v>
      </c>
      <c r="M40" s="714">
        <f>Delivery!M40*'COST (Baht)'!M$5*'COST (Baht)'!M$15</f>
        <v>0</v>
      </c>
      <c r="N40" s="714">
        <f>Delivery!N40*'COST (Baht)'!N$5*'COST (Baht)'!N$15</f>
        <v>0</v>
      </c>
      <c r="O40" s="714">
        <f>Delivery!O40*'COST (Baht)'!O$5*'COST (Baht)'!O$15</f>
        <v>0</v>
      </c>
      <c r="P40" s="714">
        <f>Delivery!P40*'COST (Baht)'!P$5*'COST (Baht)'!P$15</f>
        <v>0</v>
      </c>
      <c r="T40" t="s">
        <v>218</v>
      </c>
      <c r="V40" s="705">
        <f>IF(Delivery!V40&gt;0,((Delivery!V88*'COST (Baht)'!V88)+('COST (Baht)'!V122*Delivery!V122))/Delivery!V40," ")</f>
        <v>339.36763662291207</v>
      </c>
      <c r="W40" s="705">
        <f>IF(Delivery!W40&gt;0,((Delivery!W88*'COST (Baht)'!W88)+('COST (Baht)'!W122*Delivery!W122))/Delivery!W40," ")</f>
        <v>380.83208993864656</v>
      </c>
      <c r="X40" s="705">
        <f>IF(Delivery!X40&gt;0,((Delivery!X88*'COST (Baht)'!X88)+('COST (Baht)'!X122*Delivery!X122))/Delivery!X40," ")</f>
        <v>411.1567519468781</v>
      </c>
      <c r="Y40" s="705">
        <f>IF(Delivery!Y40&gt;0,((Delivery!Y88*'COST (Baht)'!Y88)+('COST (Baht)'!Y122*Delivery!Y122))/Delivery!Y40," ")</f>
        <v>388.64976220671849</v>
      </c>
      <c r="Z40" s="705">
        <f>IF(Delivery!Z40&gt;0,((Delivery!Z88*'COST (Baht)'!Z88)+('COST (Baht)'!Z122*Delivery!Z122))/Delivery!Z40," ")</f>
        <v>362.96216369772776</v>
      </c>
      <c r="AA40" s="705">
        <f>IF(Delivery!AA40&gt;0,((Delivery!AA88*'COST (Baht)'!AA88)+('COST (Baht)'!AA122*Delivery!AA122))/Delivery!AA40," ")</f>
        <v>379.91122544800021</v>
      </c>
      <c r="AB40" s="705" t="str">
        <f>IF(Delivery!AB40&gt;0,((Delivery!AB88*'COST (Baht)'!AB88)+('COST (Baht)'!AB122*Delivery!AB122))/Delivery!AB40," ")</f>
        <v xml:space="preserve"> </v>
      </c>
      <c r="AC40" s="705" t="str">
        <f>IF(Delivery!AC40&gt;0,((Delivery!AC88*'COST (Baht)'!AC88)+('COST (Baht)'!AC122*Delivery!AC122))/Delivery!AC40," ")</f>
        <v xml:space="preserve"> </v>
      </c>
      <c r="AD40" s="705" t="str">
        <f>IF(Delivery!AD40&gt;0,((Delivery!AD88*'COST (Baht)'!AD88)+('COST (Baht)'!AD122*Delivery!AD122))/Delivery!AD40," ")</f>
        <v xml:space="preserve"> </v>
      </c>
      <c r="AE40" s="705" t="str">
        <f>IF(Delivery!AE40&gt;0,((Delivery!AE88*'COST (Baht)'!AE88)+('COST (Baht)'!AE122*Delivery!AE122))/Delivery!AE40," ")</f>
        <v xml:space="preserve"> </v>
      </c>
      <c r="AF40" s="705" t="str">
        <f>IF(Delivery!AF40&gt;0,((Delivery!AF88*'COST (Baht)'!AF88)+('COST (Baht)'!AF122*Delivery!AF122))/Delivery!AF40," ")</f>
        <v xml:space="preserve"> </v>
      </c>
      <c r="AG40" s="705" t="str">
        <f>IF(Delivery!AG40&gt;0,((Delivery!AG88*'COST (Baht)'!AG88)+('COST (Baht)'!AG122*Delivery!AG122))/Delivery!AG40," ")</f>
        <v xml:space="preserve"> </v>
      </c>
      <c r="AK40" t="s">
        <v>218</v>
      </c>
      <c r="AM40" s="735">
        <f>V88*Delivery!V40*'COST (Baht)'!E$15</f>
        <v>458665595.01409417</v>
      </c>
      <c r="AN40" s="735">
        <f>W88*Delivery!W40*'COST (Baht)'!F$15</f>
        <v>338270010.18342131</v>
      </c>
      <c r="AO40" s="735">
        <f>X88*Delivery!X40*'COST (Baht)'!G$15</f>
        <v>438973313.79609132</v>
      </c>
      <c r="AP40" s="735">
        <f>Y88*Delivery!Y40*'COST (Baht)'!H$15</f>
        <v>352513965.97897738</v>
      </c>
      <c r="AQ40" s="735">
        <f>Z88*Delivery!Z40*'COST (Baht)'!I$15</f>
        <v>521039672.63695651</v>
      </c>
      <c r="AR40" s="735">
        <f>AA88*Delivery!AA40*'COST (Baht)'!J$15</f>
        <v>671418221.19507003</v>
      </c>
      <c r="AS40" s="735">
        <f>AB88*Delivery!AB40*'COST (Baht)'!K$15</f>
        <v>0</v>
      </c>
      <c r="AT40" s="735">
        <f>AC88*Delivery!AC40*'COST (Baht)'!L$15</f>
        <v>0</v>
      </c>
      <c r="AU40" s="735">
        <f>AD88*Delivery!AD40*'COST (Baht)'!M$15</f>
        <v>0</v>
      </c>
      <c r="AV40" s="735">
        <f>AE88*Delivery!AE40*'COST (Baht)'!N$15</f>
        <v>0</v>
      </c>
      <c r="AW40" s="735">
        <f>AF88*Delivery!AF40*'COST (Baht)'!O$15</f>
        <v>0</v>
      </c>
      <c r="AX40" s="735">
        <f>AG88*Delivery!AG40*'COST (Baht)'!P$15</f>
        <v>0</v>
      </c>
    </row>
    <row r="41" spans="1:50" ht="15.5">
      <c r="A41" s="867" t="str">
        <f>Table3[[#This Row],[Product]]</f>
        <v>Propane</v>
      </c>
      <c r="B41" s="28" t="s">
        <v>25</v>
      </c>
      <c r="C41" s="36" t="s">
        <v>42</v>
      </c>
      <c r="D41" s="28"/>
      <c r="E41" s="714">
        <f>Delivery!E41*'COST (Baht)'!E$5*'COST (Baht)'!E$15</f>
        <v>327003406.98397219</v>
      </c>
      <c r="F41" s="714">
        <f>Delivery!F41*'COST (Baht)'!F$5*'COST (Baht)'!F$15</f>
        <v>280436927.77854478</v>
      </c>
      <c r="G41" s="714">
        <f>Delivery!G41*'COST (Baht)'!G$5*'COST (Baht)'!G$15</f>
        <v>369227805.01629472</v>
      </c>
      <c r="H41" s="714">
        <f>Delivery!H41*'COST (Baht)'!H$5*'COST (Baht)'!H$15</f>
        <v>270191983.62773198</v>
      </c>
      <c r="I41" s="714">
        <f>Delivery!I41*'COST (Baht)'!I$5*'COST (Baht)'!I$15</f>
        <v>295328067.03012568</v>
      </c>
      <c r="J41" s="714">
        <f>Delivery!J41*'COST (Baht)'!J$5*'COST (Baht)'!J$15</f>
        <v>347928045.93933326</v>
      </c>
      <c r="K41" s="714">
        <f>Delivery!K41*'COST (Baht)'!K$5*'COST (Baht)'!K$15</f>
        <v>268756988.06317705</v>
      </c>
      <c r="L41" s="714">
        <f>Delivery!L41*'COST (Baht)'!L$5*'COST (Baht)'!L$15</f>
        <v>360193436.25004947</v>
      </c>
      <c r="M41" s="714">
        <f>Delivery!M41*'COST (Baht)'!M$5*'COST (Baht)'!M$15</f>
        <v>252734527.8959634</v>
      </c>
      <c r="N41" s="714">
        <f>Delivery!N41*'COST (Baht)'!N$5*'COST (Baht)'!N$15</f>
        <v>0</v>
      </c>
      <c r="O41" s="714">
        <f>Delivery!O41*'COST (Baht)'!O$5*'COST (Baht)'!O$15</f>
        <v>361969174.62910515</v>
      </c>
      <c r="P41" s="714">
        <f>Delivery!P41*'COST (Baht)'!P$5*'COST (Baht)'!P$15</f>
        <v>374431398.89245218</v>
      </c>
      <c r="T41" t="s">
        <v>220</v>
      </c>
      <c r="V41" s="705" t="str">
        <f>IF(Delivery!V41&gt;0,((Delivery!V89*'COST (Baht)'!V89)+('COST (Baht)'!V123*Delivery!V123))/Delivery!V41," ")</f>
        <v xml:space="preserve"> </v>
      </c>
      <c r="W41" s="705">
        <f>IF(Delivery!W41&gt;0,((Delivery!W89*'COST (Baht)'!W89)+('COST (Baht)'!W123*Delivery!W123))/Delivery!W41," ")</f>
        <v>380.8320899386465</v>
      </c>
      <c r="X41" s="705">
        <f>IF(Delivery!X41&gt;0,((Delivery!X89*'COST (Baht)'!X89)+('COST (Baht)'!X123*Delivery!X123))/Delivery!X41," ")</f>
        <v>411.1567519468781</v>
      </c>
      <c r="Y41" s="705">
        <f>IF(Delivery!Y41&gt;0,((Delivery!Y89*'COST (Baht)'!Y89)+('COST (Baht)'!Y123*Delivery!Y123))/Delivery!Y41," ")</f>
        <v>388.64976220671861</v>
      </c>
      <c r="Z41" s="705">
        <f>IF(Delivery!Z41&gt;0,((Delivery!Z89*'COST (Baht)'!Z89)+('COST (Baht)'!Z123*Delivery!Z123))/Delivery!Z41," ")</f>
        <v>362.96216369772782</v>
      </c>
      <c r="AA41" s="705">
        <f>IF(Delivery!AA41&gt;0,((Delivery!AA89*'COST (Baht)'!AA89)+('COST (Baht)'!AA123*Delivery!AA123))/Delivery!AA41," ")</f>
        <v>379.91122544800027</v>
      </c>
      <c r="AB41" s="705">
        <f>IF(Delivery!AB41&gt;0,((Delivery!AB89*'COST (Baht)'!AB89)+('COST (Baht)'!AB123*Delivery!AB123))/Delivery!AB41," ")</f>
        <v>266.85456634245782</v>
      </c>
      <c r="AC41" s="705">
        <f>IF(Delivery!AC41&gt;0,((Delivery!AC89*'COST (Baht)'!AC89)+('COST (Baht)'!AC123*Delivery!AC123))/Delivery!AC41," ")</f>
        <v>307.39037015292138</v>
      </c>
      <c r="AD41" s="705">
        <f>IF(Delivery!AD41&gt;0,((Delivery!AD89*'COST (Baht)'!AD89)+('COST (Baht)'!AD123*Delivery!AD123))/Delivery!AD41," ")</f>
        <v>244.91077874444204</v>
      </c>
      <c r="AE41" s="705">
        <f>IF(Delivery!AE41&gt;0,((Delivery!AE89*'COST (Baht)'!AE89)+('COST (Baht)'!AE123*Delivery!AE123))/Delivery!AE41," ")</f>
        <v>252.45447735404034</v>
      </c>
      <c r="AF41" s="705">
        <f>IF(Delivery!AF41&gt;0,((Delivery!AF89*'COST (Baht)'!AF89)+('COST (Baht)'!AF123*Delivery!AF123))/Delivery!AF41," ")</f>
        <v>337.96366061919372</v>
      </c>
      <c r="AG41" s="705">
        <f>IF(Delivery!AG41&gt;0,((Delivery!AG89*'COST (Baht)'!AG89)+('COST (Baht)'!AG123*Delivery!AG123))/Delivery!AG41," ")</f>
        <v>296.79058507681594</v>
      </c>
      <c r="AK41" t="s">
        <v>220</v>
      </c>
      <c r="AM41" s="735">
        <f>V89*Delivery!V41*'COST (Baht)'!E$15</f>
        <v>0</v>
      </c>
      <c r="AN41" s="735">
        <f>W89*Delivery!W41*'COST (Baht)'!F$15</f>
        <v>324765753.09801519</v>
      </c>
      <c r="AO41" s="735">
        <f>X89*Delivery!X41*'COST (Baht)'!G$15</f>
        <v>83864780.061886311</v>
      </c>
      <c r="AP41" s="735">
        <f>Y89*Delivery!Y41*'COST (Baht)'!H$15</f>
        <v>540312444.17572629</v>
      </c>
      <c r="AQ41" s="735">
        <f>Z89*Delivery!Z41*'COST (Baht)'!I$15</f>
        <v>531213753.67470151</v>
      </c>
      <c r="AR41" s="735">
        <f>AA89*Delivery!AA41*'COST (Baht)'!J$15</f>
        <v>342646520.94451171</v>
      </c>
      <c r="AS41" s="735">
        <f>AB89*Delivery!AB41*'COST (Baht)'!K$15</f>
        <v>0</v>
      </c>
      <c r="AT41" s="735">
        <f>AC89*Delivery!AC41*'COST (Baht)'!L$15</f>
        <v>0</v>
      </c>
      <c r="AU41" s="735">
        <f>AD89*Delivery!AD41*'COST (Baht)'!M$15</f>
        <v>0</v>
      </c>
      <c r="AV41" s="735">
        <f>AE89*Delivery!AE41*'COST (Baht)'!N$15</f>
        <v>0</v>
      </c>
      <c r="AW41" s="735">
        <f>AF89*Delivery!AF41*'COST (Baht)'!O$15</f>
        <v>0</v>
      </c>
      <c r="AX41" s="735">
        <f>AG89*Delivery!AG41*'COST (Baht)'!P$15</f>
        <v>0</v>
      </c>
    </row>
    <row r="42" spans="1:50" ht="15.5">
      <c r="A42" s="867" t="str">
        <f>Table3[[#This Row],[Product]]</f>
        <v>Propane</v>
      </c>
      <c r="B42" s="32" t="s">
        <v>34</v>
      </c>
      <c r="C42" s="36" t="s">
        <v>43</v>
      </c>
      <c r="D42" s="28"/>
      <c r="E42" s="714">
        <f>Delivery!E42*'COST (Baht)'!E$5*'COST (Baht)'!E$15</f>
        <v>0</v>
      </c>
      <c r="F42" s="714">
        <f>Delivery!F42*'COST (Baht)'!F$5*'COST (Baht)'!F$15</f>
        <v>0</v>
      </c>
      <c r="G42" s="714">
        <f>Delivery!G42*'COST (Baht)'!G$5*'COST (Baht)'!G$15</f>
        <v>0</v>
      </c>
      <c r="H42" s="714">
        <f>Delivery!H42*'COST (Baht)'!H$5*'COST (Baht)'!H$15</f>
        <v>0</v>
      </c>
      <c r="I42" s="714">
        <f>Delivery!I42*'COST (Baht)'!I$5*'COST (Baht)'!I$15</f>
        <v>0</v>
      </c>
      <c r="J42" s="714">
        <f>Delivery!J42*'COST (Baht)'!J$5*'COST (Baht)'!J$15</f>
        <v>0</v>
      </c>
      <c r="K42" s="714">
        <f>Delivery!K42*'COST (Baht)'!K$5*'COST (Baht)'!K$15</f>
        <v>0</v>
      </c>
      <c r="L42" s="714">
        <f>Delivery!L42*'COST (Baht)'!L$5*'COST (Baht)'!L$15</f>
        <v>0</v>
      </c>
      <c r="M42" s="714">
        <f>Delivery!M42*'COST (Baht)'!M$5*'COST (Baht)'!M$15</f>
        <v>0</v>
      </c>
      <c r="N42" s="714">
        <f>Delivery!N42*'COST (Baht)'!N$5*'COST (Baht)'!N$15</f>
        <v>0</v>
      </c>
      <c r="O42" s="714">
        <f>Delivery!O42*'COST (Baht)'!O$5*'COST (Baht)'!O$15</f>
        <v>0</v>
      </c>
      <c r="P42" s="714">
        <f>Delivery!P42*'COST (Baht)'!P$5*'COST (Baht)'!P$15</f>
        <v>0</v>
      </c>
      <c r="T42" t="s">
        <v>177</v>
      </c>
      <c r="V42" s="705">
        <f>SUMPRODUCT(V39:V41,Delivery!V39:V41)/SUM(Delivery!V39:V41)</f>
        <v>339.36763662291207</v>
      </c>
      <c r="W42" s="705">
        <f>SUMPRODUCT(W39:W41,Delivery!W39:W41)/SUM(Delivery!W39:W41)</f>
        <v>380.8320899386465</v>
      </c>
      <c r="X42" s="705">
        <f>SUMPRODUCT(X39:X41,Delivery!X39:X41)/SUM(Delivery!X39:X41)</f>
        <v>411.15675194687816</v>
      </c>
      <c r="Y42" s="705">
        <f>SUMPRODUCT(Y39:Y41,Delivery!Y39:Y41)/SUM(Delivery!Y39:Y41)</f>
        <v>388.64976220671849</v>
      </c>
      <c r="Z42" s="705">
        <f>SUMPRODUCT(Z39:Z41,Delivery!Z39:Z41)/SUM(Delivery!Z39:Z41)</f>
        <v>362.96216369772782</v>
      </c>
      <c r="AA42" s="705">
        <f>SUMPRODUCT(AA39:AA41,Delivery!AA39:AA41)/SUM(Delivery!AA39:AA41)</f>
        <v>379.91122544800021</v>
      </c>
      <c r="AB42" s="705">
        <f>SUMPRODUCT(AB39:AB41,Delivery!AB39:AB41)/SUM(Delivery!AB39:AB41)</f>
        <v>266.85456634245782</v>
      </c>
      <c r="AC42" s="705">
        <f>SUMPRODUCT(AC39:AC41,Delivery!AC39:AC41)/SUM(Delivery!AC39:AC41)</f>
        <v>307.39037015292138</v>
      </c>
      <c r="AD42" s="705">
        <f>SUMPRODUCT(AD39:AD41,Delivery!AD39:AD41)/SUM(Delivery!AD39:AD41)</f>
        <v>244.91077874444207</v>
      </c>
      <c r="AE42" s="705">
        <f>SUMPRODUCT(AE39:AE41,Delivery!AE39:AE41)/SUM(Delivery!AE39:AE41)</f>
        <v>252.45447735404034</v>
      </c>
      <c r="AF42" s="705">
        <f>SUMPRODUCT(AF39:AF41,Delivery!AF39:AF41)/SUM(Delivery!AF39:AF41)</f>
        <v>337.96366061919366</v>
      </c>
      <c r="AG42" s="705">
        <f>SUMPRODUCT(AG39:AG41,Delivery!AG39:AG41)/SUM(Delivery!AG39:AG41)</f>
        <v>296.79058507681594</v>
      </c>
      <c r="AK42" t="s">
        <v>177</v>
      </c>
      <c r="AM42" s="736">
        <f t="shared" ref="AM42:AX42" si="15">SUM(AM39:AM41)</f>
        <v>495291554.98610878</v>
      </c>
      <c r="AN42" s="736">
        <f t="shared" si="15"/>
        <v>696962805.31001723</v>
      </c>
      <c r="AO42" s="736">
        <f t="shared" si="15"/>
        <v>679518741.6983645</v>
      </c>
      <c r="AP42" s="736">
        <f t="shared" si="15"/>
        <v>931988972.22819853</v>
      </c>
      <c r="AQ42" s="736">
        <f t="shared" si="15"/>
        <v>1218786021.4797292</v>
      </c>
      <c r="AR42" s="736">
        <f t="shared" si="15"/>
        <v>1091934083.353426</v>
      </c>
      <c r="AS42" s="736">
        <f t="shared" si="15"/>
        <v>0</v>
      </c>
      <c r="AT42" s="736">
        <f t="shared" si="15"/>
        <v>0</v>
      </c>
      <c r="AU42" s="736">
        <f t="shared" si="15"/>
        <v>0</v>
      </c>
      <c r="AV42" s="736">
        <f t="shared" si="15"/>
        <v>0</v>
      </c>
      <c r="AW42" s="736">
        <f t="shared" si="15"/>
        <v>0</v>
      </c>
      <c r="AX42" s="736">
        <f t="shared" si="15"/>
        <v>0</v>
      </c>
    </row>
    <row r="43" spans="1:50" ht="23.5">
      <c r="A43" s="867" t="str">
        <f>Table3[[#This Row],[Product]]</f>
        <v>Propane</v>
      </c>
      <c r="B43" s="28" t="s">
        <v>25</v>
      </c>
      <c r="C43" s="36" t="s">
        <v>44</v>
      </c>
      <c r="D43" s="28"/>
      <c r="E43" s="714">
        <f>Delivery!E43*'COST (Baht)'!E$5*'COST (Baht)'!E$15</f>
        <v>265591906.80302322</v>
      </c>
      <c r="F43" s="714">
        <f>Delivery!F43*'COST (Baht)'!F$5*'COST (Baht)'!F$15</f>
        <v>209237203.27915627</v>
      </c>
      <c r="G43" s="714">
        <f>Delivery!G43*'COST (Baht)'!G$5*'COST (Baht)'!G$15</f>
        <v>267972939.70929682</v>
      </c>
      <c r="H43" s="714">
        <f>Delivery!H43*'COST (Baht)'!H$5*'COST (Baht)'!H$15</f>
        <v>165376802.50882164</v>
      </c>
      <c r="I43" s="714">
        <f>Delivery!I43*'COST (Baht)'!I$5*'COST (Baht)'!I$15</f>
        <v>199512293.51443058</v>
      </c>
      <c r="J43" s="714">
        <f>Delivery!J43*'COST (Baht)'!J$5*'COST (Baht)'!J$15</f>
        <v>253877242.23995212</v>
      </c>
      <c r="K43" s="714">
        <f>Delivery!K43*'COST (Baht)'!K$5*'COST (Baht)'!K$15</f>
        <v>9664281.8972922042</v>
      </c>
      <c r="L43" s="714">
        <f>Delivery!L43*'COST (Baht)'!L$5*'COST (Baht)'!L$15</f>
        <v>237700854.51786759</v>
      </c>
      <c r="M43" s="714">
        <f>Delivery!M43*'COST (Baht)'!M$5*'COST (Baht)'!M$15</f>
        <v>243649445.30728033</v>
      </c>
      <c r="N43" s="714">
        <f>Delivery!N43*'COST (Baht)'!N$5*'COST (Baht)'!N$15</f>
        <v>234129779.54842293</v>
      </c>
      <c r="O43" s="714">
        <f>Delivery!O43*'COST (Baht)'!O$5*'COST (Baht)'!O$15</f>
        <v>262880113.07438761</v>
      </c>
      <c r="P43" s="714">
        <f>Delivery!P43*'COST (Baht)'!P$5*'COST (Baht)'!P$15</f>
        <v>273576489.83593678</v>
      </c>
      <c r="T43" s="44" t="s">
        <v>215</v>
      </c>
      <c r="U43" s="702"/>
      <c r="V43" s="705"/>
      <c r="W43" s="705"/>
      <c r="X43" s="705"/>
      <c r="Y43" s="705"/>
      <c r="Z43" s="705"/>
      <c r="AA43" s="705"/>
      <c r="AB43" s="705"/>
      <c r="AC43" s="705"/>
      <c r="AD43" s="705"/>
      <c r="AE43" s="705"/>
      <c r="AF43" s="705"/>
      <c r="AG43" s="705"/>
      <c r="AK43" s="44" t="s">
        <v>215</v>
      </c>
      <c r="AL43" s="702"/>
      <c r="AM43" s="135"/>
      <c r="AN43" s="135"/>
      <c r="AO43" s="135"/>
      <c r="AP43" s="135"/>
      <c r="AQ43" s="135"/>
      <c r="AR43" s="135"/>
      <c r="AS43" s="135"/>
      <c r="AT43" s="135"/>
      <c r="AU43" s="135"/>
      <c r="AV43" s="135"/>
      <c r="AW43" s="135"/>
      <c r="AX43" s="135"/>
    </row>
    <row r="44" spans="1:50" ht="15.5">
      <c r="A44" s="867" t="str">
        <f>Table3[[#This Row],[Product]]</f>
        <v>Propane</v>
      </c>
      <c r="B44" s="32" t="s">
        <v>34</v>
      </c>
      <c r="C44" s="36" t="s">
        <v>45</v>
      </c>
      <c r="D44" s="28"/>
      <c r="E44" s="714">
        <f>Delivery!E44*'COST (Baht)'!E$5*'COST (Baht)'!E$15</f>
        <v>0</v>
      </c>
      <c r="F44" s="714">
        <f>Delivery!F44*'COST (Baht)'!F$5*'COST (Baht)'!F$15</f>
        <v>45771061.097543903</v>
      </c>
      <c r="G44" s="714">
        <f>Delivery!G44*'COST (Baht)'!G$5*'COST (Baht)'!G$15</f>
        <v>85989679.179544583</v>
      </c>
      <c r="H44" s="714">
        <f>Delivery!H44*'COST (Baht)'!H$5*'COST (Baht)'!H$15</f>
        <v>52224253.423838414</v>
      </c>
      <c r="I44" s="714">
        <f>Delivery!I44*'COST (Baht)'!I$5*'COST (Baht)'!I$15</f>
        <v>47589061.277997725</v>
      </c>
      <c r="J44" s="714">
        <f>Delivery!J44*'COST (Baht)'!J$5*'COST (Baht)'!J$15</f>
        <v>80410282.246288404</v>
      </c>
      <c r="K44" s="714">
        <f>Delivery!K44*'COST (Baht)'!K$5*'COST (Baht)'!K$15</f>
        <v>0</v>
      </c>
      <c r="L44" s="714">
        <f>Delivery!L44*'COST (Baht)'!L$5*'COST (Baht)'!L$15</f>
        <v>0</v>
      </c>
      <c r="M44" s="714">
        <f>Delivery!M44*'COST (Baht)'!M$5*'COST (Baht)'!M$15</f>
        <v>44534718.571975932</v>
      </c>
      <c r="N44" s="714">
        <f>Delivery!N44*'COST (Baht)'!N$5*'COST (Baht)'!N$15</f>
        <v>46229594.145211354</v>
      </c>
      <c r="O44" s="714">
        <f>Delivery!O44*'COST (Baht)'!O$5*'COST (Baht)'!O$15</f>
        <v>46406304.439628869</v>
      </c>
      <c r="P44" s="714">
        <f>Delivery!P44*'COST (Baht)'!P$5*'COST (Baht)'!P$15</f>
        <v>46455508.547450639</v>
      </c>
      <c r="T44" t="s">
        <v>225</v>
      </c>
      <c r="U44" s="744" t="s">
        <v>536</v>
      </c>
      <c r="V44" s="705">
        <f t="shared" ref="V44:AG44" si="16">E6</f>
        <v>333.96497505999042</v>
      </c>
      <c r="W44" s="705">
        <f t="shared" si="16"/>
        <v>325.72500747828582</v>
      </c>
      <c r="X44" s="705">
        <f t="shared" si="16"/>
        <v>367.56116507367756</v>
      </c>
      <c r="Y44" s="705">
        <f t="shared" si="16"/>
        <v>347.92478415114391</v>
      </c>
      <c r="Z44" s="705">
        <f t="shared" si="16"/>
        <v>343.85536413001967</v>
      </c>
      <c r="AA44" s="705">
        <f t="shared" si="16"/>
        <v>359.7038711190537</v>
      </c>
      <c r="AB44" s="705">
        <f t="shared" si="16"/>
        <v>359.0392298407566</v>
      </c>
      <c r="AC44" s="705">
        <f t="shared" si="16"/>
        <v>365.53915229061477</v>
      </c>
      <c r="AD44" s="705">
        <f t="shared" si="16"/>
        <v>364.3514958496379</v>
      </c>
      <c r="AE44" s="705">
        <f t="shared" si="16"/>
        <v>378.31526106127922</v>
      </c>
      <c r="AF44" s="705">
        <f t="shared" si="16"/>
        <v>379.67218955185331</v>
      </c>
      <c r="AG44" s="705">
        <f t="shared" si="16"/>
        <v>380.08915460239052</v>
      </c>
      <c r="AK44" t="s">
        <v>225</v>
      </c>
      <c r="AL44" s="734" t="s">
        <v>536</v>
      </c>
      <c r="AM44" s="743">
        <f t="shared" ref="AM44:AX44" si="17">E70</f>
        <v>4082226.78389049</v>
      </c>
      <c r="AN44" s="743">
        <f t="shared" si="17"/>
        <v>3799598.8170436346</v>
      </c>
      <c r="AO44" s="743">
        <f t="shared" si="17"/>
        <v>5204976.5983893685</v>
      </c>
      <c r="AP44" s="743">
        <f t="shared" si="17"/>
        <v>3738993.1435457421</v>
      </c>
      <c r="AQ44" s="743">
        <f t="shared" si="17"/>
        <v>7745352.9759792415</v>
      </c>
      <c r="AR44" s="743">
        <f t="shared" si="17"/>
        <v>8281590.8510654252</v>
      </c>
      <c r="AS44" s="743">
        <f t="shared" si="17"/>
        <v>9092435.8382962234</v>
      </c>
      <c r="AT44" s="743">
        <f t="shared" si="17"/>
        <v>10438701.571963087</v>
      </c>
      <c r="AU44" s="743">
        <f t="shared" si="17"/>
        <v>9172913.2595104817</v>
      </c>
      <c r="AV44" s="743">
        <f t="shared" si="17"/>
        <v>9451828.4823550005</v>
      </c>
      <c r="AW44" s="743">
        <f t="shared" si="17"/>
        <v>8300013.7357930653</v>
      </c>
      <c r="AX44" s="743">
        <f t="shared" si="17"/>
        <v>7715619.7938512266</v>
      </c>
    </row>
    <row r="45" spans="1:50" ht="15.5">
      <c r="A45" s="867" t="str">
        <f>Table3[[#This Row],[Product]]</f>
        <v>Propane</v>
      </c>
      <c r="B45" s="28" t="s">
        <v>25</v>
      </c>
      <c r="C45" s="36" t="s">
        <v>46</v>
      </c>
      <c r="D45" s="28"/>
      <c r="E45" s="714">
        <f>Delivery!E45*'COST (Baht)'!E$5*'COST (Baht)'!E$15</f>
        <v>0</v>
      </c>
      <c r="F45" s="714">
        <f>Delivery!F45*'COST (Baht)'!F$5*'COST (Baht)'!F$15</f>
        <v>92000681.713535845</v>
      </c>
      <c r="G45" s="714">
        <f>Delivery!G45*'COST (Baht)'!G$5*'COST (Baht)'!G$15</f>
        <v>120990396.58248091</v>
      </c>
      <c r="H45" s="714">
        <f>Delivery!H45*'COST (Baht)'!H$5*'COST (Baht)'!H$15</f>
        <v>116128829.84172738</v>
      </c>
      <c r="I45" s="714">
        <f>Delivery!I45*'COST (Baht)'!I$5*'COST (Baht)'!I$15</f>
        <v>58219346.764677718</v>
      </c>
      <c r="J45" s="714">
        <f>Delivery!J45*'COST (Baht)'!J$5*'COST (Baht)'!J$15</f>
        <v>114916722.61996089</v>
      </c>
      <c r="K45" s="714">
        <f>Delivery!K45*'COST (Baht)'!K$5*'COST (Baht)'!K$15</f>
        <v>0</v>
      </c>
      <c r="L45" s="714">
        <f>Delivery!L45*'COST (Baht)'!L$5*'COST (Baht)'!L$15</f>
        <v>55861264.927116849</v>
      </c>
      <c r="M45" s="714">
        <f>Delivery!M45*'COST (Baht)'!M$5*'COST (Baht)'!M$15</f>
        <v>65343565.824731678</v>
      </c>
      <c r="N45" s="714">
        <f>Delivery!N45*'COST (Baht)'!N$5*'COST (Baht)'!N$15</f>
        <v>116371445.86203329</v>
      </c>
      <c r="O45" s="714">
        <f>Delivery!O45*'COST (Baht)'!O$5*'COST (Baht)'!O$15</f>
        <v>58808389.301119678</v>
      </c>
      <c r="P45" s="714">
        <f>Delivery!P45*'COST (Baht)'!P$5*'COST (Baht)'!P$15</f>
        <v>67929567.37350969</v>
      </c>
      <c r="U45" s="744" t="s">
        <v>76</v>
      </c>
      <c r="V45" s="705">
        <f t="shared" ref="V45:AG45" si="18">E8</f>
        <v>337.13380531500081</v>
      </c>
      <c r="W45" s="705">
        <f t="shared" si="18"/>
        <v>337.23780311488252</v>
      </c>
      <c r="X45" s="705">
        <f t="shared" si="18"/>
        <v>382.92052484936323</v>
      </c>
      <c r="Y45" s="705">
        <f t="shared" si="18"/>
        <v>362.90514218423709</v>
      </c>
      <c r="Z45" s="705">
        <f t="shared" si="18"/>
        <v>361.00655862737455</v>
      </c>
      <c r="AA45" s="705">
        <f t="shared" si="18"/>
        <v>393.80172104232281</v>
      </c>
      <c r="AB45" s="705">
        <f t="shared" si="18"/>
        <v>391.49567318655744</v>
      </c>
      <c r="AC45" s="705">
        <f t="shared" si="18"/>
        <v>396.71660850522022</v>
      </c>
      <c r="AD45" s="705">
        <f t="shared" si="18"/>
        <v>396.39670608166131</v>
      </c>
      <c r="AE45" s="705">
        <f t="shared" si="18"/>
        <v>335.15089180618997</v>
      </c>
      <c r="AF45" s="705">
        <f t="shared" si="18"/>
        <v>406.5649045977562</v>
      </c>
      <c r="AG45" s="705">
        <f t="shared" si="18"/>
        <v>406.46563643194753</v>
      </c>
      <c r="AL45" s="734" t="s">
        <v>76</v>
      </c>
      <c r="AM45" s="743">
        <f t="shared" ref="AM45:AX45" si="19">E74</f>
        <v>126776340.49345282</v>
      </c>
      <c r="AN45" s="743">
        <f t="shared" si="19"/>
        <v>91189860.14256832</v>
      </c>
      <c r="AO45" s="743">
        <f t="shared" si="19"/>
        <v>209242306.07988772</v>
      </c>
      <c r="AP45" s="743">
        <f t="shared" si="19"/>
        <v>184517606.78185415</v>
      </c>
      <c r="AQ45" s="743">
        <f t="shared" si="19"/>
        <v>208505227.90870085</v>
      </c>
      <c r="AR45" s="743">
        <f t="shared" si="19"/>
        <v>143136879.01427841</v>
      </c>
      <c r="AS45" s="743">
        <f t="shared" si="19"/>
        <v>137203957.7542693</v>
      </c>
      <c r="AT45" s="743">
        <f t="shared" si="19"/>
        <v>155088247.23204502</v>
      </c>
      <c r="AU45" s="743">
        <f t="shared" si="19"/>
        <v>173563133.99773148</v>
      </c>
      <c r="AV45" s="743">
        <f t="shared" si="19"/>
        <v>179853921.5544773</v>
      </c>
      <c r="AW45" s="743">
        <f t="shared" si="19"/>
        <v>174129060.01959985</v>
      </c>
      <c r="AX45" s="743">
        <f t="shared" si="19"/>
        <v>176082619.53923556</v>
      </c>
    </row>
    <row r="46" spans="1:50" ht="15.5">
      <c r="A46" s="867" t="str">
        <f>Table3[[#This Row],[Product]]</f>
        <v>Propane</v>
      </c>
      <c r="B46" s="32" t="s">
        <v>34</v>
      </c>
      <c r="C46" s="36" t="s">
        <v>47</v>
      </c>
      <c r="D46" s="28"/>
      <c r="E46" s="714">
        <f>Delivery!E46*'COST (Baht)'!E$5*'COST (Baht)'!E$15</f>
        <v>0</v>
      </c>
      <c r="F46" s="714">
        <f>Delivery!F46*'COST (Baht)'!F$5*'COST (Baht)'!F$15</f>
        <v>0</v>
      </c>
      <c r="G46" s="714">
        <f>Delivery!G46*'COST (Baht)'!G$5*'COST (Baht)'!G$15</f>
        <v>137646821.4021863</v>
      </c>
      <c r="H46" s="714">
        <f>Delivery!H46*'COST (Baht)'!H$5*'COST (Baht)'!H$15</f>
        <v>0</v>
      </c>
      <c r="I46" s="714">
        <f>Delivery!I46*'COST (Baht)'!I$5*'COST (Baht)'!I$15</f>
        <v>185075898.87197614</v>
      </c>
      <c r="J46" s="714">
        <f>Delivery!J46*'COST (Baht)'!J$5*'COST (Baht)'!J$15</f>
        <v>207385678.46869823</v>
      </c>
      <c r="K46" s="714">
        <f>Delivery!K46*'COST (Baht)'!K$5*'COST (Baht)'!K$15</f>
        <v>260354218.55883446</v>
      </c>
      <c r="L46" s="714">
        <f>Delivery!L46*'COST (Baht)'!L$5*'COST (Baht)'!L$15</f>
        <v>0</v>
      </c>
      <c r="M46" s="714">
        <f>Delivery!M46*'COST (Baht)'!M$5*'COST (Baht)'!M$15</f>
        <v>0</v>
      </c>
      <c r="N46" s="714">
        <f>Delivery!N46*'COST (Baht)'!N$5*'COST (Baht)'!N$15</f>
        <v>0</v>
      </c>
      <c r="O46" s="714">
        <f>Delivery!O46*'COST (Baht)'!O$5*'COST (Baht)'!O$15</f>
        <v>0</v>
      </c>
      <c r="P46" s="714">
        <f>Delivery!P46*'COST (Baht)'!P$5*'COST (Baht)'!P$15</f>
        <v>81192615.063806847</v>
      </c>
      <c r="U46" t="s">
        <v>537</v>
      </c>
      <c r="V46" s="705">
        <f>IF(Delivery!V46&gt;0,((Delivery!V94*'COST (Baht)'!V94)+('COST (Baht)'!V128*Delivery!V128))/Delivery!V46," ")</f>
        <v>342.43687350631836</v>
      </c>
      <c r="W46" s="705">
        <f>IF(Delivery!W46&gt;0,((Delivery!W94*'COST (Baht)'!W94)+('COST (Baht)'!W128*Delivery!W128))/Delivery!W46," ")</f>
        <v>390.07510641499169</v>
      </c>
      <c r="X46" s="705">
        <f>IF(Delivery!X46&gt;0,((Delivery!X94*'COST (Baht)'!X94)+('COST (Baht)'!X128*Delivery!X128))/Delivery!X46," ")</f>
        <v>423.76546074080471</v>
      </c>
      <c r="Y46" s="705">
        <f>IF(Delivery!Y46&gt;0,((Delivery!Y94*'COST (Baht)'!Y94)+('COST (Baht)'!Y128*Delivery!Y128))/Delivery!Y46," ")</f>
        <v>401.09821538220285</v>
      </c>
      <c r="Z46" s="705">
        <f>IF(Delivery!Z46&gt;0,((Delivery!Z94*'COST (Baht)'!Z94)+('COST (Baht)'!Z128*Delivery!Z128))/Delivery!Z46," ")</f>
        <v>378.61158515656285</v>
      </c>
      <c r="AA46" s="705">
        <f>IF(Delivery!AA46&gt;0,((Delivery!AA94*'COST (Baht)'!AA94)+('COST (Baht)'!AA128*Delivery!AA128))/Delivery!AA46," ")</f>
        <v>410.67667591598195</v>
      </c>
      <c r="AB46" s="705">
        <f>IF(Delivery!AB46&gt;0,((Delivery!AB94*'COST (Baht)'!AB94)+('COST (Baht)'!AB128*Delivery!AB128))/Delivery!AB46," ")</f>
        <v>290.97769661405425</v>
      </c>
      <c r="AC46" s="705">
        <f>IF(Delivery!AC46&gt;0,((Delivery!AC94*'COST (Baht)'!AC94)+('COST (Baht)'!AC128*Delivery!AC128))/Delivery!AC46," ")</f>
        <v>333.60821780666538</v>
      </c>
      <c r="AD46" s="705">
        <f>IF(Delivery!AD46&gt;0,((Delivery!AD94*'COST (Baht)'!AD94)+('COST (Baht)'!AD128*Delivery!AD128))/Delivery!AD46," ")</f>
        <v>266.4510152532913</v>
      </c>
      <c r="AE46" s="705">
        <f>IF(Delivery!AE46&gt;0,((Delivery!AE94*'COST (Baht)'!AE94)+('COST (Baht)'!AE128*Delivery!AE128))/Delivery!AE46," ")</f>
        <v>223.65035708133146</v>
      </c>
      <c r="AF46" s="705">
        <f>IF(Delivery!AF46&gt;0,((Delivery!AF94*'COST (Baht)'!AF94)+('COST (Baht)'!AF128*Delivery!AF128))/Delivery!AF46," ")</f>
        <v>361.90210191411745</v>
      </c>
      <c r="AG46" s="705">
        <f>IF(Delivery!AG46&gt;0,((Delivery!AG94*'COST (Baht)'!AG94)+('COST (Baht)'!AG128*Delivery!AG128))/Delivery!AG46," ")</f>
        <v>317.38651995070461</v>
      </c>
      <c r="AL46" t="s">
        <v>537</v>
      </c>
      <c r="AM46" s="735">
        <f>V94*Delivery!V46*'COST (Baht)'!E$15</f>
        <v>919517109.02329624</v>
      </c>
      <c r="AN46" s="735">
        <f>W94*Delivery!W46*'COST (Baht)'!F$15</f>
        <v>1014647859.2657773</v>
      </c>
      <c r="AO46" s="735">
        <f>X94*Delivery!X46*'COST (Baht)'!G$15</f>
        <v>1165790805.8780856</v>
      </c>
      <c r="AP46" s="735">
        <f>Y94*Delivery!Y46*'COST (Baht)'!H$15</f>
        <v>983467470.22337854</v>
      </c>
      <c r="AQ46" s="735">
        <f>Z94*Delivery!Z46*'COST (Baht)'!I$15</f>
        <v>944102737.66756964</v>
      </c>
      <c r="AR46" s="735">
        <f>AA94*Delivery!AA46*'COST (Baht)'!J$15</f>
        <v>961966222.11738467</v>
      </c>
      <c r="AS46" s="735">
        <f>AB94*Delivery!AB46*'COST (Baht)'!K$15</f>
        <v>0</v>
      </c>
      <c r="AT46" s="735">
        <f>AC94*Delivery!AC46*'COST (Baht)'!L$15</f>
        <v>0</v>
      </c>
      <c r="AU46" s="735">
        <f>AD94*Delivery!AD46*'COST (Baht)'!M$15</f>
        <v>0</v>
      </c>
      <c r="AV46" s="735">
        <f>AE94*Delivery!AE46*'COST (Baht)'!N$15</f>
        <v>0</v>
      </c>
      <c r="AW46" s="735">
        <f>AF94*Delivery!AF46*'COST (Baht)'!O$15</f>
        <v>0</v>
      </c>
      <c r="AX46" s="735">
        <f>AG94*Delivery!AG46*'COST (Baht)'!P$15</f>
        <v>0</v>
      </c>
    </row>
    <row r="47" spans="1:50" ht="15.5">
      <c r="A47" s="867" t="str">
        <f>Table3[[#This Row],[Product]]</f>
        <v>Propane</v>
      </c>
      <c r="B47" s="28" t="s">
        <v>25</v>
      </c>
      <c r="C47" s="36" t="s">
        <v>48</v>
      </c>
      <c r="D47" s="28"/>
      <c r="E47" s="714">
        <f>Delivery!E47*'COST (Baht)'!E$5*'COST (Baht)'!E$15</f>
        <v>0</v>
      </c>
      <c r="F47" s="714">
        <f>Delivery!F47*'COST (Baht)'!F$5*'COST (Baht)'!F$15</f>
        <v>0</v>
      </c>
      <c r="G47" s="714">
        <f>Delivery!G47*'COST (Baht)'!G$5*'COST (Baht)'!G$15</f>
        <v>0</v>
      </c>
      <c r="H47" s="714">
        <f>Delivery!H47*'COST (Baht)'!H$5*'COST (Baht)'!H$15</f>
        <v>0</v>
      </c>
      <c r="I47" s="714">
        <f>Delivery!I47*'COST (Baht)'!I$5*'COST (Baht)'!I$15</f>
        <v>51058726.195549496</v>
      </c>
      <c r="J47" s="714">
        <f>Delivery!J47*'COST (Baht)'!J$5*'COST (Baht)'!J$15</f>
        <v>0</v>
      </c>
      <c r="K47" s="714">
        <f>Delivery!K47*'COST (Baht)'!K$5*'COST (Baht)'!K$15</f>
        <v>0</v>
      </c>
      <c r="L47" s="714">
        <f>Delivery!L47*'COST (Baht)'!L$5*'COST (Baht)'!L$15</f>
        <v>0</v>
      </c>
      <c r="M47" s="714">
        <f>Delivery!M47*'COST (Baht)'!M$5*'COST (Baht)'!M$15</f>
        <v>0</v>
      </c>
      <c r="N47" s="714">
        <f>Delivery!N47*'COST (Baht)'!N$5*'COST (Baht)'!N$15</f>
        <v>0</v>
      </c>
      <c r="O47" s="714">
        <f>Delivery!O47*'COST (Baht)'!O$5*'COST (Baht)'!O$15</f>
        <v>0</v>
      </c>
      <c r="P47" s="714">
        <f>Delivery!P47*'COST (Baht)'!P$5*'COST (Baht)'!P$15</f>
        <v>0</v>
      </c>
      <c r="U47" t="s">
        <v>276</v>
      </c>
      <c r="V47" s="705">
        <f>IF(Delivery!V47&gt;0,((Delivery!V95*'COST (Baht)'!V95)+('COST (Baht)'!V129*Delivery!V129))/Delivery!V47," ")</f>
        <v>342.43687350631831</v>
      </c>
      <c r="W47" s="705">
        <f>IF(Delivery!W47&gt;0,((Delivery!W95*'COST (Baht)'!W95)+('COST (Baht)'!W129*Delivery!W129))/Delivery!W47," ")</f>
        <v>390.07510641499175</v>
      </c>
      <c r="X47" s="705">
        <f>IF(Delivery!X47&gt;0,((Delivery!X95*'COST (Baht)'!X95)+('COST (Baht)'!X129*Delivery!X129))/Delivery!X47," ")</f>
        <v>423.76546074080471</v>
      </c>
      <c r="Y47" s="705">
        <f>IF(Delivery!Y47&gt;0,((Delivery!Y95*'COST (Baht)'!Y95)+('COST (Baht)'!Y129*Delivery!Y129))/Delivery!Y47," ")</f>
        <v>401.09821538220285</v>
      </c>
      <c r="Z47" s="705">
        <f>IF(Delivery!Z47&gt;0,((Delivery!Z95*'COST (Baht)'!Z95)+('COST (Baht)'!Z129*Delivery!Z129))/Delivery!Z47," ")</f>
        <v>378.61158515656285</v>
      </c>
      <c r="AA47" s="705">
        <f>IF(Delivery!AA47&gt;0,((Delivery!AA95*'COST (Baht)'!AA95)+('COST (Baht)'!AA129*Delivery!AA129))/Delivery!AA47," ")</f>
        <v>410.676675915982</v>
      </c>
      <c r="AB47" s="705">
        <f>IF(Delivery!AB47&gt;0,((Delivery!AB95*'COST (Baht)'!AB95)+('COST (Baht)'!AB129*Delivery!AB129))/Delivery!AB47," ")</f>
        <v>290.97769661405425</v>
      </c>
      <c r="AC47" s="705">
        <f>IF(Delivery!AC47&gt;0,((Delivery!AC95*'COST (Baht)'!AC95)+('COST (Baht)'!AC129*Delivery!AC129))/Delivery!AC47," ")</f>
        <v>333.60821780666544</v>
      </c>
      <c r="AD47" s="705">
        <f>IF(Delivery!AD47&gt;0,((Delivery!AD95*'COST (Baht)'!AD95)+('COST (Baht)'!AD129*Delivery!AD129))/Delivery!AD47," ")</f>
        <v>266.4510152532913</v>
      </c>
      <c r="AE47" s="705">
        <f>IF(Delivery!AE47&gt;0,((Delivery!AE95*'COST (Baht)'!AE95)+('COST (Baht)'!AE129*Delivery!AE129))/Delivery!AE47," ")</f>
        <v>223.65035708133144</v>
      </c>
      <c r="AF47" s="705">
        <f>IF(Delivery!AF47&gt;0,((Delivery!AF95*'COST (Baht)'!AF95)+('COST (Baht)'!AF129*Delivery!AF129))/Delivery!AF47," ")</f>
        <v>361.90210191411745</v>
      </c>
      <c r="AG47" s="705">
        <f>IF(Delivery!AG47&gt;0,((Delivery!AG95*'COST (Baht)'!AG95)+('COST (Baht)'!AG129*Delivery!AG129))/Delivery!AG47," ")</f>
        <v>317.38651995070461</v>
      </c>
      <c r="AL47" t="s">
        <v>276</v>
      </c>
      <c r="AM47" s="735">
        <f>V95*Delivery!V47*'COST (Baht)'!E$15</f>
        <v>720287130.07316661</v>
      </c>
      <c r="AN47" s="735">
        <f>W95*Delivery!W47*'COST (Baht)'!F$15</f>
        <v>320277326.64420164</v>
      </c>
      <c r="AO47" s="735">
        <f>X95*Delivery!X47*'COST (Baht)'!G$15</f>
        <v>373212970.20575023</v>
      </c>
      <c r="AP47" s="735">
        <f>Y95*Delivery!Y47*'COST (Baht)'!H$15</f>
        <v>283782979.92020684</v>
      </c>
      <c r="AQ47" s="735">
        <f>Z95*Delivery!Z47*'COST (Baht)'!I$15</f>
        <v>551663411.35282183</v>
      </c>
      <c r="AR47" s="735">
        <f>AA95*Delivery!AA47*'COST (Baht)'!J$15</f>
        <v>552712444.90199077</v>
      </c>
      <c r="AS47" s="735">
        <f>AB95*Delivery!AB47*'COST (Baht)'!K$15</f>
        <v>0</v>
      </c>
      <c r="AT47" s="735">
        <f>AC95*Delivery!AC47*'COST (Baht)'!L$15</f>
        <v>0</v>
      </c>
      <c r="AU47" s="735">
        <f>AD95*Delivery!AD47*'COST (Baht)'!M$15</f>
        <v>0</v>
      </c>
      <c r="AV47" s="735">
        <f>AE95*Delivery!AE47*'COST (Baht)'!N$15</f>
        <v>0</v>
      </c>
      <c r="AW47" s="735">
        <f>AF95*Delivery!AF47*'COST (Baht)'!O$15</f>
        <v>0</v>
      </c>
      <c r="AX47" s="735">
        <f>AG95*Delivery!AG47*'COST (Baht)'!P$15</f>
        <v>0</v>
      </c>
    </row>
    <row r="48" spans="1:50" ht="15.5">
      <c r="A48" s="867" t="str">
        <f>Table3[[#This Row],[Product]]</f>
        <v>Propane</v>
      </c>
      <c r="B48" s="32" t="s">
        <v>34</v>
      </c>
      <c r="C48" s="36" t="s">
        <v>49</v>
      </c>
      <c r="D48" s="28"/>
      <c r="E48" s="714">
        <f>Delivery!E48*'COST (Baht)'!E$5*'COST (Baht)'!E$15</f>
        <v>0</v>
      </c>
      <c r="F48" s="714">
        <f>Delivery!F48*'COST (Baht)'!F$5*'COST (Baht)'!F$15</f>
        <v>0</v>
      </c>
      <c r="G48" s="714">
        <f>Delivery!G48*'COST (Baht)'!G$5*'COST (Baht)'!G$15</f>
        <v>0</v>
      </c>
      <c r="H48" s="714">
        <f>Delivery!H48*'COST (Baht)'!H$5*'COST (Baht)'!H$15</f>
        <v>0</v>
      </c>
      <c r="I48" s="714">
        <f>Delivery!I48*'COST (Baht)'!I$5*'COST (Baht)'!I$15</f>
        <v>0</v>
      </c>
      <c r="J48" s="714">
        <f>Delivery!J48*'COST (Baht)'!J$5*'COST (Baht)'!J$15</f>
        <v>0</v>
      </c>
      <c r="K48" s="714">
        <f>Delivery!K48*'COST (Baht)'!K$5*'COST (Baht)'!K$15</f>
        <v>0</v>
      </c>
      <c r="L48" s="714">
        <f>Delivery!L48*'COST (Baht)'!L$5*'COST (Baht)'!L$15</f>
        <v>0</v>
      </c>
      <c r="M48" s="714">
        <f>Delivery!M48*'COST (Baht)'!M$5*'COST (Baht)'!M$15</f>
        <v>0</v>
      </c>
      <c r="N48" s="714">
        <f>Delivery!N48*'COST (Baht)'!N$5*'COST (Baht)'!N$15</f>
        <v>0</v>
      </c>
      <c r="O48" s="714">
        <f>Delivery!O48*'COST (Baht)'!O$5*'COST (Baht)'!O$15</f>
        <v>0</v>
      </c>
      <c r="P48" s="714">
        <f>Delivery!P48*'COST (Baht)'!P$5*'COST (Baht)'!P$15</f>
        <v>0</v>
      </c>
      <c r="U48" t="s">
        <v>538</v>
      </c>
      <c r="V48" s="705">
        <f>IF(Delivery!V48&gt;0,((Delivery!V96*'COST (Baht)'!V96)+('COST (Baht)'!V130*Delivery!V130))/Delivery!V48," ")</f>
        <v>342.43687350631831</v>
      </c>
      <c r="W48" s="705">
        <f>IF(Delivery!W48&gt;0,((Delivery!W96*'COST (Baht)'!W96)+('COST (Baht)'!W130*Delivery!W130))/Delivery!W48," ")</f>
        <v>390.07510641499175</v>
      </c>
      <c r="X48" s="705">
        <f>IF(Delivery!X48&gt;0,((Delivery!X96*'COST (Baht)'!X96)+('COST (Baht)'!X130*Delivery!X130))/Delivery!X48," ")</f>
        <v>423.76546074080466</v>
      </c>
      <c r="Y48" s="705">
        <f>IF(Delivery!Y48&gt;0,((Delivery!Y96*'COST (Baht)'!Y96)+('COST (Baht)'!Y130*Delivery!Y130))/Delivery!Y48," ")</f>
        <v>401.09821538220285</v>
      </c>
      <c r="Z48" s="705">
        <f>IF(Delivery!Z48&gt;0,((Delivery!Z96*'COST (Baht)'!Z96)+('COST (Baht)'!Z130*Delivery!Z130))/Delivery!Z48," ")</f>
        <v>378.61158515656291</v>
      </c>
      <c r="AA48" s="705">
        <f>IF(Delivery!AA48&gt;0,((Delivery!AA96*'COST (Baht)'!AA96)+('COST (Baht)'!AA130*Delivery!AA130))/Delivery!AA48," ")</f>
        <v>410.67667591598195</v>
      </c>
      <c r="AB48" s="705">
        <f>IF(Delivery!AB48&gt;0,((Delivery!AB96*'COST (Baht)'!AB96)+('COST (Baht)'!AB130*Delivery!AB130))/Delivery!AB48," ")</f>
        <v>290.97769661405431</v>
      </c>
      <c r="AC48" s="705">
        <f>IF(Delivery!AC48&gt;0,((Delivery!AC96*'COST (Baht)'!AC96)+('COST (Baht)'!AC130*Delivery!AC130))/Delivery!AC48," ")</f>
        <v>333.60821780666538</v>
      </c>
      <c r="AD48" s="705">
        <f>IF(Delivery!AD48&gt;0,((Delivery!AD96*'COST (Baht)'!AD96)+('COST (Baht)'!AD130*Delivery!AD130))/Delivery!AD48," ")</f>
        <v>266.4510152532913</v>
      </c>
      <c r="AE48" s="705">
        <f>IF(Delivery!AE48&gt;0,((Delivery!AE96*'COST (Baht)'!AE96)+('COST (Baht)'!AE130*Delivery!AE130))/Delivery!AE48," ")</f>
        <v>223.65035708133146</v>
      </c>
      <c r="AF48" s="705">
        <f>IF(Delivery!AF48&gt;0,((Delivery!AF96*'COST (Baht)'!AF96)+('COST (Baht)'!AF130*Delivery!AF130))/Delivery!AF48," ")</f>
        <v>361.90210191411745</v>
      </c>
      <c r="AG48" s="705">
        <f>IF(Delivery!AG48&gt;0,((Delivery!AG96*'COST (Baht)'!AG96)+('COST (Baht)'!AG130*Delivery!AG130))/Delivery!AG48," ")</f>
        <v>317.38651995070461</v>
      </c>
      <c r="AL48" t="s">
        <v>538</v>
      </c>
      <c r="AM48" s="735">
        <f>V96*Delivery!V48*'COST (Baht)'!E$15</f>
        <v>59844773.01974608</v>
      </c>
      <c r="AN48" s="735">
        <f>W96*Delivery!W48*'COST (Baht)'!F$15</f>
        <v>230645364.77023923</v>
      </c>
      <c r="AO48" s="735">
        <f>X96*Delivery!X48*'COST (Baht)'!G$15</f>
        <v>378376855.84918082</v>
      </c>
      <c r="AP48" s="735">
        <f>Y96*Delivery!Y48*'COST (Baht)'!H$15</f>
        <v>321403413.76463968</v>
      </c>
      <c r="AQ48" s="735">
        <f>Z96*Delivery!Z48*'COST (Baht)'!I$15</f>
        <v>303740964.72868663</v>
      </c>
      <c r="AR48" s="735">
        <f>AA96*Delivery!AA48*'COST (Baht)'!J$15</f>
        <v>353673075.7268737</v>
      </c>
      <c r="AS48" s="735">
        <f>AB96*Delivery!AB48*'COST (Baht)'!K$15</f>
        <v>0</v>
      </c>
      <c r="AT48" s="735">
        <f>AC96*Delivery!AC48*'COST (Baht)'!L$15</f>
        <v>0</v>
      </c>
      <c r="AU48" s="735">
        <f>AD96*Delivery!AD48*'COST (Baht)'!M$15</f>
        <v>0</v>
      </c>
      <c r="AV48" s="735">
        <f>AE96*Delivery!AE48*'COST (Baht)'!N$15</f>
        <v>0</v>
      </c>
      <c r="AW48" s="735">
        <f>AF96*Delivery!AF48*'COST (Baht)'!O$15</f>
        <v>0</v>
      </c>
      <c r="AX48" s="735">
        <f>AG96*Delivery!AG48*'COST (Baht)'!P$15</f>
        <v>0</v>
      </c>
    </row>
    <row r="49" spans="1:50" ht="15.5">
      <c r="A49" s="867" t="str">
        <f>Table3[[#This Row],[Product]]</f>
        <v>Propane</v>
      </c>
      <c r="B49" s="36" t="s">
        <v>25</v>
      </c>
      <c r="C49" s="35" t="s">
        <v>189</v>
      </c>
      <c r="D49" s="28"/>
      <c r="E49" s="714">
        <f>Delivery!E49*'COST (Baht)'!E$5*'COST (Baht)'!E$15</f>
        <v>5530236.0777230076</v>
      </c>
      <c r="F49" s="714">
        <f>Delivery!F49*'COST (Baht)'!F$5*'COST (Baht)'!F$15</f>
        <v>5829059.7446710616</v>
      </c>
      <c r="G49" s="714">
        <f>Delivery!G49*'COST (Baht)'!G$5*'COST (Baht)'!G$15</f>
        <v>7758769.9129704405</v>
      </c>
      <c r="H49" s="714">
        <f>Delivery!H49*'COST (Baht)'!H$5*'COST (Baht)'!H$15</f>
        <v>5536228.5104117431</v>
      </c>
      <c r="I49" s="714">
        <f>Delivery!I49*'COST (Baht)'!I$5*'COST (Baht)'!I$15</f>
        <v>7032367.3329633446</v>
      </c>
      <c r="J49" s="714">
        <f>Delivery!J49*'COST (Baht)'!J$5*'COST (Baht)'!J$15</f>
        <v>6630348.1988152321</v>
      </c>
      <c r="K49" s="714">
        <f>Delivery!K49*'COST (Baht)'!K$5*'COST (Baht)'!K$15</f>
        <v>6581803.7893022951</v>
      </c>
      <c r="L49" s="714">
        <f>Delivery!L49*'COST (Baht)'!L$5*'COST (Baht)'!L$15</f>
        <v>6703351.7912540212</v>
      </c>
      <c r="M49" s="714">
        <f>Delivery!M49*'COST (Baht)'!M$5*'COST (Baht)'!M$15</f>
        <v>6680207.7857963899</v>
      </c>
      <c r="N49" s="714">
        <f>Delivery!N49*'COST (Baht)'!N$5*'COST (Baht)'!N$15</f>
        <v>6934439.1217817031</v>
      </c>
      <c r="O49" s="714">
        <f>Delivery!O49*'COST (Baht)'!O$5*'COST (Baht)'!O$15</f>
        <v>6960945.6659443295</v>
      </c>
      <c r="P49" s="714">
        <f>Delivery!P49*'COST (Baht)'!P$5*'COST (Baht)'!P$15</f>
        <v>6968326.2821175959</v>
      </c>
      <c r="T49" t="s">
        <v>226</v>
      </c>
      <c r="U49" t="s">
        <v>276</v>
      </c>
      <c r="V49" s="705">
        <f>IF(Delivery!V49&gt;0,((Delivery!V97*'COST (Baht)'!V97)+('COST (Baht)'!V131*Delivery!V131))/Delivery!V49," ")</f>
        <v>342.43687350631836</v>
      </c>
      <c r="W49" s="705">
        <f>IF(Delivery!W49&gt;0,((Delivery!W97*'COST (Baht)'!W97)+('COST (Baht)'!W131*Delivery!W131))/Delivery!W49," ")</f>
        <v>390.07510641499164</v>
      </c>
      <c r="X49" s="705">
        <f>IF(Delivery!X49&gt;0,((Delivery!X97*'COST (Baht)'!X97)+('COST (Baht)'!X131*Delivery!X131))/Delivery!X49," ")</f>
        <v>423.76546074080466</v>
      </c>
      <c r="Y49" s="705">
        <f>IF(Delivery!Y49&gt;0,((Delivery!Y97*'COST (Baht)'!Y97)+('COST (Baht)'!Y131*Delivery!Y131))/Delivery!Y49," ")</f>
        <v>401.09821538220291</v>
      </c>
      <c r="Z49" s="705">
        <f>IF(Delivery!Z49&gt;0,((Delivery!Z97*'COST (Baht)'!Z97)+('COST (Baht)'!Z131*Delivery!Z131))/Delivery!Z49," ")</f>
        <v>378.61158515656291</v>
      </c>
      <c r="AA49" s="705">
        <f>IF(Delivery!AA49&gt;0,((Delivery!AA97*'COST (Baht)'!AA97)+('COST (Baht)'!AA131*Delivery!AA131))/Delivery!AA49," ")</f>
        <v>410.676675915982</v>
      </c>
      <c r="AB49" s="705">
        <f>IF(Delivery!AB49&gt;0,((Delivery!AB97*'COST (Baht)'!AB97)+('COST (Baht)'!AB131*Delivery!AB131))/Delivery!AB49," ")</f>
        <v>290.97769661405425</v>
      </c>
      <c r="AC49" s="705" t="str">
        <f>IF(Delivery!AC49&gt;0,((Delivery!AC97*'COST (Baht)'!AC97)+('COST (Baht)'!AC131*Delivery!AC131))/Delivery!AC49," ")</f>
        <v xml:space="preserve"> </v>
      </c>
      <c r="AD49" s="705" t="str">
        <f>IF(Delivery!AD49&gt;0,((Delivery!AD97*'COST (Baht)'!AD97)+('COST (Baht)'!AD131*Delivery!AD131))/Delivery!AD49," ")</f>
        <v xml:space="preserve"> </v>
      </c>
      <c r="AE49" s="705" t="str">
        <f>IF(Delivery!AE49&gt;0,((Delivery!AE97*'COST (Baht)'!AE97)+('COST (Baht)'!AE131*Delivery!AE131))/Delivery!AE49," ")</f>
        <v xml:space="preserve"> </v>
      </c>
      <c r="AF49" s="705" t="str">
        <f>IF(Delivery!AF49&gt;0,((Delivery!AF97*'COST (Baht)'!AF97)+('COST (Baht)'!AF131*Delivery!AF131))/Delivery!AF49," ")</f>
        <v xml:space="preserve"> </v>
      </c>
      <c r="AG49" s="705" t="str">
        <f>IF(Delivery!AG49&gt;0,((Delivery!AG97*'COST (Baht)'!AG97)+('COST (Baht)'!AG131*Delivery!AG131))/Delivery!AG49," ")</f>
        <v xml:space="preserve"> </v>
      </c>
      <c r="AK49" t="s">
        <v>226</v>
      </c>
      <c r="AL49" t="s">
        <v>276</v>
      </c>
      <c r="AM49" s="735">
        <f>V97*Delivery!V49*'COST (Baht)'!E$15</f>
        <v>382354405.46582198</v>
      </c>
      <c r="AN49" s="735">
        <f>W97*Delivery!W49*'COST (Baht)'!F$15</f>
        <v>449847356.09854329</v>
      </c>
      <c r="AO49" s="735">
        <f>X97*Delivery!X49*'COST (Baht)'!G$15</f>
        <v>474395554.15532523</v>
      </c>
      <c r="AP49" s="735">
        <f>Y97*Delivery!Y49*'COST (Baht)'!H$15</f>
        <v>433319894.67412126</v>
      </c>
      <c r="AQ49" s="735">
        <f>Z97*Delivery!Z49*'COST (Baht)'!I$15</f>
        <v>258475069.32021734</v>
      </c>
      <c r="AR49" s="735">
        <f>AA97*Delivery!AA49*'COST (Baht)'!J$15</f>
        <v>204745731.07909912</v>
      </c>
      <c r="AS49" s="735">
        <f>AB97*Delivery!AB49*'COST (Baht)'!K$15</f>
        <v>0</v>
      </c>
      <c r="AT49" s="735">
        <f>AC97*Delivery!AC49*'COST (Baht)'!L$15</f>
        <v>0</v>
      </c>
      <c r="AU49" s="735">
        <f>AD97*Delivery!AD49*'COST (Baht)'!M$15</f>
        <v>0</v>
      </c>
      <c r="AV49" s="735">
        <f>AE97*Delivery!AE49*'COST (Baht)'!N$15</f>
        <v>0</v>
      </c>
      <c r="AW49" s="735">
        <f>AF97*Delivery!AF49*'COST (Baht)'!O$15</f>
        <v>0</v>
      </c>
      <c r="AX49" s="735">
        <f>AG97*Delivery!AG49*'COST (Baht)'!P$15</f>
        <v>0</v>
      </c>
    </row>
    <row r="50" spans="1:50" ht="15.5">
      <c r="A50" s="867" t="str">
        <f>Table3[[#This Row],[Product]]</f>
        <v>Propane</v>
      </c>
      <c r="B50" s="36"/>
      <c r="C50" s="33" t="s">
        <v>35</v>
      </c>
      <c r="D50" s="28">
        <f>SUM(D38:D40)</f>
        <v>0</v>
      </c>
      <c r="E50" s="714">
        <f t="shared" ref="E50:P50" si="20">SUM(E38:E40)</f>
        <v>222466787.13869521</v>
      </c>
      <c r="F50" s="714">
        <f t="shared" si="20"/>
        <v>188606234.08243138</v>
      </c>
      <c r="G50" s="714">
        <f t="shared" si="20"/>
        <v>213051080.29542595</v>
      </c>
      <c r="H50" s="714">
        <f t="shared" si="20"/>
        <v>131099436.84665129</v>
      </c>
      <c r="I50" s="714">
        <f t="shared" si="20"/>
        <v>265830639.40372208</v>
      </c>
      <c r="J50" s="714">
        <f t="shared" si="20"/>
        <v>217489142.45841986</v>
      </c>
      <c r="K50" s="714">
        <f t="shared" si="20"/>
        <v>244843100.9620454</v>
      </c>
      <c r="L50" s="714">
        <f t="shared" si="20"/>
        <v>249364686.63464957</v>
      </c>
      <c r="M50" s="714">
        <f t="shared" si="20"/>
        <v>230867981.07712322</v>
      </c>
      <c r="N50" s="714">
        <f t="shared" si="20"/>
        <v>257961135.33027941</v>
      </c>
      <c r="O50" s="714">
        <f t="shared" si="20"/>
        <v>250594043.97399586</v>
      </c>
      <c r="P50" s="714">
        <f t="shared" si="20"/>
        <v>259221737.69477454</v>
      </c>
      <c r="U50" t="s">
        <v>538</v>
      </c>
      <c r="V50" s="705" t="str">
        <f>IF(Delivery!V50&gt;0,((Delivery!V98*'COST (Baht)'!V98)+('COST (Baht)'!V132*Delivery!V132))/Delivery!V50," ")</f>
        <v xml:space="preserve"> </v>
      </c>
      <c r="W50" s="705" t="str">
        <f>IF(Delivery!W50&gt;0,((Delivery!W98*'COST (Baht)'!W98)+('COST (Baht)'!W132*Delivery!W132))/Delivery!W50," ")</f>
        <v xml:space="preserve"> </v>
      </c>
      <c r="X50" s="705" t="str">
        <f>IF(Delivery!X50&gt;0,((Delivery!X98*'COST (Baht)'!X98)+('COST (Baht)'!X132*Delivery!X132))/Delivery!X50," ")</f>
        <v xml:space="preserve"> </v>
      </c>
      <c r="Y50" s="705" t="str">
        <f>IF(Delivery!Y50&gt;0,((Delivery!Y98*'COST (Baht)'!Y98)+('COST (Baht)'!Y132*Delivery!Y132))/Delivery!Y50," ")</f>
        <v xml:space="preserve"> </v>
      </c>
      <c r="Z50" s="705" t="str">
        <f>IF(Delivery!Z50&gt;0,((Delivery!Z98*'COST (Baht)'!Z98)+('COST (Baht)'!Z132*Delivery!Z132))/Delivery!Z50," ")</f>
        <v xml:space="preserve"> </v>
      </c>
      <c r="AA50" s="705" t="str">
        <f>IF(Delivery!AA50&gt;0,((Delivery!AA98*'COST (Baht)'!AA98)+('COST (Baht)'!AA132*Delivery!AA132))/Delivery!AA50," ")</f>
        <v xml:space="preserve"> </v>
      </c>
      <c r="AB50" s="705" t="str">
        <f>IF(Delivery!AB50&gt;0,((Delivery!AB98*'COST (Baht)'!AB98)+('COST (Baht)'!AB132*Delivery!AB132))/Delivery!AB50," ")</f>
        <v xml:space="preserve"> </v>
      </c>
      <c r="AC50" s="705" t="str">
        <f>IF(Delivery!AC50&gt;0,((Delivery!AC98*'COST (Baht)'!AC98)+('COST (Baht)'!AC132*Delivery!AC132))/Delivery!AC50," ")</f>
        <v xml:space="preserve"> </v>
      </c>
      <c r="AD50" s="705" t="str">
        <f>IF(Delivery!AD50&gt;0,((Delivery!AD98*'COST (Baht)'!AD98)+('COST (Baht)'!AD132*Delivery!AD132))/Delivery!AD50," ")</f>
        <v xml:space="preserve"> </v>
      </c>
      <c r="AE50" s="705" t="str">
        <f>IF(Delivery!AE50&gt;0,((Delivery!AE98*'COST (Baht)'!AE98)+('COST (Baht)'!AE132*Delivery!AE132))/Delivery!AE50," ")</f>
        <v xml:space="preserve"> </v>
      </c>
      <c r="AF50" s="705" t="str">
        <f>IF(Delivery!AF50&gt;0,((Delivery!AF98*'COST (Baht)'!AF98)+('COST (Baht)'!AF132*Delivery!AF132))/Delivery!AF50," ")</f>
        <v xml:space="preserve"> </v>
      </c>
      <c r="AG50" s="705" t="str">
        <f>IF(Delivery!AG50&gt;0,((Delivery!AG98*'COST (Baht)'!AG98)+('COST (Baht)'!AG132*Delivery!AG132))/Delivery!AG50," ")</f>
        <v xml:space="preserve"> </v>
      </c>
      <c r="AL50" t="s">
        <v>538</v>
      </c>
      <c r="AM50" s="735">
        <f>V98*Delivery!V50*'COST (Baht)'!E$15</f>
        <v>0</v>
      </c>
      <c r="AN50" s="735">
        <f>W98*Delivery!W50*'COST (Baht)'!F$15</f>
        <v>0</v>
      </c>
      <c r="AO50" s="735">
        <f>X98*Delivery!X50*'COST (Baht)'!G$15</f>
        <v>0</v>
      </c>
      <c r="AP50" s="735">
        <f>Y98*Delivery!Y50*'COST (Baht)'!H$15</f>
        <v>0</v>
      </c>
      <c r="AQ50" s="735">
        <f>Z98*Delivery!Z50*'COST (Baht)'!I$15</f>
        <v>0</v>
      </c>
      <c r="AR50" s="735">
        <f>AA98*Delivery!AA50*'COST (Baht)'!J$15</f>
        <v>0</v>
      </c>
      <c r="AS50" s="735">
        <f>AB98*Delivery!AB50*'COST (Baht)'!K$15</f>
        <v>0</v>
      </c>
      <c r="AT50" s="735">
        <f>AC98*Delivery!AC50*'COST (Baht)'!L$15</f>
        <v>0</v>
      </c>
      <c r="AU50" s="735">
        <f>AD98*Delivery!AD50*'COST (Baht)'!M$15</f>
        <v>0</v>
      </c>
      <c r="AV50" s="735">
        <f>AE98*Delivery!AE50*'COST (Baht)'!N$15</f>
        <v>0</v>
      </c>
      <c r="AW50" s="735">
        <f>AF98*Delivery!AF50*'COST (Baht)'!O$15</f>
        <v>0</v>
      </c>
      <c r="AX50" s="735">
        <f>AG98*Delivery!AG50*'COST (Baht)'!P$15</f>
        <v>0</v>
      </c>
    </row>
    <row r="51" spans="1:50" ht="15.5">
      <c r="A51" s="867" t="str">
        <f>Table3[[#This Row],[Product]]</f>
        <v>Propane</v>
      </c>
      <c r="B51" s="36"/>
      <c r="C51" s="33" t="s">
        <v>36</v>
      </c>
      <c r="D51" s="28">
        <f>SUM(D45:D48)</f>
        <v>0</v>
      </c>
      <c r="E51" s="714">
        <f t="shared" ref="E51:P51" si="21">SUM(E45:E48)</f>
        <v>0</v>
      </c>
      <c r="F51" s="714">
        <f t="shared" si="21"/>
        <v>92000681.713535845</v>
      </c>
      <c r="G51" s="714">
        <f t="shared" si="21"/>
        <v>258637217.98466721</v>
      </c>
      <c r="H51" s="714">
        <f t="shared" si="21"/>
        <v>116128829.84172738</v>
      </c>
      <c r="I51" s="714">
        <f t="shared" si="21"/>
        <v>294353971.83220333</v>
      </c>
      <c r="J51" s="714">
        <f t="shared" si="21"/>
        <v>322302401.08865911</v>
      </c>
      <c r="K51" s="714">
        <f t="shared" si="21"/>
        <v>260354218.55883446</v>
      </c>
      <c r="L51" s="714">
        <f t="shared" si="21"/>
        <v>55861264.927116849</v>
      </c>
      <c r="M51" s="714">
        <f t="shared" si="21"/>
        <v>65343565.824731678</v>
      </c>
      <c r="N51" s="714">
        <f t="shared" si="21"/>
        <v>116371445.86203329</v>
      </c>
      <c r="O51" s="714">
        <f t="shared" si="21"/>
        <v>58808389.301119678</v>
      </c>
      <c r="P51" s="714">
        <f t="shared" si="21"/>
        <v>149122182.43731654</v>
      </c>
      <c r="T51" t="s">
        <v>227</v>
      </c>
      <c r="U51" t="s">
        <v>276</v>
      </c>
      <c r="V51" s="705">
        <f>IF(Delivery!V51&gt;0,((Delivery!V99*'COST (Baht)'!V99)+('COST (Baht)'!V133*Delivery!V133))/Delivery!V51," ")</f>
        <v>342.43687350631836</v>
      </c>
      <c r="W51" s="705">
        <f>IF(Delivery!W51&gt;0,((Delivery!W99*'COST (Baht)'!W99)+('COST (Baht)'!W133*Delivery!W133))/Delivery!W51," ")</f>
        <v>390.07510641499169</v>
      </c>
      <c r="X51" s="705">
        <f>IF(Delivery!X51&gt;0,((Delivery!X99*'COST (Baht)'!X99)+('COST (Baht)'!X133*Delivery!X133))/Delivery!X51," ")</f>
        <v>423.76546074080466</v>
      </c>
      <c r="Y51" s="705">
        <f>IF(Delivery!Y51&gt;0,((Delivery!Y99*'COST (Baht)'!Y99)+('COST (Baht)'!Y133*Delivery!Y133))/Delivery!Y51," ")</f>
        <v>401.09821538220291</v>
      </c>
      <c r="Z51" s="705">
        <f>IF(Delivery!Z51&gt;0,((Delivery!Z99*'COST (Baht)'!Z99)+('COST (Baht)'!Z133*Delivery!Z133))/Delivery!Z51," ")</f>
        <v>378.61158515656285</v>
      </c>
      <c r="AA51" s="705">
        <f>IF(Delivery!AA51&gt;0,((Delivery!AA99*'COST (Baht)'!AA99)+('COST (Baht)'!AA133*Delivery!AA133))/Delivery!AA51," ")</f>
        <v>410.676675915982</v>
      </c>
      <c r="AB51" s="705">
        <f>IF(Delivery!AB51&gt;0,((Delivery!AB99*'COST (Baht)'!AB99)+('COST (Baht)'!AB133*Delivery!AB133))/Delivery!AB51," ")</f>
        <v>290.97769661405425</v>
      </c>
      <c r="AC51" s="705" t="str">
        <f>IF(Delivery!AC51&gt;0,((Delivery!AC99*'COST (Baht)'!AC99)+('COST (Baht)'!AC133*Delivery!AC133))/Delivery!AC51," ")</f>
        <v xml:space="preserve"> </v>
      </c>
      <c r="AD51" s="705" t="str">
        <f>IF(Delivery!AD51&gt;0,((Delivery!AD99*'COST (Baht)'!AD99)+('COST (Baht)'!AD133*Delivery!AD133))/Delivery!AD51," ")</f>
        <v xml:space="preserve"> </v>
      </c>
      <c r="AE51" s="705" t="str">
        <f>IF(Delivery!AE51&gt;0,((Delivery!AE99*'COST (Baht)'!AE99)+('COST (Baht)'!AE133*Delivery!AE133))/Delivery!AE51," ")</f>
        <v xml:space="preserve"> </v>
      </c>
      <c r="AF51" s="705" t="str">
        <f>IF(Delivery!AF51&gt;0,((Delivery!AF99*'COST (Baht)'!AF99)+('COST (Baht)'!AF133*Delivery!AF133))/Delivery!AF51," ")</f>
        <v xml:space="preserve"> </v>
      </c>
      <c r="AG51" s="705" t="str">
        <f>IF(Delivery!AG51&gt;0,((Delivery!AG99*'COST (Baht)'!AG99)+('COST (Baht)'!AG133*Delivery!AG133))/Delivery!AG51," ")</f>
        <v xml:space="preserve"> </v>
      </c>
      <c r="AK51" t="s">
        <v>227</v>
      </c>
      <c r="AL51" t="s">
        <v>276</v>
      </c>
      <c r="AM51" s="735">
        <f>V99*Delivery!V51*'COST (Baht)'!E$15</f>
        <v>229094829.69199395</v>
      </c>
      <c r="AN51" s="735">
        <f>W99*Delivery!W51*'COST (Baht)'!F$15</f>
        <v>265239219.84469947</v>
      </c>
      <c r="AO51" s="735">
        <f>X99*Delivery!X51*'COST (Baht)'!G$15</f>
        <v>313164764.49294138</v>
      </c>
      <c r="AP51" s="735">
        <f>Y99*Delivery!Y51*'COST (Baht)'!H$15</f>
        <v>236928043.55328566</v>
      </c>
      <c r="AQ51" s="735">
        <f>Z99*Delivery!Z51*'COST (Baht)'!I$15</f>
        <v>158149638.86825287</v>
      </c>
      <c r="AR51" s="735">
        <f>AA99*Delivery!AA51*'COST (Baht)'!J$15</f>
        <v>239289792.53539944</v>
      </c>
      <c r="AS51" s="735">
        <f>AB99*Delivery!AB51*'COST (Baht)'!K$15</f>
        <v>0</v>
      </c>
      <c r="AT51" s="735">
        <f>AC99*Delivery!AC51*'COST (Baht)'!L$15</f>
        <v>0</v>
      </c>
      <c r="AU51" s="735">
        <f>AD99*Delivery!AD51*'COST (Baht)'!M$15</f>
        <v>0</v>
      </c>
      <c r="AV51" s="735">
        <f>AE99*Delivery!AE51*'COST (Baht)'!N$15</f>
        <v>0</v>
      </c>
      <c r="AW51" s="735">
        <f>AF99*Delivery!AF51*'COST (Baht)'!O$15</f>
        <v>0</v>
      </c>
      <c r="AX51" s="735">
        <f>AG99*Delivery!AG51*'COST (Baht)'!P$15</f>
        <v>0</v>
      </c>
    </row>
    <row r="52" spans="1:50" ht="15.5">
      <c r="A52" s="867" t="str">
        <f>Table3[[#This Row],[Product]]</f>
        <v>Propane</v>
      </c>
      <c r="B52" s="28"/>
      <c r="C52" s="34" t="s">
        <v>37</v>
      </c>
      <c r="D52" s="28">
        <f>SUM(D38:D49)</f>
        <v>0</v>
      </c>
      <c r="E52" s="822">
        <f>SUM(E38:E49)</f>
        <v>820592337.00341368</v>
      </c>
      <c r="F52" s="822">
        <f t="shared" ref="F52:P52" si="22">SUM(F38:F49)</f>
        <v>821881167.69588327</v>
      </c>
      <c r="G52" s="822">
        <f t="shared" si="22"/>
        <v>1202637492.0981998</v>
      </c>
      <c r="H52" s="822">
        <f t="shared" si="22"/>
        <v>740557534.75918233</v>
      </c>
      <c r="I52" s="822">
        <f t="shared" si="22"/>
        <v>1109646400.3914428</v>
      </c>
      <c r="J52" s="822">
        <f t="shared" si="22"/>
        <v>1228637462.171468</v>
      </c>
      <c r="K52" s="822">
        <f t="shared" si="22"/>
        <v>790200393.27065146</v>
      </c>
      <c r="L52" s="822">
        <f t="shared" si="22"/>
        <v>909823594.12093759</v>
      </c>
      <c r="M52" s="822">
        <f t="shared" si="22"/>
        <v>843810446.46287096</v>
      </c>
      <c r="N52" s="822">
        <f t="shared" si="22"/>
        <v>661626394.0077287</v>
      </c>
      <c r="O52" s="822">
        <f t="shared" si="22"/>
        <v>987618971.08418143</v>
      </c>
      <c r="P52" s="822">
        <f t="shared" si="22"/>
        <v>1109775643.6900482</v>
      </c>
      <c r="U52" t="s">
        <v>538</v>
      </c>
      <c r="V52" s="705" t="str">
        <f>IF(Delivery!V52&gt;0,((Delivery!V100*'COST (Baht)'!V100)+('COST (Baht)'!V134*Delivery!V134))/Delivery!V52," ")</f>
        <v xml:space="preserve"> </v>
      </c>
      <c r="W52" s="705" t="str">
        <f>IF(Delivery!W52&gt;0,((Delivery!W100*'COST (Baht)'!W100)+('COST (Baht)'!W134*Delivery!W134))/Delivery!W52," ")</f>
        <v xml:space="preserve"> </v>
      </c>
      <c r="X52" s="705" t="str">
        <f>IF(Delivery!X52&gt;0,((Delivery!X100*'COST (Baht)'!X100)+('COST (Baht)'!X134*Delivery!X134))/Delivery!X52," ")</f>
        <v xml:space="preserve"> </v>
      </c>
      <c r="Y52" s="705" t="str">
        <f>IF(Delivery!Y52&gt;0,((Delivery!Y100*'COST (Baht)'!Y100)+('COST (Baht)'!Y134*Delivery!Y134))/Delivery!Y52," ")</f>
        <v xml:space="preserve"> </v>
      </c>
      <c r="Z52" s="705" t="str">
        <f>IF(Delivery!Z52&gt;0,((Delivery!Z100*'COST (Baht)'!Z100)+('COST (Baht)'!Z134*Delivery!Z134))/Delivery!Z52," ")</f>
        <v xml:space="preserve"> </v>
      </c>
      <c r="AA52" s="705" t="str">
        <f>IF(Delivery!AA52&gt;0,((Delivery!AA100*'COST (Baht)'!AA100)+('COST (Baht)'!AA134*Delivery!AA134))/Delivery!AA52," ")</f>
        <v xml:space="preserve"> </v>
      </c>
      <c r="AB52" s="705" t="str">
        <f>IF(Delivery!AB52&gt;0,((Delivery!AB100*'COST (Baht)'!AB100)+('COST (Baht)'!AB134*Delivery!AB134))/Delivery!AB52," ")</f>
        <v xml:space="preserve"> </v>
      </c>
      <c r="AC52" s="705" t="str">
        <f>IF(Delivery!AC52&gt;0,((Delivery!AC100*'COST (Baht)'!AC100)+('COST (Baht)'!AC134*Delivery!AC134))/Delivery!AC52," ")</f>
        <v xml:space="preserve"> </v>
      </c>
      <c r="AD52" s="705" t="str">
        <f>IF(Delivery!AD52&gt;0,((Delivery!AD100*'COST (Baht)'!AD100)+('COST (Baht)'!AD134*Delivery!AD134))/Delivery!AD52," ")</f>
        <v xml:space="preserve"> </v>
      </c>
      <c r="AE52" s="705" t="str">
        <f>IF(Delivery!AE52&gt;0,((Delivery!AE100*'COST (Baht)'!AE100)+('COST (Baht)'!AE134*Delivery!AE134))/Delivery!AE52," ")</f>
        <v xml:space="preserve"> </v>
      </c>
      <c r="AF52" s="705" t="str">
        <f>IF(Delivery!AF52&gt;0,((Delivery!AF100*'COST (Baht)'!AF100)+('COST (Baht)'!AF134*Delivery!AF134))/Delivery!AF52," ")</f>
        <v xml:space="preserve"> </v>
      </c>
      <c r="AG52" s="705" t="str">
        <f>IF(Delivery!AG52&gt;0,((Delivery!AG100*'COST (Baht)'!AG100)+('COST (Baht)'!AG134*Delivery!AG134))/Delivery!AG52," ")</f>
        <v xml:space="preserve"> </v>
      </c>
      <c r="AL52" t="s">
        <v>538</v>
      </c>
      <c r="AM52" s="735">
        <f>V100*Delivery!V52*'COST (Baht)'!E$15</f>
        <v>0</v>
      </c>
      <c r="AN52" s="735">
        <f>W100*Delivery!W52*'COST (Baht)'!F$15</f>
        <v>0</v>
      </c>
      <c r="AO52" s="735">
        <f>X100*Delivery!X52*'COST (Baht)'!G$15</f>
        <v>0</v>
      </c>
      <c r="AP52" s="735">
        <f>Y100*Delivery!Y52*'COST (Baht)'!H$15</f>
        <v>0</v>
      </c>
      <c r="AQ52" s="735">
        <f>Z100*Delivery!Z52*'COST (Baht)'!I$15</f>
        <v>0</v>
      </c>
      <c r="AR52" s="735">
        <f>AA100*Delivery!AA52*'COST (Baht)'!J$15</f>
        <v>0</v>
      </c>
      <c r="AS52" s="735">
        <f>AB100*Delivery!AB52*'COST (Baht)'!K$15</f>
        <v>0</v>
      </c>
      <c r="AT52" s="735">
        <f>AC100*Delivery!AC52*'COST (Baht)'!L$15</f>
        <v>0</v>
      </c>
      <c r="AU52" s="735">
        <f>AD100*Delivery!AD52*'COST (Baht)'!M$15</f>
        <v>0</v>
      </c>
      <c r="AV52" s="735">
        <f>AE100*Delivery!AE52*'COST (Baht)'!N$15</f>
        <v>0</v>
      </c>
      <c r="AW52" s="735">
        <f>AF100*Delivery!AF52*'COST (Baht)'!O$15</f>
        <v>0</v>
      </c>
      <c r="AX52" s="735">
        <f>AG100*Delivery!AG52*'COST (Baht)'!P$15</f>
        <v>0</v>
      </c>
    </row>
    <row r="53" spans="1:50" ht="15.5">
      <c r="A53" s="866" t="str">
        <f>Table3[[#This Row],[Product]]</f>
        <v>LPG-P</v>
      </c>
      <c r="B53" s="28" t="s">
        <v>25</v>
      </c>
      <c r="C53" s="37" t="s">
        <v>51</v>
      </c>
      <c r="D53" s="28"/>
      <c r="E53" s="714">
        <f>Delivery!E53*'COST (Baht)'!E$6*'COST (Baht)'!E$15</f>
        <v>24179937.974092305</v>
      </c>
      <c r="F53" s="714">
        <f>Delivery!F53*'COST (Baht)'!F$6*'COST (Baht)'!F$15</f>
        <v>18258693.844918311</v>
      </c>
      <c r="G53" s="714">
        <f>Delivery!G53*'COST (Baht)'!G$6*'COST (Baht)'!G$15</f>
        <v>94255702.667464942</v>
      </c>
      <c r="H53" s="714">
        <f>Delivery!H53*'COST (Baht)'!H$6*'COST (Baht)'!H$15</f>
        <v>23138219.07500549</v>
      </c>
      <c r="I53" s="714">
        <f>Delivery!I53*'COST (Baht)'!I$6*'COST (Baht)'!I$15</f>
        <v>101879527.60292733</v>
      </c>
      <c r="J53" s="714">
        <f>Delivery!J53*'COST (Baht)'!J$6*'COST (Baht)'!J$15</f>
        <v>49446402.23861859</v>
      </c>
      <c r="K53" s="714">
        <f>Delivery!K53*'COST (Baht)'!K$6*'COST (Baht)'!K$15</f>
        <v>712147131.60454392</v>
      </c>
      <c r="L53" s="714">
        <f>Delivery!L53*'COST (Baht)'!L$6*'COST (Baht)'!L$15</f>
        <v>370876023.91405773</v>
      </c>
      <c r="M53" s="714">
        <f>Delivery!M53*'COST (Baht)'!M$6*'COST (Baht)'!M$15</f>
        <v>364850657.39895195</v>
      </c>
      <c r="N53" s="714">
        <f>Delivery!N53*'COST (Baht)'!N$6*'COST (Baht)'!N$15</f>
        <v>383339287.72817302</v>
      </c>
      <c r="O53" s="714">
        <f>Delivery!O53*'COST (Baht)'!O$6*'COST (Baht)'!O$15</f>
        <v>375875467.65633476</v>
      </c>
      <c r="P53" s="714">
        <f>Delivery!P53*'COST (Baht)'!P$6*'COST (Baht)'!P$15</f>
        <v>388831205.1582455</v>
      </c>
      <c r="T53" t="s">
        <v>228</v>
      </c>
      <c r="U53" t="s">
        <v>276</v>
      </c>
      <c r="V53" s="705" t="str">
        <f>IF(Delivery!V53&gt;0,((Delivery!V101*'COST (Baht)'!V101)+('COST (Baht)'!V135*Delivery!V135))/Delivery!V53," ")</f>
        <v xml:space="preserve"> </v>
      </c>
      <c r="W53" s="705" t="str">
        <f>IF(Delivery!W53&gt;0,((Delivery!W101*'COST (Baht)'!W101)+('COST (Baht)'!W135*Delivery!W135))/Delivery!W53," ")</f>
        <v xml:space="preserve"> </v>
      </c>
      <c r="X53" s="705" t="str">
        <f>IF(Delivery!X53&gt;0,((Delivery!X101*'COST (Baht)'!X101)+('COST (Baht)'!X135*Delivery!X135))/Delivery!X53," ")</f>
        <v xml:space="preserve"> </v>
      </c>
      <c r="Y53" s="705" t="str">
        <f>IF(Delivery!Y53&gt;0,((Delivery!Y101*'COST (Baht)'!Y101)+('COST (Baht)'!Y135*Delivery!Y135))/Delivery!Y53," ")</f>
        <v xml:space="preserve"> </v>
      </c>
      <c r="Z53" s="705" t="str">
        <f>IF(Delivery!Z53&gt;0,((Delivery!Z101*'COST (Baht)'!Z101)+('COST (Baht)'!Z135*Delivery!Z135))/Delivery!Z53," ")</f>
        <v xml:space="preserve"> </v>
      </c>
      <c r="AA53" s="705" t="str">
        <f>IF(Delivery!AA53&gt;0,((Delivery!AA101*'COST (Baht)'!AA101)+('COST (Baht)'!AA135*Delivery!AA135))/Delivery!AA53," ")</f>
        <v xml:space="preserve"> </v>
      </c>
      <c r="AB53" s="705" t="str">
        <f>IF(Delivery!AB53&gt;0,((Delivery!AB101*'COST (Baht)'!AB101)+('COST (Baht)'!AB135*Delivery!AB135))/Delivery!AB53," ")</f>
        <v xml:space="preserve"> </v>
      </c>
      <c r="AC53" s="705" t="str">
        <f>IF(Delivery!AC53&gt;0,((Delivery!AC101*'COST (Baht)'!AC101)+('COST (Baht)'!AC135*Delivery!AC135))/Delivery!AC53," ")</f>
        <v xml:space="preserve"> </v>
      </c>
      <c r="AD53" s="705" t="str">
        <f>IF(Delivery!AD53&gt;0,((Delivery!AD101*'COST (Baht)'!AD101)+('COST (Baht)'!AD135*Delivery!AD135))/Delivery!AD53," ")</f>
        <v xml:space="preserve"> </v>
      </c>
      <c r="AE53" s="705" t="str">
        <f>IF(Delivery!AE53&gt;0,((Delivery!AE101*'COST (Baht)'!AE101)+('COST (Baht)'!AE135*Delivery!AE135))/Delivery!AE53," ")</f>
        <v xml:space="preserve"> </v>
      </c>
      <c r="AF53" s="705" t="str">
        <f>IF(Delivery!AF53&gt;0,((Delivery!AF101*'COST (Baht)'!AF101)+('COST (Baht)'!AF135*Delivery!AF135))/Delivery!AF53," ")</f>
        <v xml:space="preserve"> </v>
      </c>
      <c r="AG53" s="705" t="str">
        <f>IF(Delivery!AG53&gt;0,((Delivery!AG101*'COST (Baht)'!AG101)+('COST (Baht)'!AG135*Delivery!AG135))/Delivery!AG53," ")</f>
        <v xml:space="preserve"> </v>
      </c>
      <c r="AK53" t="s">
        <v>228</v>
      </c>
      <c r="AL53" t="s">
        <v>276</v>
      </c>
      <c r="AM53" s="735">
        <f>V101*Delivery!V53*'COST (Baht)'!E$15</f>
        <v>0</v>
      </c>
      <c r="AN53" s="735">
        <f>W101*Delivery!W53*'COST (Baht)'!F$15</f>
        <v>0</v>
      </c>
      <c r="AO53" s="735">
        <f>X101*Delivery!X53*'COST (Baht)'!G$15</f>
        <v>0</v>
      </c>
      <c r="AP53" s="735">
        <f>Y101*Delivery!Y53*'COST (Baht)'!H$15</f>
        <v>0</v>
      </c>
      <c r="AQ53" s="735">
        <f>Z101*Delivery!Z53*'COST (Baht)'!I$15</f>
        <v>0</v>
      </c>
      <c r="AR53" s="735">
        <f>AA101*Delivery!AA53*'COST (Baht)'!J$15</f>
        <v>0</v>
      </c>
      <c r="AS53" s="735">
        <f>AB101*Delivery!AB53*'COST (Baht)'!K$15</f>
        <v>0</v>
      </c>
      <c r="AT53" s="735">
        <f>AC101*Delivery!AC53*'COST (Baht)'!L$15</f>
        <v>0</v>
      </c>
      <c r="AU53" s="735">
        <f>AD101*Delivery!AD53*'COST (Baht)'!M$15</f>
        <v>0</v>
      </c>
      <c r="AV53" s="735">
        <f>AE101*Delivery!AE53*'COST (Baht)'!N$15</f>
        <v>0</v>
      </c>
      <c r="AW53" s="735">
        <f>AF101*Delivery!AF53*'COST (Baht)'!O$15</f>
        <v>0</v>
      </c>
      <c r="AX53" s="735">
        <f>AG101*Delivery!AG53*'COST (Baht)'!P$15</f>
        <v>0</v>
      </c>
    </row>
    <row r="54" spans="1:50" ht="15.5">
      <c r="A54" s="866" t="str">
        <f>Table3[[#This Row],[Product]]</f>
        <v>LPG-P</v>
      </c>
      <c r="B54" s="28" t="s">
        <v>25</v>
      </c>
      <c r="C54" s="37" t="s">
        <v>52</v>
      </c>
      <c r="D54" s="28"/>
      <c r="E54" s="714">
        <f>Delivery!E54*'COST (Baht)'!E$6*'COST (Baht)'!E$15</f>
        <v>0</v>
      </c>
      <c r="F54" s="714">
        <f>Delivery!F54*'COST (Baht)'!F$6*'COST (Baht)'!F$15</f>
        <v>0</v>
      </c>
      <c r="G54" s="714">
        <f>Delivery!G54*'COST (Baht)'!G$6*'COST (Baht)'!G$15</f>
        <v>0</v>
      </c>
      <c r="H54" s="714">
        <f>Delivery!H54*'COST (Baht)'!H$6*'COST (Baht)'!H$15</f>
        <v>0</v>
      </c>
      <c r="I54" s="714">
        <f>Delivery!I54*'COST (Baht)'!I$6*'COST (Baht)'!I$15</f>
        <v>0</v>
      </c>
      <c r="J54" s="714">
        <f>Delivery!J54*'COST (Baht)'!J$6*'COST (Baht)'!J$15</f>
        <v>0</v>
      </c>
      <c r="K54" s="714">
        <f>Delivery!K54*'COST (Baht)'!K$6*'COST (Baht)'!K$15</f>
        <v>0</v>
      </c>
      <c r="L54" s="714">
        <f>Delivery!L54*'COST (Baht)'!L$6*'COST (Baht)'!L$15</f>
        <v>0</v>
      </c>
      <c r="M54" s="714">
        <f>Delivery!M54*'COST (Baht)'!M$6*'COST (Baht)'!M$15</f>
        <v>0</v>
      </c>
      <c r="N54" s="714">
        <f>Delivery!N54*'COST (Baht)'!N$6*'COST (Baht)'!N$15</f>
        <v>0</v>
      </c>
      <c r="O54" s="714">
        <f>Delivery!O54*'COST (Baht)'!O$6*'COST (Baht)'!O$15</f>
        <v>0</v>
      </c>
      <c r="P54" s="714">
        <f>Delivery!P54*'COST (Baht)'!P$6*'COST (Baht)'!P$15</f>
        <v>0</v>
      </c>
      <c r="U54" t="s">
        <v>538</v>
      </c>
      <c r="V54" s="705">
        <f>IF(Delivery!V54&gt;0,((Delivery!V102*'COST (Baht)'!V102)+('COST (Baht)'!V136*Delivery!V136))/Delivery!V54," ")</f>
        <v>342.43687350631831</v>
      </c>
      <c r="W54" s="705" t="str">
        <f>IF(Delivery!W54&gt;0,((Delivery!W102*'COST (Baht)'!W102)+('COST (Baht)'!W136*Delivery!W136))/Delivery!W54," ")</f>
        <v xml:space="preserve"> </v>
      </c>
      <c r="X54" s="705">
        <f>IF(Delivery!X54&gt;0,((Delivery!X102*'COST (Baht)'!X102)+('COST (Baht)'!X136*Delivery!X136))/Delivery!X54," ")</f>
        <v>423.76546074080466</v>
      </c>
      <c r="Y54" s="705">
        <f>IF(Delivery!Y54&gt;0,((Delivery!Y102*'COST (Baht)'!Y102)+('COST (Baht)'!Y136*Delivery!Y136))/Delivery!Y54," ")</f>
        <v>401.09821538220285</v>
      </c>
      <c r="Z54" s="705">
        <f>IF(Delivery!Z54&gt;0,((Delivery!Z102*'COST (Baht)'!Z102)+('COST (Baht)'!Z136*Delivery!Z136))/Delivery!Z54," ")</f>
        <v>378.61158515656291</v>
      </c>
      <c r="AA54" s="705">
        <f>IF(Delivery!AA54&gt;0,((Delivery!AA102*'COST (Baht)'!AA102)+('COST (Baht)'!AA136*Delivery!AA136))/Delivery!AA54," ")</f>
        <v>410.67667591598206</v>
      </c>
      <c r="AB54" s="705">
        <f>IF(Delivery!AB54&gt;0,((Delivery!AB102*'COST (Baht)'!AB102)+('COST (Baht)'!AB136*Delivery!AB136))/Delivery!AB54," ")</f>
        <v>290.97769661405425</v>
      </c>
      <c r="AC54" s="705">
        <f>IF(Delivery!AC54&gt;0,((Delivery!AC102*'COST (Baht)'!AC102)+('COST (Baht)'!AC136*Delivery!AC136))/Delivery!AC54," ")</f>
        <v>333.60821780666544</v>
      </c>
      <c r="AD54" s="705">
        <f>IF(Delivery!AD54&gt;0,((Delivery!AD102*'COST (Baht)'!AD102)+('COST (Baht)'!AD136*Delivery!AD136))/Delivery!AD54," ")</f>
        <v>266.45101525329136</v>
      </c>
      <c r="AE54" s="705">
        <f>IF(Delivery!AE54&gt;0,((Delivery!AE102*'COST (Baht)'!AE102)+('COST (Baht)'!AE136*Delivery!AE136))/Delivery!AE54," ")</f>
        <v>223.65035708133141</v>
      </c>
      <c r="AF54" s="705">
        <f>IF(Delivery!AF54&gt;0,((Delivery!AF102*'COST (Baht)'!AF102)+('COST (Baht)'!AF136*Delivery!AF136))/Delivery!AF54," ")</f>
        <v>361.90210191411745</v>
      </c>
      <c r="AG54" s="705">
        <f>IF(Delivery!AG54&gt;0,((Delivery!AG102*'COST (Baht)'!AG102)+('COST (Baht)'!AG136*Delivery!AG136))/Delivery!AG54," ")</f>
        <v>317.38651995070461</v>
      </c>
      <c r="AL54" t="s">
        <v>538</v>
      </c>
      <c r="AM54" s="735">
        <f>V102*Delivery!V54*'COST (Baht)'!E$15</f>
        <v>28580500.003359441</v>
      </c>
      <c r="AN54" s="735">
        <f>W102*Delivery!W54*'COST (Baht)'!F$15</f>
        <v>0</v>
      </c>
      <c r="AO54" s="735">
        <f>X102*Delivery!X54*'COST (Baht)'!G$15</f>
        <v>193406945.7023471</v>
      </c>
      <c r="AP54" s="735">
        <f>Y102*Delivery!Y54*'COST (Baht)'!H$15</f>
        <v>112938465.14398462</v>
      </c>
      <c r="AQ54" s="735">
        <f>Z102*Delivery!Z54*'COST (Baht)'!I$15</f>
        <v>135193954.49690199</v>
      </c>
      <c r="AR54" s="735">
        <f>AA102*Delivery!AA54*'COST (Baht)'!J$15</f>
        <v>212362369.73550647</v>
      </c>
      <c r="AS54" s="735">
        <f>AB102*Delivery!AB54*'COST (Baht)'!K$15</f>
        <v>0</v>
      </c>
      <c r="AT54" s="735">
        <f>AC102*Delivery!AC54*'COST (Baht)'!L$15</f>
        <v>0</v>
      </c>
      <c r="AU54" s="735">
        <f>AD102*Delivery!AD54*'COST (Baht)'!M$15</f>
        <v>0</v>
      </c>
      <c r="AV54" s="735">
        <f>AE102*Delivery!AE54*'COST (Baht)'!N$15</f>
        <v>0</v>
      </c>
      <c r="AW54" s="735">
        <f>AF102*Delivery!AF54*'COST (Baht)'!O$15</f>
        <v>0</v>
      </c>
      <c r="AX54" s="735">
        <f>AG102*Delivery!AG54*'COST (Baht)'!P$15</f>
        <v>0</v>
      </c>
    </row>
    <row r="55" spans="1:50" ht="15.5">
      <c r="A55" s="866" t="str">
        <f>Table3[[#This Row],[Product]]</f>
        <v>LPG-P</v>
      </c>
      <c r="B55" s="32" t="s">
        <v>34</v>
      </c>
      <c r="C55" s="37" t="s">
        <v>53</v>
      </c>
      <c r="D55" s="28"/>
      <c r="E55" s="714">
        <f>Delivery!E55*'COST (Baht)'!E$6*'COST (Baht)'!E$15</f>
        <v>0</v>
      </c>
      <c r="F55" s="714">
        <f>Delivery!F55*'COST (Baht)'!F$6*'COST (Baht)'!F$15</f>
        <v>0</v>
      </c>
      <c r="G55" s="714">
        <f>Delivery!G55*'COST (Baht)'!G$6*'COST (Baht)'!G$15</f>
        <v>0</v>
      </c>
      <c r="H55" s="714">
        <f>Delivery!H55*'COST (Baht)'!H$6*'COST (Baht)'!H$15</f>
        <v>0</v>
      </c>
      <c r="I55" s="714">
        <f>Delivery!I55*'COST (Baht)'!I$6*'COST (Baht)'!I$15</f>
        <v>0</v>
      </c>
      <c r="J55" s="714">
        <f>Delivery!J55*'COST (Baht)'!J$6*'COST (Baht)'!J$15</f>
        <v>0</v>
      </c>
      <c r="K55" s="714">
        <f>Delivery!K55*'COST (Baht)'!K$6*'COST (Baht)'!K$15</f>
        <v>0</v>
      </c>
      <c r="L55" s="714">
        <f>Delivery!L55*'COST (Baht)'!L$6*'COST (Baht)'!L$15</f>
        <v>0</v>
      </c>
      <c r="M55" s="714">
        <f>Delivery!M55*'COST (Baht)'!M$6*'COST (Baht)'!M$15</f>
        <v>0</v>
      </c>
      <c r="N55" s="714">
        <f>Delivery!N55*'COST (Baht)'!N$6*'COST (Baht)'!N$15</f>
        <v>0</v>
      </c>
      <c r="O55" s="714">
        <f>Delivery!O55*'COST (Baht)'!O$6*'COST (Baht)'!O$15</f>
        <v>0</v>
      </c>
      <c r="P55" s="714">
        <f>Delivery!P55*'COST (Baht)'!P$6*'COST (Baht)'!P$15</f>
        <v>0</v>
      </c>
      <c r="T55" t="s">
        <v>229</v>
      </c>
      <c r="U55" t="s">
        <v>276</v>
      </c>
      <c r="V55" s="705" t="str">
        <f>IF(Delivery!V55&gt;0,((Delivery!V103*'COST (Baht)'!V103)+('COST (Baht)'!V137*Delivery!V137))/Delivery!V55," ")</f>
        <v xml:space="preserve"> </v>
      </c>
      <c r="W55" s="705" t="str">
        <f>IF(Delivery!W55&gt;0,((Delivery!W103*'COST (Baht)'!W103)+('COST (Baht)'!W137*Delivery!W137))/Delivery!W55," ")</f>
        <v xml:space="preserve"> </v>
      </c>
      <c r="X55" s="705" t="str">
        <f>IF(Delivery!X55&gt;0,((Delivery!X103*'COST (Baht)'!X103)+('COST (Baht)'!X137*Delivery!X137))/Delivery!X55," ")</f>
        <v xml:space="preserve"> </v>
      </c>
      <c r="Y55" s="705" t="str">
        <f>IF(Delivery!Y55&gt;0,((Delivery!Y103*'COST (Baht)'!Y103)+('COST (Baht)'!Y137*Delivery!Y137))/Delivery!Y55," ")</f>
        <v xml:space="preserve"> </v>
      </c>
      <c r="Z55" s="705" t="str">
        <f>IF(Delivery!Z55&gt;0,((Delivery!Z103*'COST (Baht)'!Z103)+('COST (Baht)'!Z137*Delivery!Z137))/Delivery!Z55," ")</f>
        <v xml:space="preserve"> </v>
      </c>
      <c r="AA55" s="705" t="str">
        <f>IF(Delivery!AA55&gt;0,((Delivery!AA103*'COST (Baht)'!AA103)+('COST (Baht)'!AA137*Delivery!AA137))/Delivery!AA55," ")</f>
        <v xml:space="preserve"> </v>
      </c>
      <c r="AB55" s="705" t="str">
        <f>IF(Delivery!AB55&gt;0,((Delivery!AB103*'COST (Baht)'!AB103)+('COST (Baht)'!AB137*Delivery!AB137))/Delivery!AB55," ")</f>
        <v xml:space="preserve"> </v>
      </c>
      <c r="AC55" s="705" t="str">
        <f>IF(Delivery!AC55&gt;0,((Delivery!AC103*'COST (Baht)'!AC103)+('COST (Baht)'!AC137*Delivery!AC137))/Delivery!AC55," ")</f>
        <v xml:space="preserve"> </v>
      </c>
      <c r="AD55" s="705" t="str">
        <f>IF(Delivery!AD55&gt;0,((Delivery!AD103*'COST (Baht)'!AD103)+('COST (Baht)'!AD137*Delivery!AD137))/Delivery!AD55," ")</f>
        <v xml:space="preserve"> </v>
      </c>
      <c r="AE55" s="705" t="str">
        <f>IF(Delivery!AE55&gt;0,((Delivery!AE103*'COST (Baht)'!AE103)+('COST (Baht)'!AE137*Delivery!AE137))/Delivery!AE55," ")</f>
        <v xml:space="preserve"> </v>
      </c>
      <c r="AF55" s="705" t="str">
        <f>IF(Delivery!AF55&gt;0,((Delivery!AF103*'COST (Baht)'!AF103)+('COST (Baht)'!AF137*Delivery!AF137))/Delivery!AF55," ")</f>
        <v xml:space="preserve"> </v>
      </c>
      <c r="AG55" s="705" t="str">
        <f>IF(Delivery!AG55&gt;0,((Delivery!AG103*'COST (Baht)'!AG103)+('COST (Baht)'!AG137*Delivery!AG137))/Delivery!AG55," ")</f>
        <v xml:space="preserve"> </v>
      </c>
      <c r="AK55" t="s">
        <v>229</v>
      </c>
      <c r="AL55" t="s">
        <v>276</v>
      </c>
      <c r="AM55" s="735">
        <f>V103*Delivery!V55*'COST (Baht)'!E$15</f>
        <v>0</v>
      </c>
      <c r="AN55" s="735">
        <f>W103*Delivery!W55*'COST (Baht)'!F$15</f>
        <v>0</v>
      </c>
      <c r="AO55" s="735">
        <f>X103*Delivery!X55*'COST (Baht)'!G$15</f>
        <v>0</v>
      </c>
      <c r="AP55" s="735">
        <f>Y103*Delivery!Y55*'COST (Baht)'!H$15</f>
        <v>0</v>
      </c>
      <c r="AQ55" s="735">
        <f>Z103*Delivery!Z55*'COST (Baht)'!I$15</f>
        <v>0</v>
      </c>
      <c r="AR55" s="735">
        <f>AA103*Delivery!AA55*'COST (Baht)'!J$15</f>
        <v>0</v>
      </c>
      <c r="AS55" s="735">
        <f>AB103*Delivery!AB55*'COST (Baht)'!K$15</f>
        <v>0</v>
      </c>
      <c r="AT55" s="735">
        <f>AC103*Delivery!AC55*'COST (Baht)'!L$15</f>
        <v>0</v>
      </c>
      <c r="AU55" s="735">
        <f>AD103*Delivery!AD55*'COST (Baht)'!M$15</f>
        <v>0</v>
      </c>
      <c r="AV55" s="735">
        <f>AE103*Delivery!AE55*'COST (Baht)'!N$15</f>
        <v>0</v>
      </c>
      <c r="AW55" s="735">
        <f>AF103*Delivery!AF55*'COST (Baht)'!O$15</f>
        <v>0</v>
      </c>
      <c r="AX55" s="735">
        <f>AG103*Delivery!AG55*'COST (Baht)'!P$15</f>
        <v>0</v>
      </c>
    </row>
    <row r="56" spans="1:50" ht="15.5">
      <c r="A56" s="866" t="str">
        <f>Table3[[#This Row],[Product]]</f>
        <v>LPG-P</v>
      </c>
      <c r="B56" s="28" t="s">
        <v>25</v>
      </c>
      <c r="C56" s="37" t="s">
        <v>54</v>
      </c>
      <c r="D56" s="28"/>
      <c r="E56" s="714">
        <f>Delivery!E56*'COST (Baht)'!E$6*'COST (Baht)'!E$15</f>
        <v>302804503.87553102</v>
      </c>
      <c r="F56" s="714">
        <f>Delivery!F56*'COST (Baht)'!F$6*'COST (Baht)'!F$15</f>
        <v>182048542.50639966</v>
      </c>
      <c r="G56" s="714">
        <f>Delivery!G56*'COST (Baht)'!G$6*'COST (Baht)'!G$15</f>
        <v>264076889.61221492</v>
      </c>
      <c r="H56" s="714">
        <f>Delivery!H56*'COST (Baht)'!H$6*'COST (Baht)'!H$15</f>
        <v>208274048.98876476</v>
      </c>
      <c r="I56" s="714">
        <f>Delivery!I56*'COST (Baht)'!I$6*'COST (Baht)'!I$15</f>
        <v>318756070.88848484</v>
      </c>
      <c r="J56" s="714">
        <f>Delivery!J56*'COST (Baht)'!J$6*'COST (Baht)'!J$15</f>
        <v>426345143.26219529</v>
      </c>
      <c r="K56" s="714">
        <f>Delivery!K56*'COST (Baht)'!K$6*'COST (Baht)'!K$15</f>
        <v>0</v>
      </c>
      <c r="L56" s="714">
        <f>Delivery!L56*'COST (Baht)'!L$6*'COST (Baht)'!L$15</f>
        <v>0</v>
      </c>
      <c r="M56" s="714">
        <f>Delivery!M56*'COST (Baht)'!M$6*'COST (Baht)'!M$15</f>
        <v>0</v>
      </c>
      <c r="N56" s="714">
        <f>Delivery!N56*'COST (Baht)'!N$6*'COST (Baht)'!N$15</f>
        <v>0</v>
      </c>
      <c r="O56" s="714">
        <f>Delivery!O56*'COST (Baht)'!O$6*'COST (Baht)'!O$15</f>
        <v>0</v>
      </c>
      <c r="P56" s="714">
        <f>Delivery!P56*'COST (Baht)'!P$6*'COST (Baht)'!P$15</f>
        <v>0</v>
      </c>
      <c r="U56" t="s">
        <v>538</v>
      </c>
      <c r="V56" s="705">
        <f>IF(Delivery!V56&gt;0,((Delivery!V104*'COST (Baht)'!V104)+('COST (Baht)'!V138*Delivery!V138))/Delivery!V56," ")</f>
        <v>342.43687350631831</v>
      </c>
      <c r="W56" s="705">
        <f>IF(Delivery!W56&gt;0,((Delivery!W104*'COST (Baht)'!W104)+('COST (Baht)'!W138*Delivery!W138))/Delivery!W56," ")</f>
        <v>390.07510641499169</v>
      </c>
      <c r="X56" s="705">
        <f>IF(Delivery!X56&gt;0,((Delivery!X104*'COST (Baht)'!X104)+('COST (Baht)'!X138*Delivery!X138))/Delivery!X56," ")</f>
        <v>423.76546074080466</v>
      </c>
      <c r="Y56" s="705">
        <f>IF(Delivery!Y56&gt;0,((Delivery!Y104*'COST (Baht)'!Y104)+('COST (Baht)'!Y138*Delivery!Y138))/Delivery!Y56," ")</f>
        <v>401.09821538220291</v>
      </c>
      <c r="Z56" s="705">
        <f>IF(Delivery!Z56&gt;0,((Delivery!Z104*'COST (Baht)'!Z104)+('COST (Baht)'!Z138*Delivery!Z138))/Delivery!Z56," ")</f>
        <v>378.6115851565628</v>
      </c>
      <c r="AA56" s="705">
        <f>IF(Delivery!AA56&gt;0,((Delivery!AA104*'COST (Baht)'!AA104)+('COST (Baht)'!AA138*Delivery!AA138))/Delivery!AA56," ")</f>
        <v>410.67667591598195</v>
      </c>
      <c r="AB56" s="705">
        <f>IF(Delivery!AB56&gt;0,((Delivery!AB104*'COST (Baht)'!AB104)+('COST (Baht)'!AB138*Delivery!AB138))/Delivery!AB56," ")</f>
        <v>290.97769661405425</v>
      </c>
      <c r="AC56" s="705">
        <f>IF(Delivery!AC56&gt;0,((Delivery!AC104*'COST (Baht)'!AC104)+('COST (Baht)'!AC138*Delivery!AC138))/Delivery!AC56," ")</f>
        <v>333.60821780666544</v>
      </c>
      <c r="AD56" s="705">
        <f>IF(Delivery!AD56&gt;0,((Delivery!AD104*'COST (Baht)'!AD104)+('COST (Baht)'!AD138*Delivery!AD138))/Delivery!AD56," ")</f>
        <v>266.4510152532913</v>
      </c>
      <c r="AE56" s="705">
        <f>IF(Delivery!AE56&gt;0,((Delivery!AE104*'COST (Baht)'!AE104)+('COST (Baht)'!AE138*Delivery!AE138))/Delivery!AE56," ")</f>
        <v>223.65035708133144</v>
      </c>
      <c r="AF56" s="705">
        <f>IF(Delivery!AF56&gt;0,((Delivery!AF104*'COST (Baht)'!AF104)+('COST (Baht)'!AF138*Delivery!AF138))/Delivery!AF56," ")</f>
        <v>361.90210191411745</v>
      </c>
      <c r="AG56" s="705">
        <f>IF(Delivery!AG56&gt;0,((Delivery!AG104*'COST (Baht)'!AG104)+('COST (Baht)'!AG138*Delivery!AG138))/Delivery!AG56," ")</f>
        <v>317.38651995070455</v>
      </c>
      <c r="AL56" t="s">
        <v>538</v>
      </c>
      <c r="AM56" s="735">
        <f>V104*Delivery!V56*'COST (Baht)'!E$15</f>
        <v>23442368.460271936</v>
      </c>
      <c r="AN56" s="735">
        <f>W104*Delivery!W56*'COST (Baht)'!F$15</f>
        <v>49189651.745377705</v>
      </c>
      <c r="AO56" s="735">
        <f>X104*Delivery!X56*'COST (Baht)'!G$15</f>
        <v>80164091.588159576</v>
      </c>
      <c r="AP56" s="735">
        <f>Y104*Delivery!Y56*'COST (Baht)'!H$15</f>
        <v>78615142.710539922</v>
      </c>
      <c r="AQ56" s="735">
        <f>Z104*Delivery!Z56*'COST (Baht)'!I$15</f>
        <v>63543969.355717987</v>
      </c>
      <c r="AR56" s="735">
        <f>AA104*Delivery!AA56*'COST (Baht)'!J$15</f>
        <v>75622971.861917555</v>
      </c>
      <c r="AS56" s="735">
        <f>AB104*Delivery!AB56*'COST (Baht)'!K$15</f>
        <v>0</v>
      </c>
      <c r="AT56" s="735">
        <f>AC104*Delivery!AC56*'COST (Baht)'!L$15</f>
        <v>0</v>
      </c>
      <c r="AU56" s="735">
        <f>AD104*Delivery!AD56*'COST (Baht)'!M$15</f>
        <v>0</v>
      </c>
      <c r="AV56" s="735">
        <f>AE104*Delivery!AE56*'COST (Baht)'!N$15</f>
        <v>0</v>
      </c>
      <c r="AW56" s="735">
        <f>AF104*Delivery!AF56*'COST (Baht)'!O$15</f>
        <v>0</v>
      </c>
      <c r="AX56" s="735">
        <f>AG104*Delivery!AG56*'COST (Baht)'!P$15</f>
        <v>0</v>
      </c>
    </row>
    <row r="57" spans="1:50" ht="15.5">
      <c r="A57" s="866" t="str">
        <f>Table3[[#This Row],[Product]]</f>
        <v>LPG-P</v>
      </c>
      <c r="B57" s="28" t="s">
        <v>25</v>
      </c>
      <c r="C57" s="37" t="s">
        <v>55</v>
      </c>
      <c r="D57" s="28"/>
      <c r="E57" s="714">
        <f>Delivery!E57*'COST (Baht)'!E$6*'COST (Baht)'!E$15</f>
        <v>0</v>
      </c>
      <c r="F57" s="714">
        <f>Delivery!F57*'COST (Baht)'!F$6*'COST (Baht)'!F$15</f>
        <v>0</v>
      </c>
      <c r="G57" s="714">
        <f>Delivery!G57*'COST (Baht)'!G$6*'COST (Baht)'!G$15</f>
        <v>0</v>
      </c>
      <c r="H57" s="714">
        <f>Delivery!H57*'COST (Baht)'!H$6*'COST (Baht)'!H$15</f>
        <v>0</v>
      </c>
      <c r="I57" s="714">
        <f>Delivery!I57*'COST (Baht)'!I$6*'COST (Baht)'!I$15</f>
        <v>0</v>
      </c>
      <c r="J57" s="714">
        <f>Delivery!J57*'COST (Baht)'!J$6*'COST (Baht)'!J$15</f>
        <v>0</v>
      </c>
      <c r="K57" s="714">
        <f>Delivery!K57*'COST (Baht)'!K$6*'COST (Baht)'!K$15</f>
        <v>0</v>
      </c>
      <c r="L57" s="714">
        <f>Delivery!L57*'COST (Baht)'!L$6*'COST (Baht)'!L$15</f>
        <v>0</v>
      </c>
      <c r="M57" s="714">
        <f>Delivery!M57*'COST (Baht)'!M$6*'COST (Baht)'!M$15</f>
        <v>0</v>
      </c>
      <c r="N57" s="714">
        <f>Delivery!N57*'COST (Baht)'!N$6*'COST (Baht)'!N$15</f>
        <v>0</v>
      </c>
      <c r="O57" s="714">
        <f>Delivery!O57*'COST (Baht)'!O$6*'COST (Baht)'!O$15</f>
        <v>0</v>
      </c>
      <c r="P57" s="714">
        <f>Delivery!P57*'COST (Baht)'!P$6*'COST (Baht)'!P$15</f>
        <v>0</v>
      </c>
      <c r="T57" t="s">
        <v>133</v>
      </c>
      <c r="U57" t="s">
        <v>276</v>
      </c>
      <c r="V57" s="705" t="str">
        <f>IF(Delivery!V57&gt;0,((Delivery!V105*'COST (Baht)'!V105)+('COST (Baht)'!V139*Delivery!V139))/Delivery!V57," ")</f>
        <v xml:space="preserve"> </v>
      </c>
      <c r="W57" s="705" t="str">
        <f>IF(Delivery!W57&gt;0,((Delivery!W105*'COST (Baht)'!W105)+('COST (Baht)'!W139*Delivery!W139))/Delivery!W57," ")</f>
        <v xml:space="preserve"> </v>
      </c>
      <c r="X57" s="705" t="str">
        <f>IF(Delivery!X57&gt;0,((Delivery!X105*'COST (Baht)'!X105)+('COST (Baht)'!X139*Delivery!X139))/Delivery!X57," ")</f>
        <v xml:space="preserve"> </v>
      </c>
      <c r="Y57" s="705" t="str">
        <f>IF(Delivery!Y57&gt;0,((Delivery!Y105*'COST (Baht)'!Y105)+('COST (Baht)'!Y139*Delivery!Y139))/Delivery!Y57," ")</f>
        <v xml:space="preserve"> </v>
      </c>
      <c r="Z57" s="705" t="str">
        <f>IF(Delivery!Z57&gt;0,((Delivery!Z105*'COST (Baht)'!Z105)+('COST (Baht)'!Z139*Delivery!Z139))/Delivery!Z57," ")</f>
        <v xml:space="preserve"> </v>
      </c>
      <c r="AA57" s="705" t="str">
        <f>IF(Delivery!AA57&gt;0,((Delivery!AA105*'COST (Baht)'!AA105)+('COST (Baht)'!AA139*Delivery!AA139))/Delivery!AA57," ")</f>
        <v xml:space="preserve"> </v>
      </c>
      <c r="AB57" s="705" t="str">
        <f>IF(Delivery!AB57&gt;0,((Delivery!AB105*'COST (Baht)'!AB105)+('COST (Baht)'!AB139*Delivery!AB139))/Delivery!AB57," ")</f>
        <v xml:space="preserve"> </v>
      </c>
      <c r="AC57" s="705" t="str">
        <f>IF(Delivery!AC57&gt;0,((Delivery!AC105*'COST (Baht)'!AC105)+('COST (Baht)'!AC139*Delivery!AC139))/Delivery!AC57," ")</f>
        <v xml:space="preserve"> </v>
      </c>
      <c r="AD57" s="705" t="str">
        <f>IF(Delivery!AD57&gt;0,((Delivery!AD105*'COST (Baht)'!AD105)+('COST (Baht)'!AD139*Delivery!AD139))/Delivery!AD57," ")</f>
        <v xml:space="preserve"> </v>
      </c>
      <c r="AE57" s="705" t="str">
        <f>IF(Delivery!AE57&gt;0,((Delivery!AE105*'COST (Baht)'!AE105)+('COST (Baht)'!AE139*Delivery!AE139))/Delivery!AE57," ")</f>
        <v xml:space="preserve"> </v>
      </c>
      <c r="AF57" s="705" t="str">
        <f>IF(Delivery!AF57&gt;0,((Delivery!AF105*'COST (Baht)'!AF105)+('COST (Baht)'!AF139*Delivery!AF139))/Delivery!AF57," ")</f>
        <v xml:space="preserve"> </v>
      </c>
      <c r="AG57" s="705" t="str">
        <f>IF(Delivery!AG57&gt;0,((Delivery!AG105*'COST (Baht)'!AG105)+('COST (Baht)'!AG139*Delivery!AG139))/Delivery!AG57," ")</f>
        <v xml:space="preserve"> </v>
      </c>
      <c r="AK57" t="s">
        <v>133</v>
      </c>
      <c r="AL57" t="s">
        <v>276</v>
      </c>
      <c r="AM57" s="735">
        <f>V105*Delivery!V57*'COST (Baht)'!E$15</f>
        <v>0</v>
      </c>
      <c r="AN57" s="735">
        <f>W105*Delivery!W57*'COST (Baht)'!F$15</f>
        <v>0</v>
      </c>
      <c r="AO57" s="735">
        <f>X105*Delivery!X57*'COST (Baht)'!G$15</f>
        <v>0</v>
      </c>
      <c r="AP57" s="735">
        <f>Y105*Delivery!Y57*'COST (Baht)'!H$15</f>
        <v>0</v>
      </c>
      <c r="AQ57" s="735">
        <f>Z105*Delivery!Z57*'COST (Baht)'!I$15</f>
        <v>0</v>
      </c>
      <c r="AR57" s="735">
        <f>AA105*Delivery!AA57*'COST (Baht)'!J$15</f>
        <v>0</v>
      </c>
      <c r="AS57" s="735">
        <f>AB105*Delivery!AB57*'COST (Baht)'!K$15</f>
        <v>0</v>
      </c>
      <c r="AT57" s="735">
        <f>AC105*Delivery!AC57*'COST (Baht)'!L$15</f>
        <v>0</v>
      </c>
      <c r="AU57" s="735">
        <f>AD105*Delivery!AD57*'COST (Baht)'!M$15</f>
        <v>0</v>
      </c>
      <c r="AV57" s="735">
        <f>AE105*Delivery!AE57*'COST (Baht)'!N$15</f>
        <v>0</v>
      </c>
      <c r="AW57" s="735">
        <f>AF105*Delivery!AF57*'COST (Baht)'!O$15</f>
        <v>0</v>
      </c>
      <c r="AX57" s="735">
        <f>AG105*Delivery!AG57*'COST (Baht)'!P$15</f>
        <v>0</v>
      </c>
    </row>
    <row r="58" spans="1:50" ht="15.5">
      <c r="A58" s="866" t="str">
        <f>Table3[[#This Row],[Product]]</f>
        <v>LPG-P</v>
      </c>
      <c r="B58" s="32" t="s">
        <v>34</v>
      </c>
      <c r="C58" s="37" t="s">
        <v>56</v>
      </c>
      <c r="D58" s="28"/>
      <c r="E58" s="714">
        <f>Delivery!E58*'COST (Baht)'!E$6*'COST (Baht)'!E$15</f>
        <v>0</v>
      </c>
      <c r="F58" s="714">
        <f>Delivery!F58*'COST (Baht)'!F$6*'COST (Baht)'!F$15</f>
        <v>0</v>
      </c>
      <c r="G58" s="714">
        <f>Delivery!G58*'COST (Baht)'!G$6*'COST (Baht)'!G$15</f>
        <v>0</v>
      </c>
      <c r="H58" s="714">
        <f>Delivery!H58*'COST (Baht)'!H$6*'COST (Baht)'!H$15</f>
        <v>0</v>
      </c>
      <c r="I58" s="714">
        <f>Delivery!I58*'COST (Baht)'!I$6*'COST (Baht)'!I$15</f>
        <v>0</v>
      </c>
      <c r="J58" s="714">
        <f>Delivery!J58*'COST (Baht)'!J$6*'COST (Baht)'!J$15</f>
        <v>0</v>
      </c>
      <c r="K58" s="714">
        <f>Delivery!K58*'COST (Baht)'!K$6*'COST (Baht)'!K$15</f>
        <v>0</v>
      </c>
      <c r="L58" s="714">
        <f>Delivery!L58*'COST (Baht)'!L$6*'COST (Baht)'!L$15</f>
        <v>0</v>
      </c>
      <c r="M58" s="714">
        <f>Delivery!M58*'COST (Baht)'!M$6*'COST (Baht)'!M$15</f>
        <v>0</v>
      </c>
      <c r="N58" s="714">
        <f>Delivery!N58*'COST (Baht)'!N$6*'COST (Baht)'!N$15</f>
        <v>0</v>
      </c>
      <c r="O58" s="714">
        <f>Delivery!O58*'COST (Baht)'!O$6*'COST (Baht)'!O$15</f>
        <v>0</v>
      </c>
      <c r="P58" s="714">
        <f>Delivery!P58*'COST (Baht)'!P$6*'COST (Baht)'!P$15</f>
        <v>0</v>
      </c>
      <c r="U58" t="s">
        <v>538</v>
      </c>
      <c r="V58" s="705" t="str">
        <f>IF(Delivery!V58&gt;0,((Delivery!V106*'COST (Baht)'!V106)+('COST (Baht)'!V140*Delivery!V140))/Delivery!V58," ")</f>
        <v xml:space="preserve"> </v>
      </c>
      <c r="W58" s="705" t="str">
        <f>IF(Delivery!W58&gt;0,((Delivery!W106*'COST (Baht)'!W106)+('COST (Baht)'!W140*Delivery!W140))/Delivery!W58," ")</f>
        <v xml:space="preserve"> </v>
      </c>
      <c r="X58" s="705" t="str">
        <f>IF(Delivery!X58&gt;0,((Delivery!X106*'COST (Baht)'!X106)+('COST (Baht)'!X140*Delivery!X140))/Delivery!X58," ")</f>
        <v xml:space="preserve"> </v>
      </c>
      <c r="Y58" s="705" t="str">
        <f>IF(Delivery!Y58&gt;0,((Delivery!Y106*'COST (Baht)'!Y106)+('COST (Baht)'!Y140*Delivery!Y140))/Delivery!Y58," ")</f>
        <v xml:space="preserve"> </v>
      </c>
      <c r="Z58" s="705" t="str">
        <f>IF(Delivery!Z58&gt;0,((Delivery!Z106*'COST (Baht)'!Z106)+('COST (Baht)'!Z140*Delivery!Z140))/Delivery!Z58," ")</f>
        <v xml:space="preserve"> </v>
      </c>
      <c r="AA58" s="705" t="str">
        <f>IF(Delivery!AA58&gt;0,((Delivery!AA106*'COST (Baht)'!AA106)+('COST (Baht)'!AA140*Delivery!AA140))/Delivery!AA58," ")</f>
        <v xml:space="preserve"> </v>
      </c>
      <c r="AB58" s="705" t="str">
        <f>IF(Delivery!AB58&gt;0,((Delivery!AB106*'COST (Baht)'!AB106)+('COST (Baht)'!AB140*Delivery!AB140))/Delivery!AB58," ")</f>
        <v xml:space="preserve"> </v>
      </c>
      <c r="AC58" s="705" t="str">
        <f>IF(Delivery!AC58&gt;0,((Delivery!AC106*'COST (Baht)'!AC106)+('COST (Baht)'!AC140*Delivery!AC140))/Delivery!AC58," ")</f>
        <v xml:space="preserve"> </v>
      </c>
      <c r="AD58" s="705" t="str">
        <f>IF(Delivery!AD58&gt;0,((Delivery!AD106*'COST (Baht)'!AD106)+('COST (Baht)'!AD140*Delivery!AD140))/Delivery!AD58," ")</f>
        <v xml:space="preserve"> </v>
      </c>
      <c r="AE58" s="705" t="str">
        <f>IF(Delivery!AE58&gt;0,((Delivery!AE106*'COST (Baht)'!AE106)+('COST (Baht)'!AE140*Delivery!AE140))/Delivery!AE58," ")</f>
        <v xml:space="preserve"> </v>
      </c>
      <c r="AF58" s="705" t="str">
        <f>IF(Delivery!AF58&gt;0,((Delivery!AF106*'COST (Baht)'!AF106)+('COST (Baht)'!AF140*Delivery!AF140))/Delivery!AF58," ")</f>
        <v xml:space="preserve"> </v>
      </c>
      <c r="AG58" s="705" t="str">
        <f>IF(Delivery!AG58&gt;0,((Delivery!AG106*'COST (Baht)'!AG106)+('COST (Baht)'!AG140*Delivery!AG140))/Delivery!AG58," ")</f>
        <v xml:space="preserve"> </v>
      </c>
      <c r="AL58" t="s">
        <v>538</v>
      </c>
      <c r="AM58" s="735">
        <f>V106*Delivery!V58*'COST (Baht)'!E$15</f>
        <v>0</v>
      </c>
      <c r="AN58" s="735">
        <f>W106*Delivery!W58*'COST (Baht)'!F$15</f>
        <v>0</v>
      </c>
      <c r="AO58" s="735">
        <f>X106*Delivery!X58*'COST (Baht)'!G$15</f>
        <v>0</v>
      </c>
      <c r="AP58" s="735">
        <f>Y106*Delivery!Y58*'COST (Baht)'!H$15</f>
        <v>0</v>
      </c>
      <c r="AQ58" s="735">
        <f>Z106*Delivery!Z58*'COST (Baht)'!I$15</f>
        <v>0</v>
      </c>
      <c r="AR58" s="735">
        <f>AA106*Delivery!AA58*'COST (Baht)'!J$15</f>
        <v>0</v>
      </c>
      <c r="AS58" s="735">
        <f>AB106*Delivery!AB58*'COST (Baht)'!K$15</f>
        <v>0</v>
      </c>
      <c r="AT58" s="735">
        <f>AC106*Delivery!AC58*'COST (Baht)'!L$15</f>
        <v>0</v>
      </c>
      <c r="AU58" s="735">
        <f>AD106*Delivery!AD58*'COST (Baht)'!M$15</f>
        <v>0</v>
      </c>
      <c r="AV58" s="735">
        <f>AE106*Delivery!AE58*'COST (Baht)'!N$15</f>
        <v>0</v>
      </c>
      <c r="AW58" s="735">
        <f>AF106*Delivery!AF58*'COST (Baht)'!O$15</f>
        <v>0</v>
      </c>
      <c r="AX58" s="735">
        <f>AG106*Delivery!AG58*'COST (Baht)'!P$15</f>
        <v>0</v>
      </c>
    </row>
    <row r="59" spans="1:50" ht="15.5">
      <c r="A59" s="866" t="str">
        <f>Table3[[#This Row],[Product]]</f>
        <v>LPG-P</v>
      </c>
      <c r="B59" s="28" t="s">
        <v>25</v>
      </c>
      <c r="C59" s="28" t="s">
        <v>57</v>
      </c>
      <c r="D59" s="28"/>
      <c r="E59" s="714">
        <f>Delivery!E59*'COST (Baht)'!E$6*'COST (Baht)'!E$15</f>
        <v>0</v>
      </c>
      <c r="F59" s="714">
        <f>Delivery!F59*'COST (Baht)'!F$6*'COST (Baht)'!F$15</f>
        <v>0</v>
      </c>
      <c r="G59" s="714">
        <f>Delivery!G59*'COST (Baht)'!G$6*'COST (Baht)'!G$15</f>
        <v>50451245.145719454</v>
      </c>
      <c r="H59" s="714">
        <f>Delivery!H59*'COST (Baht)'!H$6*'COST (Baht)'!H$15</f>
        <v>253820913.32830656</v>
      </c>
      <c r="I59" s="714">
        <f>Delivery!I59*'COST (Baht)'!I$6*'COST (Baht)'!I$15</f>
        <v>238890981.75781897</v>
      </c>
      <c r="J59" s="714">
        <f>Delivery!J59*'COST (Baht)'!J$6*'COST (Baht)'!J$15</f>
        <v>217577771.12506711</v>
      </c>
      <c r="K59" s="714">
        <f>Delivery!K59*'COST (Baht)'!K$6*'COST (Baht)'!K$15</f>
        <v>32313530.685668096</v>
      </c>
      <c r="L59" s="714">
        <f>Delivery!L59*'COST (Baht)'!L$6*'COST (Baht)'!L$15</f>
        <v>32898523.70615533</v>
      </c>
      <c r="M59" s="714">
        <f>Delivery!M59*'COST (Baht)'!M$6*'COST (Baht)'!M$15</f>
        <v>32791634.626467414</v>
      </c>
      <c r="N59" s="714">
        <f>Delivery!N59*'COST (Baht)'!N$6*'COST (Baht)'!N$15</f>
        <v>34048373.495515123</v>
      </c>
      <c r="O59" s="714">
        <f>Delivery!O59*'COST (Baht)'!O$6*'COST (Baht)'!O$15</f>
        <v>34170497.059666798</v>
      </c>
      <c r="P59" s="714">
        <f>Delivery!P59*'COST (Baht)'!P$6*'COST (Baht)'!P$15</f>
        <v>34208023.914215147</v>
      </c>
      <c r="T59" t="s">
        <v>230</v>
      </c>
      <c r="U59" t="s">
        <v>276</v>
      </c>
      <c r="V59" s="705" t="str">
        <f>IF(Delivery!V59&gt;0,((Delivery!V107*'COST (Baht)'!V107)+('COST (Baht)'!V141*Delivery!V141))/Delivery!V59," ")</f>
        <v xml:space="preserve"> </v>
      </c>
      <c r="W59" s="705" t="str">
        <f>IF(Delivery!W59&gt;0,((Delivery!W107*'COST (Baht)'!W107)+('COST (Baht)'!W141*Delivery!W141))/Delivery!W59," ")</f>
        <v xml:space="preserve"> </v>
      </c>
      <c r="X59" s="705" t="str">
        <f>IF(Delivery!X59&gt;0,((Delivery!X107*'COST (Baht)'!X107)+('COST (Baht)'!X141*Delivery!X141))/Delivery!X59," ")</f>
        <v xml:space="preserve"> </v>
      </c>
      <c r="Y59" s="705" t="str">
        <f>IF(Delivery!Y59&gt;0,((Delivery!Y107*'COST (Baht)'!Y107)+('COST (Baht)'!Y141*Delivery!Y141))/Delivery!Y59," ")</f>
        <v xml:space="preserve"> </v>
      </c>
      <c r="Z59" s="705" t="str">
        <f>IF(Delivery!Z59&gt;0,((Delivery!Z107*'COST (Baht)'!Z107)+('COST (Baht)'!Z141*Delivery!Z141))/Delivery!Z59," ")</f>
        <v xml:space="preserve"> </v>
      </c>
      <c r="AA59" s="705" t="str">
        <f>IF(Delivery!AA59&gt;0,((Delivery!AA107*'COST (Baht)'!AA107)+('COST (Baht)'!AA141*Delivery!AA141))/Delivery!AA59," ")</f>
        <v xml:space="preserve"> </v>
      </c>
      <c r="AB59" s="705" t="str">
        <f>IF(Delivery!AB59&gt;0,((Delivery!AB107*'COST (Baht)'!AB107)+('COST (Baht)'!AB141*Delivery!AB141))/Delivery!AB59," ")</f>
        <v xml:space="preserve"> </v>
      </c>
      <c r="AC59" s="705" t="str">
        <f>IF(Delivery!AC59&gt;0,((Delivery!AC107*'COST (Baht)'!AC107)+('COST (Baht)'!AC141*Delivery!AC141))/Delivery!AC59," ")</f>
        <v xml:space="preserve"> </v>
      </c>
      <c r="AD59" s="705" t="str">
        <f>IF(Delivery!AD59&gt;0,((Delivery!AD107*'COST (Baht)'!AD107)+('COST (Baht)'!AD141*Delivery!AD141))/Delivery!AD59," ")</f>
        <v xml:space="preserve"> </v>
      </c>
      <c r="AE59" s="705" t="str">
        <f>IF(Delivery!AE59&gt;0,((Delivery!AE107*'COST (Baht)'!AE107)+('COST (Baht)'!AE141*Delivery!AE141))/Delivery!AE59," ")</f>
        <v xml:space="preserve"> </v>
      </c>
      <c r="AF59" s="705" t="str">
        <f>IF(Delivery!AF59&gt;0,((Delivery!AF107*'COST (Baht)'!AF107)+('COST (Baht)'!AF141*Delivery!AF141))/Delivery!AF59," ")</f>
        <v xml:space="preserve"> </v>
      </c>
      <c r="AG59" s="705" t="str">
        <f>IF(Delivery!AG59&gt;0,((Delivery!AG107*'COST (Baht)'!AG107)+('COST (Baht)'!AG141*Delivery!AG141))/Delivery!AG59," ")</f>
        <v xml:space="preserve"> </v>
      </c>
      <c r="AK59" t="s">
        <v>230</v>
      </c>
      <c r="AL59" t="s">
        <v>276</v>
      </c>
      <c r="AM59" s="735">
        <f>V107*Delivery!V59*'COST (Baht)'!E$15</f>
        <v>0</v>
      </c>
      <c r="AN59" s="735">
        <f>W107*Delivery!W59*'COST (Baht)'!F$15</f>
        <v>0</v>
      </c>
      <c r="AO59" s="735">
        <f>X107*Delivery!X59*'COST (Baht)'!G$15</f>
        <v>0</v>
      </c>
      <c r="AP59" s="735">
        <f>Y107*Delivery!Y59*'COST (Baht)'!H$15</f>
        <v>0</v>
      </c>
      <c r="AQ59" s="735">
        <f>Z107*Delivery!Z59*'COST (Baht)'!I$15</f>
        <v>0</v>
      </c>
      <c r="AR59" s="735">
        <f>AA107*Delivery!AA59*'COST (Baht)'!J$15</f>
        <v>0</v>
      </c>
      <c r="AS59" s="735">
        <f>AB107*Delivery!AB59*'COST (Baht)'!K$15</f>
        <v>0</v>
      </c>
      <c r="AT59" s="735">
        <f>AC107*Delivery!AC59*'COST (Baht)'!L$15</f>
        <v>0</v>
      </c>
      <c r="AU59" s="735">
        <f>AD107*Delivery!AD59*'COST (Baht)'!M$15</f>
        <v>0</v>
      </c>
      <c r="AV59" s="735">
        <f>AE107*Delivery!AE59*'COST (Baht)'!N$15</f>
        <v>0</v>
      </c>
      <c r="AW59" s="735">
        <f>AF107*Delivery!AF59*'COST (Baht)'!O$15</f>
        <v>0</v>
      </c>
      <c r="AX59" s="735">
        <f>AG107*Delivery!AG59*'COST (Baht)'!P$15</f>
        <v>0</v>
      </c>
    </row>
    <row r="60" spans="1:50" ht="15.5">
      <c r="A60" s="866" t="str">
        <f>Table3[[#This Row],[Product]]</f>
        <v>LPG-P</v>
      </c>
      <c r="B60" s="28" t="s">
        <v>25</v>
      </c>
      <c r="C60" s="28" t="s">
        <v>58</v>
      </c>
      <c r="D60" s="28"/>
      <c r="E60" s="714">
        <f>Table4[[#This Row],[ม.ค.-64]]*'COST (Baht)'!E$6*'COST (Baht)'!E$15</f>
        <v>0</v>
      </c>
      <c r="F60" s="714">
        <f>Table4[[#This Row],[ก.พ.-64]]*'COST (Baht)'!F$6*'COST (Baht)'!F$15</f>
        <v>0</v>
      </c>
      <c r="G60" s="714">
        <f>Table4[[#This Row],[มี.ค.-64]]*'COST (Baht)'!G$6*'COST (Baht)'!G$15</f>
        <v>0</v>
      </c>
      <c r="H60" s="714">
        <f>Table4[[#This Row],[เม.ย.-64]]*'COST (Baht)'!H$6*'COST (Baht)'!H$15</f>
        <v>0</v>
      </c>
      <c r="I60" s="714">
        <f>Table4[[#This Row],[พ.ค.-64]]*'COST (Baht)'!I$6*'COST (Baht)'!I$15</f>
        <v>0</v>
      </c>
      <c r="J60" s="714">
        <f>Table4[[#This Row],[มิ.ย.-64]]*'COST (Baht)'!J$6*'COST (Baht)'!J$15</f>
        <v>0</v>
      </c>
      <c r="K60" s="714">
        <f>Table4[[#This Row],[ก.ค.-64]]*'COST (Baht)'!K$6*'COST (Baht)'!K$15</f>
        <v>0</v>
      </c>
      <c r="L60" s="714">
        <f>Table4[[#This Row],[ส.ค.-64]]*'COST (Baht)'!L$6*'COST (Baht)'!L$15</f>
        <v>0</v>
      </c>
      <c r="M60" s="714">
        <f>Table4[[#This Row],[ก.ย.-64]]*'COST (Baht)'!M$6*'COST (Baht)'!M$15</f>
        <v>0</v>
      </c>
      <c r="N60" s="714">
        <f>Table4[[#This Row],[ต.ค.-64]]*'COST (Baht)'!N$6*'COST (Baht)'!N$15</f>
        <v>0</v>
      </c>
      <c r="O60" s="714">
        <f>Table4[[#This Row],[พ.ย.-64]]*'COST (Baht)'!O$6*'COST (Baht)'!O$15</f>
        <v>0</v>
      </c>
      <c r="P60" s="714">
        <f>Table4[[#This Row],[ก.พ.-64]]*'COST (Baht)'!P$6*'COST (Baht)'!P$15</f>
        <v>0</v>
      </c>
      <c r="U60" t="s">
        <v>538</v>
      </c>
      <c r="V60" s="705" t="str">
        <f>IF(Delivery!V60&gt;0,((Delivery!V108*'COST (Baht)'!V108)+('COST (Baht)'!V142*Delivery!V142))/Delivery!V60," ")</f>
        <v xml:space="preserve"> </v>
      </c>
      <c r="W60" s="705" t="str">
        <f>IF(Delivery!W60&gt;0,((Delivery!W108*'COST (Baht)'!W108)+('COST (Baht)'!W142*Delivery!W142))/Delivery!W60," ")</f>
        <v xml:space="preserve"> </v>
      </c>
      <c r="X60" s="705" t="str">
        <f>IF(Delivery!X60&gt;0,((Delivery!X108*'COST (Baht)'!X108)+('COST (Baht)'!X142*Delivery!X142))/Delivery!X60," ")</f>
        <v xml:space="preserve"> </v>
      </c>
      <c r="Y60" s="705" t="str">
        <f>IF(Delivery!Y60&gt;0,((Delivery!Y108*'COST (Baht)'!Y108)+('COST (Baht)'!Y142*Delivery!Y142))/Delivery!Y60," ")</f>
        <v xml:space="preserve"> </v>
      </c>
      <c r="Z60" s="705" t="str">
        <f>IF(Delivery!Z60&gt;0,((Delivery!Z108*'COST (Baht)'!Z108)+('COST (Baht)'!Z142*Delivery!Z142))/Delivery!Z60," ")</f>
        <v xml:space="preserve"> </v>
      </c>
      <c r="AA60" s="705" t="str">
        <f>IF(Delivery!AA60&gt;0,((Delivery!AA108*'COST (Baht)'!AA108)+('COST (Baht)'!AA142*Delivery!AA142))/Delivery!AA60," ")</f>
        <v xml:space="preserve"> </v>
      </c>
      <c r="AB60" s="705" t="str">
        <f>IF(Delivery!AB60&gt;0,((Delivery!AB108*'COST (Baht)'!AB108)+('COST (Baht)'!AB142*Delivery!AB142))/Delivery!AB60," ")</f>
        <v xml:space="preserve"> </v>
      </c>
      <c r="AC60" s="705" t="str">
        <f>IF(Delivery!AC60&gt;0,((Delivery!AC108*'COST (Baht)'!AC108)+('COST (Baht)'!AC142*Delivery!AC142))/Delivery!AC60," ")</f>
        <v xml:space="preserve"> </v>
      </c>
      <c r="AD60" s="705" t="str">
        <f>IF(Delivery!AD60&gt;0,((Delivery!AD108*'COST (Baht)'!AD108)+('COST (Baht)'!AD142*Delivery!AD142))/Delivery!AD60," ")</f>
        <v xml:space="preserve"> </v>
      </c>
      <c r="AE60" s="705" t="str">
        <f>IF(Delivery!AE60&gt;0,((Delivery!AE108*'COST (Baht)'!AE108)+('COST (Baht)'!AE142*Delivery!AE142))/Delivery!AE60," ")</f>
        <v xml:space="preserve"> </v>
      </c>
      <c r="AF60" s="705" t="str">
        <f>IF(Delivery!AF60&gt;0,((Delivery!AF108*'COST (Baht)'!AF108)+('COST (Baht)'!AF142*Delivery!AF142))/Delivery!AF60," ")</f>
        <v xml:space="preserve"> </v>
      </c>
      <c r="AG60" s="705" t="str">
        <f>IF(Delivery!AG60&gt;0,((Delivery!AG108*'COST (Baht)'!AG108)+('COST (Baht)'!AG142*Delivery!AG142))/Delivery!AG60," ")</f>
        <v xml:space="preserve"> </v>
      </c>
      <c r="AL60" t="s">
        <v>538</v>
      </c>
      <c r="AM60" s="735">
        <f>V108*Delivery!V60*'COST (Baht)'!E$15</f>
        <v>0</v>
      </c>
      <c r="AN60" s="735">
        <f>W108*Delivery!W60*'COST (Baht)'!F$15</f>
        <v>0</v>
      </c>
      <c r="AO60" s="735">
        <f>X108*Delivery!X60*'COST (Baht)'!G$15</f>
        <v>0</v>
      </c>
      <c r="AP60" s="735">
        <f>Y108*Delivery!Y60*'COST (Baht)'!H$15</f>
        <v>0</v>
      </c>
      <c r="AQ60" s="735">
        <f>Z108*Delivery!Z60*'COST (Baht)'!I$15</f>
        <v>0</v>
      </c>
      <c r="AR60" s="735">
        <f>AA108*Delivery!AA60*'COST (Baht)'!J$15</f>
        <v>0</v>
      </c>
      <c r="AS60" s="735">
        <f>AB108*Delivery!AB60*'COST (Baht)'!K$15</f>
        <v>0</v>
      </c>
      <c r="AT60" s="735">
        <f>AC108*Delivery!AC60*'COST (Baht)'!L$15</f>
        <v>0</v>
      </c>
      <c r="AU60" s="735">
        <f>AD108*Delivery!AD60*'COST (Baht)'!M$15</f>
        <v>0</v>
      </c>
      <c r="AV60" s="735">
        <f>AE108*Delivery!AE60*'COST (Baht)'!N$15</f>
        <v>0</v>
      </c>
      <c r="AW60" s="735">
        <f>AF108*Delivery!AF60*'COST (Baht)'!O$15</f>
        <v>0</v>
      </c>
      <c r="AX60" s="735">
        <f>AG108*Delivery!AG60*'COST (Baht)'!P$15</f>
        <v>0</v>
      </c>
    </row>
    <row r="61" spans="1:50" ht="15.5">
      <c r="A61" s="866" t="str">
        <f>Table3[[#This Row],[Product]]</f>
        <v>LPG-P</v>
      </c>
      <c r="B61" s="28" t="s">
        <v>25</v>
      </c>
      <c r="C61" s="28" t="s">
        <v>59</v>
      </c>
      <c r="D61" s="28"/>
      <c r="E61" s="714">
        <f>Table4[[#This Row],[ม.ค.-64]]*'COST (Baht)'!E$6*'COST (Baht)'!E$15</f>
        <v>0</v>
      </c>
      <c r="F61" s="714">
        <f>Table4[[#This Row],[ก.พ.-64]]*'COST (Baht)'!F$6*'COST (Baht)'!F$15</f>
        <v>0</v>
      </c>
      <c r="G61" s="714">
        <f>Table4[[#This Row],[มี.ค.-64]]*'COST (Baht)'!G$6*'COST (Baht)'!G$15</f>
        <v>0</v>
      </c>
      <c r="H61" s="714">
        <f>Table4[[#This Row],[เม.ย.-64]]*'COST (Baht)'!H$6*'COST (Baht)'!H$15</f>
        <v>0</v>
      </c>
      <c r="I61" s="714">
        <f>Table4[[#This Row],[พ.ค.-64]]*'COST (Baht)'!I$6*'COST (Baht)'!I$15</f>
        <v>0</v>
      </c>
      <c r="J61" s="714">
        <f>Table4[[#This Row],[มิ.ย.-64]]*'COST (Baht)'!J$6*'COST (Baht)'!J$15</f>
        <v>0</v>
      </c>
      <c r="K61" s="714">
        <f>Table4[[#This Row],[ก.ค.-64]]*'COST (Baht)'!K$6*'COST (Baht)'!K$15</f>
        <v>0</v>
      </c>
      <c r="L61" s="714">
        <f>Table4[[#This Row],[ส.ค.-64]]*'COST (Baht)'!L$6*'COST (Baht)'!L$15</f>
        <v>0</v>
      </c>
      <c r="M61" s="714">
        <f>Table4[[#This Row],[ก.ย.-64]]*'COST (Baht)'!M$6*'COST (Baht)'!M$15</f>
        <v>0</v>
      </c>
      <c r="N61" s="714">
        <f>Table4[[#This Row],[ต.ค.-64]]*'COST (Baht)'!N$6*'COST (Baht)'!N$15</f>
        <v>0</v>
      </c>
      <c r="O61" s="714">
        <f>Table4[[#This Row],[พ.ย.-64]]*'COST (Baht)'!O$6*'COST (Baht)'!O$15</f>
        <v>0</v>
      </c>
      <c r="P61" s="714">
        <f>Table4[[#This Row],[ก.พ.-64]]*'COST (Baht)'!P$6*'COST (Baht)'!P$15</f>
        <v>0</v>
      </c>
      <c r="T61" t="s">
        <v>231</v>
      </c>
      <c r="U61" t="s">
        <v>276</v>
      </c>
      <c r="V61" s="705" t="str">
        <f>IF(Delivery!V61&gt;0,((Delivery!V109*'COST (Baht)'!V109)+('COST (Baht)'!V143*Delivery!V143))/Delivery!V61," ")</f>
        <v xml:space="preserve"> </v>
      </c>
      <c r="W61" s="705" t="str">
        <f>IF(Delivery!W61&gt;0,((Delivery!W109*'COST (Baht)'!W109)+('COST (Baht)'!W143*Delivery!W143))/Delivery!W61," ")</f>
        <v xml:space="preserve"> </v>
      </c>
      <c r="X61" s="705" t="str">
        <f>IF(Delivery!X61&gt;0,((Delivery!X109*'COST (Baht)'!X109)+('COST (Baht)'!X143*Delivery!X143))/Delivery!X61," ")</f>
        <v xml:space="preserve"> </v>
      </c>
      <c r="Y61" s="705" t="str">
        <f>IF(Delivery!Y61&gt;0,((Delivery!Y109*'COST (Baht)'!Y109)+('COST (Baht)'!Y143*Delivery!Y143))/Delivery!Y61," ")</f>
        <v xml:space="preserve"> </v>
      </c>
      <c r="Z61" s="705" t="str">
        <f>IF(Delivery!Z61&gt;0,((Delivery!Z109*'COST (Baht)'!Z109)+('COST (Baht)'!Z143*Delivery!Z143))/Delivery!Z61," ")</f>
        <v xml:space="preserve"> </v>
      </c>
      <c r="AA61" s="705" t="str">
        <f>IF(Delivery!AA61&gt;0,((Delivery!AA109*'COST (Baht)'!AA109)+('COST (Baht)'!AA143*Delivery!AA143))/Delivery!AA61," ")</f>
        <v xml:space="preserve"> </v>
      </c>
      <c r="AB61" s="705" t="str">
        <f>IF(Delivery!AB61&gt;0,((Delivery!AB109*'COST (Baht)'!AB109)+('COST (Baht)'!AB143*Delivery!AB143))/Delivery!AB61," ")</f>
        <v xml:space="preserve"> </v>
      </c>
      <c r="AC61" s="705" t="str">
        <f>IF(Delivery!AC61&gt;0,((Delivery!AC109*'COST (Baht)'!AC109)+('COST (Baht)'!AC143*Delivery!AC143))/Delivery!AC61," ")</f>
        <v xml:space="preserve"> </v>
      </c>
      <c r="AD61" s="705" t="str">
        <f>IF(Delivery!AD61&gt;0,((Delivery!AD109*'COST (Baht)'!AD109)+('COST (Baht)'!AD143*Delivery!AD143))/Delivery!AD61," ")</f>
        <v xml:space="preserve"> </v>
      </c>
      <c r="AE61" s="705" t="str">
        <f>IF(Delivery!AE61&gt;0,((Delivery!AE109*'COST (Baht)'!AE109)+('COST (Baht)'!AE143*Delivery!AE143))/Delivery!AE61," ")</f>
        <v xml:space="preserve"> </v>
      </c>
      <c r="AF61" s="705" t="str">
        <f>IF(Delivery!AF61&gt;0,((Delivery!AF109*'COST (Baht)'!AF109)+('COST (Baht)'!AF143*Delivery!AF143))/Delivery!AF61," ")</f>
        <v xml:space="preserve"> </v>
      </c>
      <c r="AG61" s="705" t="str">
        <f>IF(Delivery!AG61&gt;0,((Delivery!AG109*'COST (Baht)'!AG109)+('COST (Baht)'!AG143*Delivery!AG143))/Delivery!AG61," ")</f>
        <v xml:space="preserve"> </v>
      </c>
      <c r="AK61" t="s">
        <v>231</v>
      </c>
      <c r="AL61" t="s">
        <v>276</v>
      </c>
      <c r="AM61" s="735">
        <f>V109*Delivery!V61*'COST (Baht)'!E$15</f>
        <v>0</v>
      </c>
      <c r="AN61" s="735">
        <f>W109*Delivery!W61*'COST (Baht)'!F$15</f>
        <v>0</v>
      </c>
      <c r="AO61" s="735">
        <f>X109*Delivery!X61*'COST (Baht)'!G$15</f>
        <v>0</v>
      </c>
      <c r="AP61" s="735">
        <f>Y109*Delivery!Y61*'COST (Baht)'!H$15</f>
        <v>0</v>
      </c>
      <c r="AQ61" s="735">
        <f>Z109*Delivery!Z61*'COST (Baht)'!I$15</f>
        <v>0</v>
      </c>
      <c r="AR61" s="735">
        <f>AA109*Delivery!AA61*'COST (Baht)'!J$15</f>
        <v>0</v>
      </c>
      <c r="AS61" s="735">
        <f>AB109*Delivery!AB61*'COST (Baht)'!K$15</f>
        <v>0</v>
      </c>
      <c r="AT61" s="735">
        <f>AC109*Delivery!AC61*'COST (Baht)'!L$15</f>
        <v>0</v>
      </c>
      <c r="AU61" s="735">
        <f>AD109*Delivery!AD61*'COST (Baht)'!M$15</f>
        <v>0</v>
      </c>
      <c r="AV61" s="735">
        <f>AE109*Delivery!AE61*'COST (Baht)'!N$15</f>
        <v>0</v>
      </c>
      <c r="AW61" s="735">
        <f>AF109*Delivery!AF61*'COST (Baht)'!O$15</f>
        <v>0</v>
      </c>
      <c r="AX61" s="735">
        <f>AG109*Delivery!AG61*'COST (Baht)'!P$15</f>
        <v>0</v>
      </c>
    </row>
    <row r="62" spans="1:50" ht="15.5">
      <c r="A62" s="866" t="str">
        <f>Table3[[#This Row],[Product]]</f>
        <v>LPG-P</v>
      </c>
      <c r="B62" s="32" t="s">
        <v>34</v>
      </c>
      <c r="C62" s="28" t="s">
        <v>60</v>
      </c>
      <c r="D62" s="28"/>
      <c r="E62" s="714">
        <f>Table4[[#This Row],[ม.ค.-64]]*'COST (Baht)'!E$6*'COST (Baht)'!E$15</f>
        <v>0</v>
      </c>
      <c r="F62" s="714">
        <f>Table4[[#This Row],[ก.พ.-64]]*'COST (Baht)'!F$6*'COST (Baht)'!F$15</f>
        <v>174780885.76468363</v>
      </c>
      <c r="G62" s="714">
        <f>Table4[[#This Row],[มี.ค.-64]]*'COST (Baht)'!G$6*'COST (Baht)'!G$15</f>
        <v>0</v>
      </c>
      <c r="H62" s="714">
        <f>Table4[[#This Row],[เม.ย.-64]]*'COST (Baht)'!H$6*'COST (Baht)'!H$15</f>
        <v>65409163.570846744</v>
      </c>
      <c r="I62" s="714">
        <f>Table4[[#This Row],[พ.ค.-64]]*'COST (Baht)'!I$6*'COST (Baht)'!I$15</f>
        <v>86089279.46933955</v>
      </c>
      <c r="J62" s="714">
        <f>Table4[[#This Row],[มิ.ย.-64]]*'COST (Baht)'!J$6*'COST (Baht)'!J$15</f>
        <v>0</v>
      </c>
      <c r="K62" s="714">
        <f>Table4[[#This Row],[ก.ค.-64]]*'COST (Baht)'!K$6*'COST (Baht)'!K$15</f>
        <v>0</v>
      </c>
      <c r="L62" s="714">
        <f>Table4[[#This Row],[ส.ค.-64]]*'COST (Baht)'!L$6*'COST (Baht)'!L$15</f>
        <v>0</v>
      </c>
      <c r="M62" s="714">
        <f>Table4[[#This Row],[ก.ย.-64]]*'COST (Baht)'!M$6*'COST (Baht)'!M$15</f>
        <v>0</v>
      </c>
      <c r="N62" s="714">
        <f>Table4[[#This Row],[ต.ค.-64]]*'COST (Baht)'!N$6*'COST (Baht)'!N$15</f>
        <v>0</v>
      </c>
      <c r="O62" s="714">
        <f>Table4[[#This Row],[พ.ย.-64]]*'COST (Baht)'!O$6*'COST (Baht)'!O$15</f>
        <v>0</v>
      </c>
      <c r="P62" s="714">
        <f>Table4[[#This Row],[ก.พ.-64]]*'COST (Baht)'!P$6*'COST (Baht)'!P$15</f>
        <v>204077328.25612831</v>
      </c>
      <c r="U62" t="s">
        <v>538</v>
      </c>
      <c r="V62" s="705" t="str">
        <f>IF(Delivery!V62&gt;0,((Delivery!V110*'COST (Baht)'!V110)+('COST (Baht)'!V144*Delivery!V144))/Delivery!V62," ")</f>
        <v xml:space="preserve"> </v>
      </c>
      <c r="W62" s="705" t="str">
        <f>IF(Delivery!W62&gt;0,((Delivery!W110*'COST (Baht)'!W110)+('COST (Baht)'!W144*Delivery!W144))/Delivery!W62," ")</f>
        <v xml:space="preserve"> </v>
      </c>
      <c r="X62" s="705" t="str">
        <f>IF(Delivery!X62&gt;0,((Delivery!X110*'COST (Baht)'!X110)+('COST (Baht)'!X144*Delivery!X144))/Delivery!X62," ")</f>
        <v xml:space="preserve"> </v>
      </c>
      <c r="Y62" s="705" t="str">
        <f>IF(Delivery!Y62&gt;0,((Delivery!Y110*'COST (Baht)'!Y110)+('COST (Baht)'!Y144*Delivery!Y144))/Delivery!Y62," ")</f>
        <v xml:space="preserve"> </v>
      </c>
      <c r="Z62" s="705" t="str">
        <f>IF(Delivery!Z62&gt;0,((Delivery!Z110*'COST (Baht)'!Z110)+('COST (Baht)'!Z144*Delivery!Z144))/Delivery!Z62," ")</f>
        <v xml:space="preserve"> </v>
      </c>
      <c r="AA62" s="705" t="str">
        <f>IF(Delivery!AA62&gt;0,((Delivery!AA110*'COST (Baht)'!AA110)+('COST (Baht)'!AA144*Delivery!AA144))/Delivery!AA62," ")</f>
        <v xml:space="preserve"> </v>
      </c>
      <c r="AB62" s="705" t="str">
        <f>IF(Delivery!AB62&gt;0,((Delivery!AB110*'COST (Baht)'!AB110)+('COST (Baht)'!AB144*Delivery!AB144))/Delivery!AB62," ")</f>
        <v xml:space="preserve"> </v>
      </c>
      <c r="AC62" s="705" t="str">
        <f>IF(Delivery!AC62&gt;0,((Delivery!AC110*'COST (Baht)'!AC110)+('COST (Baht)'!AC144*Delivery!AC144))/Delivery!AC62," ")</f>
        <v xml:space="preserve"> </v>
      </c>
      <c r="AD62" s="705" t="str">
        <f>IF(Delivery!AD62&gt;0,((Delivery!AD110*'COST (Baht)'!AD110)+('COST (Baht)'!AD144*Delivery!AD144))/Delivery!AD62," ")</f>
        <v xml:space="preserve"> </v>
      </c>
      <c r="AE62" s="705" t="str">
        <f>IF(Delivery!AE62&gt;0,((Delivery!AE110*'COST (Baht)'!AE110)+('COST (Baht)'!AE144*Delivery!AE144))/Delivery!AE62," ")</f>
        <v xml:space="preserve"> </v>
      </c>
      <c r="AF62" s="705" t="str">
        <f>IF(Delivery!AF62&gt;0,((Delivery!AF110*'COST (Baht)'!AF110)+('COST (Baht)'!AF144*Delivery!AF144))/Delivery!AF62," ")</f>
        <v xml:space="preserve"> </v>
      </c>
      <c r="AG62" s="705" t="str">
        <f>IF(Delivery!AG62&gt;0,((Delivery!AG110*'COST (Baht)'!AG110)+('COST (Baht)'!AG144*Delivery!AG144))/Delivery!AG62," ")</f>
        <v xml:space="preserve"> </v>
      </c>
      <c r="AL62" t="s">
        <v>538</v>
      </c>
      <c r="AM62" s="735">
        <f>V110*Delivery!V62*'COST (Baht)'!E$15</f>
        <v>0</v>
      </c>
      <c r="AN62" s="735">
        <f>W110*Delivery!W62*'COST (Baht)'!F$15</f>
        <v>0</v>
      </c>
      <c r="AO62" s="735">
        <f>X110*Delivery!X62*'COST (Baht)'!G$15</f>
        <v>0</v>
      </c>
      <c r="AP62" s="735">
        <f>Y110*Delivery!Y62*'COST (Baht)'!H$15</f>
        <v>0</v>
      </c>
      <c r="AQ62" s="735">
        <f>Z110*Delivery!Z62*'COST (Baht)'!I$15</f>
        <v>0</v>
      </c>
      <c r="AR62" s="735">
        <f>AA110*Delivery!AA62*'COST (Baht)'!J$15</f>
        <v>0</v>
      </c>
      <c r="AS62" s="735">
        <f>AB110*Delivery!AB62*'COST (Baht)'!K$15</f>
        <v>0</v>
      </c>
      <c r="AT62" s="735">
        <f>AC110*Delivery!AC62*'COST (Baht)'!L$15</f>
        <v>0</v>
      </c>
      <c r="AU62" s="735">
        <f>AD110*Delivery!AD62*'COST (Baht)'!M$15</f>
        <v>0</v>
      </c>
      <c r="AV62" s="735">
        <f>AE110*Delivery!AE62*'COST (Baht)'!N$15</f>
        <v>0</v>
      </c>
      <c r="AW62" s="735">
        <f>AF110*Delivery!AF62*'COST (Baht)'!O$15</f>
        <v>0</v>
      </c>
      <c r="AX62" s="735">
        <f>AG110*Delivery!AG62*'COST (Baht)'!P$15</f>
        <v>0</v>
      </c>
    </row>
    <row r="63" spans="1:50" ht="15.5">
      <c r="A63" s="866" t="str">
        <f>Table3[[#This Row],[Product]]</f>
        <v>LPG-P</v>
      </c>
      <c r="B63" s="28" t="s">
        <v>25</v>
      </c>
      <c r="C63" s="28" t="s">
        <v>61</v>
      </c>
      <c r="D63" s="28"/>
      <c r="E63" s="714">
        <f>Delivery!E63*'COST (Baht)'!E$6*'COST (Baht)'!E$15</f>
        <v>0</v>
      </c>
      <c r="F63" s="714">
        <f>Delivery!F63*'COST (Baht)'!F$6*'COST (Baht)'!F$15</f>
        <v>0</v>
      </c>
      <c r="G63" s="714">
        <f>Delivery!G63*'COST (Baht)'!G$6*'COST (Baht)'!G$15</f>
        <v>0</v>
      </c>
      <c r="H63" s="714">
        <f>Delivery!H63*'COST (Baht)'!H$6*'COST (Baht)'!H$15</f>
        <v>0</v>
      </c>
      <c r="I63" s="714">
        <f>Delivery!I63*'COST (Baht)'!I$6*'COST (Baht)'!I$15</f>
        <v>0</v>
      </c>
      <c r="J63" s="714">
        <f>Delivery!J63*'COST (Baht)'!J$6*'COST (Baht)'!J$15</f>
        <v>0</v>
      </c>
      <c r="K63" s="714">
        <f>Delivery!K63*'COST (Baht)'!K$6*'COST (Baht)'!K$15</f>
        <v>0</v>
      </c>
      <c r="L63" s="714">
        <f>Delivery!L63*'COST (Baht)'!L$6*'COST (Baht)'!L$15</f>
        <v>0</v>
      </c>
      <c r="M63" s="714">
        <f>Delivery!M63*'COST (Baht)'!M$6*'COST (Baht)'!M$15</f>
        <v>0</v>
      </c>
      <c r="N63" s="714">
        <f>Delivery!N63*'COST (Baht)'!N$6*'COST (Baht)'!N$15</f>
        <v>0</v>
      </c>
      <c r="O63" s="714">
        <f>Delivery!O63*'COST (Baht)'!O$6*'COST (Baht)'!O$15</f>
        <v>0</v>
      </c>
      <c r="P63" s="714">
        <f>Delivery!P63*'COST (Baht)'!P$6*'COST (Baht)'!P$15</f>
        <v>0</v>
      </c>
      <c r="T63" t="s">
        <v>232</v>
      </c>
      <c r="U63" t="s">
        <v>276</v>
      </c>
      <c r="V63" s="705" t="str">
        <f>IF(Delivery!V63&gt;0,((Delivery!V111*'COST (Baht)'!V111)+('COST (Baht)'!V145*Delivery!V145))/Delivery!V63," ")</f>
        <v xml:space="preserve"> </v>
      </c>
      <c r="W63" s="705" t="str">
        <f>IF(Delivery!W63&gt;0,((Delivery!W111*'COST (Baht)'!W111)+('COST (Baht)'!W145*Delivery!W145))/Delivery!W63," ")</f>
        <v xml:space="preserve"> </v>
      </c>
      <c r="X63" s="705" t="str">
        <f>IF(Delivery!X63&gt;0,((Delivery!X111*'COST (Baht)'!X111)+('COST (Baht)'!X145*Delivery!X145))/Delivery!X63," ")</f>
        <v xml:space="preserve"> </v>
      </c>
      <c r="Y63" s="705" t="str">
        <f>IF(Delivery!Y63&gt;0,((Delivery!Y111*'COST (Baht)'!Y111)+('COST (Baht)'!Y145*Delivery!Y145))/Delivery!Y63," ")</f>
        <v xml:space="preserve"> </v>
      </c>
      <c r="Z63" s="705" t="str">
        <f>IF(Delivery!Z63&gt;0,((Delivery!Z111*'COST (Baht)'!Z111)+('COST (Baht)'!Z145*Delivery!Z145))/Delivery!Z63," ")</f>
        <v xml:space="preserve"> </v>
      </c>
      <c r="AA63" s="705" t="str">
        <f>IF(Delivery!AA63&gt;0,((Delivery!AA111*'COST (Baht)'!AA111)+('COST (Baht)'!AA145*Delivery!AA145))/Delivery!AA63," ")</f>
        <v xml:space="preserve"> </v>
      </c>
      <c r="AB63" s="705" t="str">
        <f>IF(Delivery!AB63&gt;0,((Delivery!AB111*'COST (Baht)'!AB111)+('COST (Baht)'!AB145*Delivery!AB145))/Delivery!AB63," ")</f>
        <v xml:space="preserve"> </v>
      </c>
      <c r="AC63" s="705" t="str">
        <f>IF(Delivery!AC63&gt;0,((Delivery!AC111*'COST (Baht)'!AC111)+('COST (Baht)'!AC145*Delivery!AC145))/Delivery!AC63," ")</f>
        <v xml:space="preserve"> </v>
      </c>
      <c r="AD63" s="705" t="str">
        <f>IF(Delivery!AD63&gt;0,((Delivery!AD111*'COST (Baht)'!AD111)+('COST (Baht)'!AD145*Delivery!AD145))/Delivery!AD63," ")</f>
        <v xml:space="preserve"> </v>
      </c>
      <c r="AE63" s="705" t="str">
        <f>IF(Delivery!AE63&gt;0,((Delivery!AE111*'COST (Baht)'!AE111)+('COST (Baht)'!AE145*Delivery!AE145))/Delivery!AE63," ")</f>
        <v xml:space="preserve"> </v>
      </c>
      <c r="AF63" s="705" t="str">
        <f>IF(Delivery!AF63&gt;0,((Delivery!AF111*'COST (Baht)'!AF111)+('COST (Baht)'!AF145*Delivery!AF145))/Delivery!AF63," ")</f>
        <v xml:space="preserve"> </v>
      </c>
      <c r="AG63" s="705" t="str">
        <f>IF(Delivery!AG63&gt;0,((Delivery!AG111*'COST (Baht)'!AG111)+('COST (Baht)'!AG145*Delivery!AG145))/Delivery!AG63," ")</f>
        <v xml:space="preserve"> </v>
      </c>
      <c r="AK63" t="s">
        <v>232</v>
      </c>
      <c r="AL63" t="s">
        <v>276</v>
      </c>
      <c r="AM63" s="735">
        <f>V111*Delivery!V63*'COST (Baht)'!E$15</f>
        <v>0</v>
      </c>
      <c r="AN63" s="735">
        <f>W111*Delivery!W63*'COST (Baht)'!F$15</f>
        <v>0</v>
      </c>
      <c r="AO63" s="735">
        <f>X111*Delivery!X63*'COST (Baht)'!G$15</f>
        <v>0</v>
      </c>
      <c r="AP63" s="735">
        <f>Y111*Delivery!Y63*'COST (Baht)'!H$15</f>
        <v>0</v>
      </c>
      <c r="AQ63" s="735">
        <f>Z111*Delivery!Z63*'COST (Baht)'!I$15</f>
        <v>0</v>
      </c>
      <c r="AR63" s="735">
        <f>AA111*Delivery!AA63*'COST (Baht)'!J$15</f>
        <v>0</v>
      </c>
      <c r="AS63" s="735">
        <f>AB111*Delivery!AB63*'COST (Baht)'!K$15</f>
        <v>0</v>
      </c>
      <c r="AT63" s="735">
        <f>AC111*Delivery!AC63*'COST (Baht)'!L$15</f>
        <v>0</v>
      </c>
      <c r="AU63" s="735">
        <f>AD111*Delivery!AD63*'COST (Baht)'!M$15</f>
        <v>0</v>
      </c>
      <c r="AV63" s="735">
        <f>AE111*Delivery!AE63*'COST (Baht)'!N$15</f>
        <v>0</v>
      </c>
      <c r="AW63" s="735">
        <f>AF111*Delivery!AF63*'COST (Baht)'!O$15</f>
        <v>0</v>
      </c>
      <c r="AX63" s="735">
        <f>AG111*Delivery!AG63*'COST (Baht)'!P$15</f>
        <v>0</v>
      </c>
    </row>
    <row r="64" spans="1:50" ht="15.5">
      <c r="A64" s="866" t="str">
        <f>Table3[[#This Row],[Product]]</f>
        <v>LPG-P</v>
      </c>
      <c r="B64" s="32" t="s">
        <v>25</v>
      </c>
      <c r="C64" s="28" t="s">
        <v>62</v>
      </c>
      <c r="D64" s="28"/>
      <c r="E64" s="714">
        <f>Delivery!E64*'COST (Baht)'!E$6*'COST (Baht)'!E$15</f>
        <v>0</v>
      </c>
      <c r="F64" s="714">
        <f>Delivery!F64*'COST (Baht)'!F$6*'COST (Baht)'!F$15</f>
        <v>0</v>
      </c>
      <c r="G64" s="714">
        <f>Delivery!G64*'COST (Baht)'!G$6*'COST (Baht)'!G$15</f>
        <v>0</v>
      </c>
      <c r="H64" s="714">
        <f>Delivery!H64*'COST (Baht)'!H$6*'COST (Baht)'!H$15</f>
        <v>0</v>
      </c>
      <c r="I64" s="714">
        <f>Delivery!I64*'COST (Baht)'!I$6*'COST (Baht)'!I$15</f>
        <v>0</v>
      </c>
      <c r="J64" s="714">
        <f>Delivery!J64*'COST (Baht)'!J$6*'COST (Baht)'!J$15</f>
        <v>0</v>
      </c>
      <c r="K64" s="714">
        <f>Delivery!K64*'COST (Baht)'!K$6*'COST (Baht)'!K$15</f>
        <v>0</v>
      </c>
      <c r="L64" s="714">
        <f>Delivery!L64*'COST (Baht)'!L$6*'COST (Baht)'!L$15</f>
        <v>0</v>
      </c>
      <c r="M64" s="714">
        <f>Delivery!M64*'COST (Baht)'!M$6*'COST (Baht)'!M$15</f>
        <v>0</v>
      </c>
      <c r="N64" s="714">
        <f>Delivery!N64*'COST (Baht)'!N$6*'COST (Baht)'!N$15</f>
        <v>0</v>
      </c>
      <c r="O64" s="714">
        <f>Delivery!O64*'COST (Baht)'!O$6*'COST (Baht)'!O$15</f>
        <v>0</v>
      </c>
      <c r="P64" s="714">
        <f>Delivery!P64*'COST (Baht)'!P$6*'COST (Baht)'!P$15</f>
        <v>0</v>
      </c>
      <c r="U64" t="s">
        <v>538</v>
      </c>
      <c r="V64" s="705" t="str">
        <f>IF(Delivery!V64&gt;0,((Delivery!V112*'COST (Baht)'!V112)+('COST (Baht)'!V146*Delivery!V146))/Delivery!V64," ")</f>
        <v xml:space="preserve"> </v>
      </c>
      <c r="W64" s="705" t="str">
        <f>IF(Delivery!W64&gt;0,((Delivery!W112*'COST (Baht)'!W112)+('COST (Baht)'!W146*Delivery!W146))/Delivery!W64," ")</f>
        <v xml:space="preserve"> </v>
      </c>
      <c r="X64" s="705" t="str">
        <f>IF(Delivery!X64&gt;0,((Delivery!X112*'COST (Baht)'!X112)+('COST (Baht)'!X146*Delivery!X146))/Delivery!X64," ")</f>
        <v xml:space="preserve"> </v>
      </c>
      <c r="Y64" s="705" t="str">
        <f>IF(Delivery!Y64&gt;0,((Delivery!Y112*'COST (Baht)'!Y112)+('COST (Baht)'!Y146*Delivery!Y146))/Delivery!Y64," ")</f>
        <v xml:space="preserve"> </v>
      </c>
      <c r="Z64" s="705" t="str">
        <f>IF(Delivery!Z64&gt;0,((Delivery!Z112*'COST (Baht)'!Z112)+('COST (Baht)'!Z146*Delivery!Z146))/Delivery!Z64," ")</f>
        <v xml:space="preserve"> </v>
      </c>
      <c r="AA64" s="705" t="str">
        <f>IF(Delivery!AA64&gt;0,((Delivery!AA112*'COST (Baht)'!AA112)+('COST (Baht)'!AA146*Delivery!AA146))/Delivery!AA64," ")</f>
        <v xml:space="preserve"> </v>
      </c>
      <c r="AB64" s="705" t="str">
        <f>IF(Delivery!AB64&gt;0,((Delivery!AB112*'COST (Baht)'!AB112)+('COST (Baht)'!AB146*Delivery!AB146))/Delivery!AB64," ")</f>
        <v xml:space="preserve"> </v>
      </c>
      <c r="AC64" s="705" t="str">
        <f>IF(Delivery!AC64&gt;0,((Delivery!AC112*'COST (Baht)'!AC112)+('COST (Baht)'!AC146*Delivery!AC146))/Delivery!AC64," ")</f>
        <v xml:space="preserve"> </v>
      </c>
      <c r="AD64" s="705" t="str">
        <f>IF(Delivery!AD64&gt;0,((Delivery!AD112*'COST (Baht)'!AD112)+('COST (Baht)'!AD146*Delivery!AD146))/Delivery!AD64," ")</f>
        <v xml:space="preserve"> </v>
      </c>
      <c r="AE64" s="705" t="str">
        <f>IF(Delivery!AE64&gt;0,((Delivery!AE112*'COST (Baht)'!AE112)+('COST (Baht)'!AE146*Delivery!AE146))/Delivery!AE64," ")</f>
        <v xml:space="preserve"> </v>
      </c>
      <c r="AF64" s="705" t="str">
        <f>IF(Delivery!AF64&gt;0,((Delivery!AF112*'COST (Baht)'!AF112)+('COST (Baht)'!AF146*Delivery!AF146))/Delivery!AF64," ")</f>
        <v xml:space="preserve"> </v>
      </c>
      <c r="AG64" s="705" t="str">
        <f>IF(Delivery!AG64&gt;0,((Delivery!AG112*'COST (Baht)'!AG112)+('COST (Baht)'!AG146*Delivery!AG146))/Delivery!AG64," ")</f>
        <v xml:space="preserve"> </v>
      </c>
      <c r="AL64" t="s">
        <v>538</v>
      </c>
      <c r="AM64" s="735">
        <f>V112*Delivery!V64*'COST (Baht)'!E$15</f>
        <v>0</v>
      </c>
      <c r="AN64" s="735">
        <f>W112*Delivery!W64*'COST (Baht)'!F$15</f>
        <v>0</v>
      </c>
      <c r="AO64" s="735">
        <f>X112*Delivery!X64*'COST (Baht)'!G$15</f>
        <v>0</v>
      </c>
      <c r="AP64" s="735">
        <f>Y112*Delivery!Y64*'COST (Baht)'!H$15</f>
        <v>0</v>
      </c>
      <c r="AQ64" s="735">
        <f>Z112*Delivery!Z64*'COST (Baht)'!I$15</f>
        <v>0</v>
      </c>
      <c r="AR64" s="735">
        <f>AA112*Delivery!AA64*'COST (Baht)'!J$15</f>
        <v>0</v>
      </c>
      <c r="AS64" s="735">
        <f>AB112*Delivery!AB64*'COST (Baht)'!K$15</f>
        <v>0</v>
      </c>
      <c r="AT64" s="735">
        <f>AC112*Delivery!AC64*'COST (Baht)'!L$15</f>
        <v>0</v>
      </c>
      <c r="AU64" s="735">
        <f>AD112*Delivery!AD64*'COST (Baht)'!M$15</f>
        <v>0</v>
      </c>
      <c r="AV64" s="735">
        <f>AE112*Delivery!AE64*'COST (Baht)'!N$15</f>
        <v>0</v>
      </c>
      <c r="AW64" s="735">
        <f>AF112*Delivery!AF64*'COST (Baht)'!O$15</f>
        <v>0</v>
      </c>
      <c r="AX64" s="735">
        <f>AG112*Delivery!AG64*'COST (Baht)'!P$15</f>
        <v>0</v>
      </c>
    </row>
    <row r="65" spans="1:50" ht="15.5">
      <c r="A65" s="866" t="str">
        <f>Table3[[#This Row],[Product]]</f>
        <v>LPG-P</v>
      </c>
      <c r="B65" s="28" t="s">
        <v>25</v>
      </c>
      <c r="C65" s="28" t="s">
        <v>63</v>
      </c>
      <c r="D65" s="28"/>
      <c r="E65" s="714">
        <f>Delivery!E65*'COST (Baht)'!E$6*'COST (Baht)'!E$15</f>
        <v>0</v>
      </c>
      <c r="F65" s="714">
        <f>Delivery!F65*'COST (Baht)'!F$6*'COST (Baht)'!F$15</f>
        <v>0</v>
      </c>
      <c r="G65" s="714">
        <f>Delivery!G65*'COST (Baht)'!G$6*'COST (Baht)'!G$15</f>
        <v>0</v>
      </c>
      <c r="H65" s="714">
        <f>Delivery!H65*'COST (Baht)'!H$6*'COST (Baht)'!H$15</f>
        <v>0</v>
      </c>
      <c r="I65" s="714">
        <f>Delivery!I65*'COST (Baht)'!I$6*'COST (Baht)'!I$15</f>
        <v>0</v>
      </c>
      <c r="J65" s="714">
        <f>Delivery!J65*'COST (Baht)'!J$6*'COST (Baht)'!J$15</f>
        <v>0</v>
      </c>
      <c r="K65" s="714">
        <f>Delivery!K65*'COST (Baht)'!K$6*'COST (Baht)'!K$15</f>
        <v>0</v>
      </c>
      <c r="L65" s="714">
        <f>Delivery!L65*'COST (Baht)'!L$6*'COST (Baht)'!L$15</f>
        <v>0</v>
      </c>
      <c r="M65" s="714">
        <f>Delivery!M65*'COST (Baht)'!M$6*'COST (Baht)'!M$15</f>
        <v>0</v>
      </c>
      <c r="N65" s="714">
        <f>Delivery!N65*'COST (Baht)'!N$6*'COST (Baht)'!N$15</f>
        <v>0</v>
      </c>
      <c r="O65" s="714">
        <f>Delivery!O65*'COST (Baht)'!O$6*'COST (Baht)'!O$15</f>
        <v>0</v>
      </c>
      <c r="P65" s="714">
        <f>Delivery!P65*'COST (Baht)'!P$6*'COST (Baht)'!P$15</f>
        <v>0</v>
      </c>
      <c r="T65" t="s">
        <v>571</v>
      </c>
      <c r="V65" s="705">
        <f>SUMPRODUCT(V44:V64,Delivery!V44:V64)/SUM(Delivery!V44:V64)</f>
        <v>342.06508834461835</v>
      </c>
      <c r="W65" s="705">
        <f>SUMPRODUCT(W44:W64,Delivery!W44:W64)/SUM(Delivery!W44:W64)</f>
        <v>387.2416913691066</v>
      </c>
      <c r="X65" s="705">
        <f>SUMPRODUCT(X44:X64,Delivery!X44:X64)/SUM(Delivery!X44:X64)</f>
        <v>420.42843507969883</v>
      </c>
      <c r="Y65" s="705">
        <f>SUMPRODUCT(Y44:Y64,Delivery!Y44:Y64)/SUM(Delivery!Y44:Y64)</f>
        <v>397.14567312777012</v>
      </c>
      <c r="Z65" s="705">
        <f>SUMPRODUCT(Z44:Z64,Delivery!Z44:Z64)/SUM(Delivery!Z44:Z64)</f>
        <v>376.68282553261554</v>
      </c>
      <c r="AA65" s="705">
        <f>SUMPRODUCT(AA44:AA64,Delivery!AA44:AA64)/SUM(Delivery!AA44:AA64)</f>
        <v>409.13090040042823</v>
      </c>
      <c r="AB65" s="705">
        <f>SUMPRODUCT(AB44:AB64,Delivery!AB44:AB64)/SUM(Delivery!AB44:AB64)</f>
        <v>295.97532093488115</v>
      </c>
      <c r="AC65" s="705">
        <f>SUMPRODUCT(AC44:AC64,Delivery!AC44:AC64)/SUM(Delivery!AC44:AC64)</f>
        <v>338.78759838304518</v>
      </c>
      <c r="AD65" s="705">
        <f>SUMPRODUCT(AD44:AD64,Delivery!AD44:AD64)/SUM(Delivery!AD44:AD64)</f>
        <v>278.77047755491435</v>
      </c>
      <c r="AE65" s="705">
        <f>SUMPRODUCT(AE44:AE64,Delivery!AE44:AE64)/SUM(Delivery!AE44:AE64)</f>
        <v>234.83473925339399</v>
      </c>
      <c r="AF65" s="705">
        <f>SUMPRODUCT(AF44:AF64,Delivery!AF44:AF64)/SUM(Delivery!AF44:AF64)</f>
        <v>366.0316436395658</v>
      </c>
      <c r="AG65" s="705">
        <f>SUMPRODUCT(AG44:AG64,Delivery!AG44:AG64)/SUM(Delivery!AG44:AG64)</f>
        <v>325.65837467769512</v>
      </c>
      <c r="AK65" t="s">
        <v>545</v>
      </c>
      <c r="AM65" s="736">
        <f t="shared" ref="AM65:AX65" si="23">SUM(AM46:AM64)</f>
        <v>2363121115.7376561</v>
      </c>
      <c r="AN65" s="736">
        <f t="shared" si="23"/>
        <v>2329846778.3688383</v>
      </c>
      <c r="AO65" s="736">
        <f t="shared" si="23"/>
        <v>2978511987.8717904</v>
      </c>
      <c r="AP65" s="736">
        <f t="shared" si="23"/>
        <v>2450455409.9901567</v>
      </c>
      <c r="AQ65" s="736">
        <f t="shared" si="23"/>
        <v>2414869745.7901683</v>
      </c>
      <c r="AR65" s="736">
        <f t="shared" si="23"/>
        <v>2600372607.9581714</v>
      </c>
      <c r="AS65" s="736">
        <f t="shared" si="23"/>
        <v>0</v>
      </c>
      <c r="AT65" s="736">
        <f t="shared" si="23"/>
        <v>0</v>
      </c>
      <c r="AU65" s="736">
        <f t="shared" si="23"/>
        <v>0</v>
      </c>
      <c r="AV65" s="736">
        <f t="shared" si="23"/>
        <v>0</v>
      </c>
      <c r="AW65" s="736">
        <f t="shared" si="23"/>
        <v>0</v>
      </c>
      <c r="AX65" s="736">
        <f t="shared" si="23"/>
        <v>0</v>
      </c>
    </row>
    <row r="66" spans="1:50" ht="23.5">
      <c r="A66" s="866" t="str">
        <f>Table3[[#This Row],[Product]]</f>
        <v>LPG-P</v>
      </c>
      <c r="B66" s="32" t="s">
        <v>34</v>
      </c>
      <c r="C66" s="28" t="s">
        <v>64</v>
      </c>
      <c r="D66" s="28"/>
      <c r="E66" s="714">
        <f>Delivery!E66*'COST (Baht)'!E$6*'COST (Baht)'!E$15</f>
        <v>0</v>
      </c>
      <c r="F66" s="714">
        <f>Delivery!F66*'COST (Baht)'!F$6*'COST (Baht)'!F$15</f>
        <v>0</v>
      </c>
      <c r="G66" s="714">
        <f>Delivery!G66*'COST (Baht)'!G$6*'COST (Baht)'!G$15</f>
        <v>0</v>
      </c>
      <c r="H66" s="714">
        <f>Delivery!H66*'COST (Baht)'!H$6*'COST (Baht)'!H$15</f>
        <v>0</v>
      </c>
      <c r="I66" s="714">
        <f>Delivery!I66*'COST (Baht)'!I$6*'COST (Baht)'!I$15</f>
        <v>0</v>
      </c>
      <c r="J66" s="714">
        <f>Delivery!J66*'COST (Baht)'!J$6*'COST (Baht)'!J$15</f>
        <v>0</v>
      </c>
      <c r="K66" s="714">
        <f>Delivery!K66*'COST (Baht)'!K$6*'COST (Baht)'!K$15</f>
        <v>0</v>
      </c>
      <c r="L66" s="714">
        <f>Delivery!L66*'COST (Baht)'!L$6*'COST (Baht)'!L$15</f>
        <v>0</v>
      </c>
      <c r="M66" s="714">
        <f>Delivery!M66*'COST (Baht)'!M$6*'COST (Baht)'!M$15</f>
        <v>0</v>
      </c>
      <c r="N66" s="714">
        <f>Delivery!N66*'COST (Baht)'!N$6*'COST (Baht)'!N$15</f>
        <v>0</v>
      </c>
      <c r="O66" s="714">
        <f>Delivery!O66*'COST (Baht)'!O$6*'COST (Baht)'!O$15</f>
        <v>0</v>
      </c>
      <c r="P66" s="714">
        <f>Delivery!P66*'COST (Baht)'!P$6*'COST (Baht)'!P$15</f>
        <v>0</v>
      </c>
      <c r="T66" s="737"/>
      <c r="U66" s="737"/>
      <c r="V66" s="740"/>
      <c r="W66" s="740"/>
      <c r="X66" s="740"/>
      <c r="Y66" s="740"/>
      <c r="Z66" s="740"/>
      <c r="AA66" s="740"/>
      <c r="AB66" s="740"/>
      <c r="AC66" s="740"/>
      <c r="AD66" s="740"/>
      <c r="AE66" s="740"/>
      <c r="AF66" s="740"/>
      <c r="AG66" s="740"/>
    </row>
    <row r="67" spans="1:50" ht="15.5">
      <c r="A67" s="866" t="str">
        <f>Table3[[#This Row],[Product]]</f>
        <v>LPG-P</v>
      </c>
      <c r="B67" s="32"/>
      <c r="C67" s="33" t="s">
        <v>35</v>
      </c>
      <c r="D67" s="28">
        <f>SUM(D53:D58)</f>
        <v>0</v>
      </c>
      <c r="E67" s="714">
        <f t="shared" ref="E67:P67" si="24">SUM(E53:E58)</f>
        <v>326984441.84962332</v>
      </c>
      <c r="F67" s="714">
        <f t="shared" si="24"/>
        <v>200307236.35131797</v>
      </c>
      <c r="G67" s="714">
        <f t="shared" si="24"/>
        <v>358332592.27967989</v>
      </c>
      <c r="H67" s="714">
        <f t="shared" si="24"/>
        <v>231412268.06377026</v>
      </c>
      <c r="I67" s="714">
        <f t="shared" si="24"/>
        <v>420635598.49141216</v>
      </c>
      <c r="J67" s="714">
        <f t="shared" si="24"/>
        <v>475791545.5008139</v>
      </c>
      <c r="K67" s="714">
        <f t="shared" si="24"/>
        <v>712147131.60454392</v>
      </c>
      <c r="L67" s="714">
        <f t="shared" si="24"/>
        <v>370876023.91405773</v>
      </c>
      <c r="M67" s="714">
        <f t="shared" si="24"/>
        <v>364850657.39895195</v>
      </c>
      <c r="N67" s="714">
        <f t="shared" si="24"/>
        <v>383339287.72817302</v>
      </c>
      <c r="O67" s="714">
        <f t="shared" si="24"/>
        <v>375875467.65633476</v>
      </c>
      <c r="P67" s="714">
        <f t="shared" si="24"/>
        <v>388831205.1582455</v>
      </c>
      <c r="T67" s="151"/>
      <c r="U67" s="151"/>
      <c r="V67" s="740"/>
      <c r="W67" s="740"/>
      <c r="X67" s="740"/>
      <c r="Y67" s="740"/>
      <c r="Z67" s="740"/>
      <c r="AA67" s="740"/>
      <c r="AB67" s="740"/>
      <c r="AC67" s="740"/>
      <c r="AD67" s="740"/>
      <c r="AE67" s="740"/>
      <c r="AF67" s="740"/>
      <c r="AG67" s="740"/>
    </row>
    <row r="68" spans="1:50" ht="15.5">
      <c r="A68" s="866" t="str">
        <f>Table3[[#This Row],[Product]]</f>
        <v>LPG-P</v>
      </c>
      <c r="B68" s="32"/>
      <c r="C68" s="33" t="s">
        <v>36</v>
      </c>
      <c r="D68" s="28">
        <f>SUM(D59:D66)</f>
        <v>0</v>
      </c>
      <c r="E68" s="714">
        <f t="shared" ref="E68:P68" si="25">SUM(E59:E66)</f>
        <v>0</v>
      </c>
      <c r="F68" s="714">
        <f t="shared" si="25"/>
        <v>174780885.76468363</v>
      </c>
      <c r="G68" s="714">
        <f t="shared" si="25"/>
        <v>50451245.145719454</v>
      </c>
      <c r="H68" s="714">
        <f t="shared" si="25"/>
        <v>319230076.89915329</v>
      </c>
      <c r="I68" s="714">
        <f t="shared" si="25"/>
        <v>324980261.22715855</v>
      </c>
      <c r="J68" s="714">
        <f t="shared" si="25"/>
        <v>217577771.12506711</v>
      </c>
      <c r="K68" s="714">
        <f t="shared" si="25"/>
        <v>32313530.685668096</v>
      </c>
      <c r="L68" s="714">
        <f t="shared" si="25"/>
        <v>32898523.70615533</v>
      </c>
      <c r="M68" s="714">
        <f t="shared" si="25"/>
        <v>32791634.626467414</v>
      </c>
      <c r="N68" s="714">
        <f t="shared" si="25"/>
        <v>34048373.495515123</v>
      </c>
      <c r="O68" s="714">
        <f t="shared" si="25"/>
        <v>34170497.059666798</v>
      </c>
      <c r="P68" s="714">
        <f t="shared" si="25"/>
        <v>238285352.17034346</v>
      </c>
      <c r="T68" s="151"/>
      <c r="U68" s="151"/>
      <c r="V68" s="740"/>
      <c r="W68" s="740"/>
      <c r="X68" s="740"/>
      <c r="Y68" s="740"/>
      <c r="Z68" s="740"/>
      <c r="AA68" s="740"/>
      <c r="AB68" s="740"/>
      <c r="AC68" s="740"/>
      <c r="AD68" s="740"/>
      <c r="AE68" s="740"/>
      <c r="AF68" s="740"/>
      <c r="AG68" s="740"/>
    </row>
    <row r="69" spans="1:50" ht="15.5">
      <c r="A69" s="866" t="str">
        <f>Table3[[#This Row],[Product]]</f>
        <v>LPG-P</v>
      </c>
      <c r="B69" s="28"/>
      <c r="C69" s="33" t="s">
        <v>37</v>
      </c>
      <c r="D69" s="28">
        <f>SUM(D53:D66)</f>
        <v>0</v>
      </c>
      <c r="E69" s="822">
        <f>SUM(E53:E66)</f>
        <v>326984441.84962332</v>
      </c>
      <c r="F69" s="822">
        <f t="shared" ref="F69:P69" si="26">SUM(F53:F66)</f>
        <v>375088122.11600161</v>
      </c>
      <c r="G69" s="822">
        <f t="shared" si="26"/>
        <v>408783837.42539936</v>
      </c>
      <c r="H69" s="822">
        <f t="shared" si="26"/>
        <v>550642344.96292365</v>
      </c>
      <c r="I69" s="822">
        <f t="shared" si="26"/>
        <v>745615859.71857071</v>
      </c>
      <c r="J69" s="822">
        <f t="shared" si="26"/>
        <v>693369316.62588096</v>
      </c>
      <c r="K69" s="822">
        <f t="shared" si="26"/>
        <v>744460662.29021204</v>
      </c>
      <c r="L69" s="822">
        <f t="shared" si="26"/>
        <v>403774547.62021303</v>
      </c>
      <c r="M69" s="822">
        <f t="shared" si="26"/>
        <v>397642292.02541935</v>
      </c>
      <c r="N69" s="822">
        <f t="shared" si="26"/>
        <v>417387661.22368813</v>
      </c>
      <c r="O69" s="822">
        <f t="shared" si="26"/>
        <v>410045964.71600157</v>
      </c>
      <c r="P69" s="822">
        <f t="shared" si="26"/>
        <v>627116557.32858896</v>
      </c>
      <c r="T69" s="151"/>
      <c r="U69" s="151"/>
      <c r="V69" s="740"/>
      <c r="W69" s="740"/>
      <c r="X69" s="740"/>
      <c r="Y69" s="740"/>
      <c r="Z69" s="740"/>
      <c r="AA69" s="740"/>
      <c r="AB69" s="740"/>
      <c r="AC69" s="740"/>
      <c r="AD69" s="740"/>
      <c r="AE69" s="740"/>
      <c r="AF69" s="740"/>
      <c r="AG69" s="740"/>
    </row>
    <row r="70" spans="1:50" ht="15.5">
      <c r="A70" s="867" t="str">
        <f>Table3[[#This Row],[Product]]</f>
        <v>LPG-D</v>
      </c>
      <c r="B70" s="28" t="s">
        <v>25</v>
      </c>
      <c r="C70" s="35" t="s">
        <v>87</v>
      </c>
      <c r="D70" s="28"/>
      <c r="E70" s="714">
        <f>Delivery!E70*'COST (Baht)'!E6*'COST (Baht)'!E14</f>
        <v>4082226.78389049</v>
      </c>
      <c r="F70" s="714">
        <f>Delivery!F70*'COST (Baht)'!F6*'COST (Baht)'!F14</f>
        <v>3799598.8170436346</v>
      </c>
      <c r="G70" s="714">
        <f>Delivery!G70*'COST (Baht)'!G6*'COST (Baht)'!G14</f>
        <v>5204976.5983893685</v>
      </c>
      <c r="H70" s="714">
        <f>Delivery!H70*'COST (Baht)'!H6*'COST (Baht)'!H14</f>
        <v>3738993.1435457421</v>
      </c>
      <c r="I70" s="714">
        <f>Delivery!I70*'COST (Baht)'!I6*'COST (Baht)'!I14</f>
        <v>7745352.9759792415</v>
      </c>
      <c r="J70" s="714">
        <f>Delivery!J70*'COST (Baht)'!J6*'COST (Baht)'!J14</f>
        <v>8281590.8510654252</v>
      </c>
      <c r="K70" s="714">
        <f>Delivery!K70*'COST (Baht)'!K6*'COST (Baht)'!K14</f>
        <v>9092435.8382962234</v>
      </c>
      <c r="L70" s="714">
        <f>Delivery!L70*'COST (Baht)'!L6*'COST (Baht)'!L14</f>
        <v>10438701.571963087</v>
      </c>
      <c r="M70" s="714">
        <f>Delivery!M70*'COST (Baht)'!M6*'COST (Baht)'!M14</f>
        <v>9172913.2595104817</v>
      </c>
      <c r="N70" s="714">
        <f>Delivery!N70*'COST (Baht)'!N6*'COST (Baht)'!N14</f>
        <v>9451828.4823550005</v>
      </c>
      <c r="O70" s="714">
        <f>Delivery!O70*'COST (Baht)'!O6*'COST (Baht)'!O14</f>
        <v>8300013.7357930653</v>
      </c>
      <c r="P70" s="714">
        <f>Delivery!P70*'COST (Baht)'!P6*'COST (Baht)'!P14</f>
        <v>7715619.7938512266</v>
      </c>
      <c r="T70" s="151"/>
      <c r="U70" s="151"/>
      <c r="V70" s="740"/>
      <c r="W70" s="740"/>
      <c r="X70" s="740"/>
      <c r="Y70" s="740"/>
      <c r="Z70" s="740"/>
      <c r="AA70" s="740"/>
      <c r="AB70" s="740"/>
      <c r="AC70" s="740"/>
      <c r="AD70" s="740"/>
      <c r="AE70" s="740"/>
      <c r="AF70" s="740"/>
      <c r="AG70" s="740"/>
    </row>
    <row r="71" spans="1:50" ht="23.5">
      <c r="A71" s="867" t="str">
        <f>Table3[[#This Row],[Product]]</f>
        <v>LPG-D</v>
      </c>
      <c r="B71" s="28" t="s">
        <v>25</v>
      </c>
      <c r="C71" s="144" t="s">
        <v>88</v>
      </c>
      <c r="D71" s="28"/>
      <c r="E71" s="714">
        <f>Delivery!E71*'COST (Baht)'!E$8*'COST (Baht)'!E$14</f>
        <v>483059679.78221458</v>
      </c>
      <c r="F71" s="714">
        <f>Delivery!F71*'COST (Baht)'!F$8*'COST (Baht)'!F$14</f>
        <v>179594819.66331661</v>
      </c>
      <c r="G71" s="714">
        <f>Delivery!G71*'COST (Baht)'!G$8*'COST (Baht)'!G$14</f>
        <v>231479736.54345894</v>
      </c>
      <c r="H71" s="714">
        <f>Delivery!H71*'COST (Baht)'!H$8*'COST (Baht)'!H$14</f>
        <v>174864163.10935825</v>
      </c>
      <c r="I71" s="714">
        <f>Delivery!I71*'COST (Baht)'!I$8*'COST (Baht)'!I$14</f>
        <v>356011533.30476272</v>
      </c>
      <c r="J71" s="714">
        <f>Delivery!J71*'COST (Baht)'!J$8*'COST (Baht)'!J$14</f>
        <v>384581608.64231807</v>
      </c>
      <c r="K71" s="714">
        <f>Delivery!K71*'COST (Baht)'!K$8*'COST (Baht)'!K$14</f>
        <v>0</v>
      </c>
      <c r="L71" s="714">
        <f>Delivery!L71*'COST (Baht)'!L$8*'COST (Baht)'!L$14</f>
        <v>407564749.92543125</v>
      </c>
      <c r="M71" s="714">
        <f>Delivery!M71*'COST (Baht)'!M$8*'COST (Baht)'!M$14</f>
        <v>232104877.99250156</v>
      </c>
      <c r="N71" s="714">
        <f>Delivery!N71*'COST (Baht)'!N$8*'COST (Baht)'!N$14</f>
        <v>199686309.85738584</v>
      </c>
      <c r="O71" s="714">
        <f>Delivery!O71*'COST (Baht)'!O$8*'COST (Baht)'!O$14</f>
        <v>216381726.11108351</v>
      </c>
      <c r="P71" s="714">
        <f>Delivery!P71*'COST (Baht)'!P$8*'COST (Baht)'!P$14</f>
        <v>309689051.634341</v>
      </c>
      <c r="T71" s="737"/>
      <c r="U71" s="737"/>
      <c r="V71" s="740"/>
      <c r="W71" s="740"/>
      <c r="X71" s="740"/>
      <c r="Y71" s="740"/>
      <c r="Z71" s="740"/>
      <c r="AA71" s="740"/>
      <c r="AB71" s="740"/>
      <c r="AC71" s="740"/>
      <c r="AD71" s="740"/>
      <c r="AE71" s="740"/>
      <c r="AF71" s="740"/>
      <c r="AG71" s="740"/>
    </row>
    <row r="72" spans="1:50" ht="15.5">
      <c r="A72" s="867" t="str">
        <f>Table3[[#This Row],[Product]]</f>
        <v>LPG-D</v>
      </c>
      <c r="B72" s="28" t="s">
        <v>25</v>
      </c>
      <c r="C72" s="144" t="s">
        <v>89</v>
      </c>
      <c r="D72" s="28"/>
      <c r="E72" s="714">
        <f>Delivery!E72*'COST (Baht)'!E$8*'COST (Baht)'!E$14</f>
        <v>0</v>
      </c>
      <c r="F72" s="714">
        <f>Delivery!F72*'COST (Baht)'!F$8*'COST (Baht)'!F$14</f>
        <v>0</v>
      </c>
      <c r="G72" s="714">
        <f>Delivery!G72*'COST (Baht)'!G$8*'COST (Baht)'!G$14</f>
        <v>0</v>
      </c>
      <c r="H72" s="714">
        <f>Delivery!H72*'COST (Baht)'!H$8*'COST (Baht)'!H$14</f>
        <v>0</v>
      </c>
      <c r="I72" s="714">
        <f>Delivery!I72*'COST (Baht)'!I$8*'COST (Baht)'!I$14</f>
        <v>0</v>
      </c>
      <c r="J72" s="714">
        <f>Delivery!J72*'COST (Baht)'!J$8*'COST (Baht)'!J$14</f>
        <v>0</v>
      </c>
      <c r="K72" s="714">
        <f>Delivery!K72*'COST (Baht)'!K$8*'COST (Baht)'!K$14</f>
        <v>797695891.12249207</v>
      </c>
      <c r="L72" s="714">
        <f>Delivery!L72*'COST (Baht)'!L$8*'COST (Baht)'!L$14</f>
        <v>352458903.66037786</v>
      </c>
      <c r="M72" s="714">
        <f>Delivery!M72*'COST (Baht)'!M$8*'COST (Baht)'!M$14</f>
        <v>498984173.61559522</v>
      </c>
      <c r="N72" s="714">
        <f>Delivery!N72*'COST (Baht)'!N$8*'COST (Baht)'!N$14</f>
        <v>408203731.69318521</v>
      </c>
      <c r="O72" s="714">
        <f>Delivery!O72*'COST (Baht)'!O$8*'COST (Baht)'!O$14</f>
        <v>533274922.76469296</v>
      </c>
      <c r="P72" s="714">
        <f>Delivery!P72*'COST (Baht)'!P$8*'COST (Baht)'!P$14</f>
        <v>444287263.90194023</v>
      </c>
      <c r="T72" s="151"/>
      <c r="U72" s="151"/>
      <c r="V72" s="740"/>
      <c r="W72" s="740"/>
      <c r="X72" s="740"/>
      <c r="Y72" s="740"/>
      <c r="Z72" s="740"/>
      <c r="AA72" s="740"/>
      <c r="AB72" s="740"/>
      <c r="AC72" s="740"/>
      <c r="AD72" s="740"/>
      <c r="AE72" s="740"/>
      <c r="AF72" s="740"/>
      <c r="AG72" s="740"/>
    </row>
    <row r="73" spans="1:50" ht="15.5">
      <c r="A73" s="867" t="str">
        <f>Table3[[#This Row],[Product]]</f>
        <v>LPG-D</v>
      </c>
      <c r="B73" s="28" t="s">
        <v>25</v>
      </c>
      <c r="C73" s="35" t="s">
        <v>90</v>
      </c>
      <c r="D73" s="28"/>
      <c r="E73" s="714">
        <f>Delivery!E73*'COST (Baht)'!E$8*'COST (Baht)'!E$14</f>
        <v>616673020.6521132</v>
      </c>
      <c r="F73" s="714">
        <f>Delivery!F73*'COST (Baht)'!F$8*'COST (Baht)'!F$14</f>
        <v>568961597.17557263</v>
      </c>
      <c r="G73" s="714">
        <f>Delivery!G73*'COST (Baht)'!G$8*'COST (Baht)'!G$14</f>
        <v>723064229.14690065</v>
      </c>
      <c r="H73" s="714">
        <f>Delivery!H73*'COST (Baht)'!H$8*'COST (Baht)'!H$14</f>
        <v>606002573.42509997</v>
      </c>
      <c r="I73" s="714">
        <f>Delivery!I73*'COST (Baht)'!I$8*'COST (Baht)'!I$14</f>
        <v>609269087.48583329</v>
      </c>
      <c r="J73" s="714">
        <f>Delivery!J73*'COST (Baht)'!J$8*'COST (Baht)'!J$14</f>
        <v>669343562.95718849</v>
      </c>
      <c r="K73" s="714">
        <f>Delivery!K73*'COST (Baht)'!K$8*'COST (Baht)'!K$14</f>
        <v>748160743.04124844</v>
      </c>
      <c r="L73" s="714">
        <f>Delivery!L73*'COST (Baht)'!L$8*'COST (Baht)'!L$14</f>
        <v>770562430.96735048</v>
      </c>
      <c r="M73" s="714">
        <f>Delivery!M73*'COST (Baht)'!M$8*'COST (Baht)'!M$14</f>
        <v>743377427.81962276</v>
      </c>
      <c r="N73" s="714">
        <f>Delivery!N73*'COST (Baht)'!N$8*'COST (Baht)'!N$14</f>
        <v>634589714.31942332</v>
      </c>
      <c r="O73" s="714">
        <f>Delivery!O73*'COST (Baht)'!O$8*'COST (Baht)'!O$14</f>
        <v>760829132.43499386</v>
      </c>
      <c r="P73" s="714">
        <f>Delivery!P73*'COST (Baht)'!P$8*'COST (Baht)'!P$14</f>
        <v>782150546.36841762</v>
      </c>
      <c r="T73" s="738"/>
      <c r="U73" s="738"/>
      <c r="V73" s="738"/>
      <c r="W73" s="738"/>
      <c r="X73" s="738"/>
      <c r="Y73" s="738"/>
      <c r="Z73" s="738"/>
      <c r="AA73" s="738"/>
      <c r="AB73" s="738"/>
      <c r="AC73" s="738"/>
      <c r="AD73" s="738"/>
      <c r="AE73" s="738"/>
      <c r="AF73" s="738"/>
      <c r="AG73" s="738"/>
    </row>
    <row r="74" spans="1:50" ht="23.5">
      <c r="A74" s="867" t="str">
        <f>Table3[[#This Row],[Product]]</f>
        <v>LPG-D</v>
      </c>
      <c r="B74" s="28" t="s">
        <v>76</v>
      </c>
      <c r="C74" s="144" t="s">
        <v>91</v>
      </c>
      <c r="D74" s="28"/>
      <c r="E74" s="714">
        <f>Delivery!E74*'COST (Baht)'!E$11*'COST (Baht)'!E$14</f>
        <v>126776340.49345282</v>
      </c>
      <c r="F74" s="714">
        <f>Delivery!F74*'COST (Baht)'!F$11*'COST (Baht)'!F$14</f>
        <v>91189860.14256832</v>
      </c>
      <c r="G74" s="714">
        <f>Delivery!G74*'COST (Baht)'!G$11*'COST (Baht)'!G$14</f>
        <v>209242306.07988772</v>
      </c>
      <c r="H74" s="714">
        <f>Delivery!H74*'COST (Baht)'!H$11*'COST (Baht)'!H$14</f>
        <v>184517606.78185415</v>
      </c>
      <c r="I74" s="714">
        <f>Delivery!I74*'COST (Baht)'!I$11*'COST (Baht)'!I$14</f>
        <v>208505227.90870085</v>
      </c>
      <c r="J74" s="714">
        <f>Delivery!J74*'COST (Baht)'!J$11*'COST (Baht)'!J$14</f>
        <v>143136879.01427841</v>
      </c>
      <c r="K74" s="714">
        <f>Delivery!K74*'COST (Baht)'!K$11*'COST (Baht)'!K$14</f>
        <v>137203957.7542693</v>
      </c>
      <c r="L74" s="714">
        <f>Delivery!L74*'COST (Baht)'!L$11*'COST (Baht)'!L$14</f>
        <v>155088247.23204502</v>
      </c>
      <c r="M74" s="714">
        <f>Delivery!M74*'COST (Baht)'!M$11*'COST (Baht)'!M$14</f>
        <v>173563133.99773148</v>
      </c>
      <c r="N74" s="714">
        <f>Delivery!N74*'COST (Baht)'!N$11*'COST (Baht)'!N$14</f>
        <v>179853921.5544773</v>
      </c>
      <c r="O74" s="714">
        <f>Delivery!O74*'COST (Baht)'!O$11*'COST (Baht)'!O$14</f>
        <v>174129060.01959985</v>
      </c>
      <c r="P74" s="714">
        <f>Delivery!P74*'COST (Baht)'!P$11*'COST (Baht)'!P$14</f>
        <v>176082619.53923556</v>
      </c>
      <c r="T74" s="741"/>
      <c r="U74" s="737"/>
      <c r="V74" s="738"/>
      <c r="W74" s="738"/>
      <c r="X74" s="738"/>
      <c r="Y74" s="738"/>
      <c r="Z74" s="738"/>
      <c r="AA74" s="738"/>
      <c r="AB74" s="738"/>
      <c r="AC74" s="738"/>
      <c r="AD74" s="738"/>
      <c r="AE74" s="738"/>
      <c r="AF74" s="738"/>
      <c r="AG74" s="738"/>
    </row>
    <row r="75" spans="1:50" ht="15.5">
      <c r="A75" s="867" t="str">
        <f>Table3[[#This Row],[Product]]</f>
        <v>LPG-D</v>
      </c>
      <c r="B75" s="28" t="s">
        <v>25</v>
      </c>
      <c r="C75" s="35" t="s">
        <v>92</v>
      </c>
      <c r="D75" s="28"/>
      <c r="E75" s="714">
        <f>Delivery!E75*'COST (Baht)'!E$7*'COST (Baht)'!E$14</f>
        <v>2573335.656446069</v>
      </c>
      <c r="F75" s="714">
        <f>Delivery!F75*'COST (Baht)'!F$7*'COST (Baht)'!F$14</f>
        <v>3853103.8018084047</v>
      </c>
      <c r="G75" s="714">
        <f>Delivery!G75*'COST (Baht)'!G$7*'COST (Baht)'!G$14</f>
        <v>5818647.2841119738</v>
      </c>
      <c r="H75" s="714">
        <f>Delivery!H75*'COST (Baht)'!H$7*'COST (Baht)'!H$14</f>
        <v>5676698.7733313711</v>
      </c>
      <c r="I75" s="714">
        <f>Delivery!I75*'COST (Baht)'!I$7*'COST (Baht)'!I$14</f>
        <v>4507196.5853457563</v>
      </c>
      <c r="J75" s="714">
        <f>Delivery!J75*'COST (Baht)'!J$7*'COST (Baht)'!J$14</f>
        <v>6802921.2509015566</v>
      </c>
      <c r="K75" s="714">
        <f>Delivery!K75*'COST (Baht)'!K$7*'COST (Baht)'!K$14</f>
        <v>6196483.8964083381</v>
      </c>
      <c r="L75" s="714">
        <f>Delivery!L75*'COST (Baht)'!L$7*'COST (Baht)'!L$14</f>
        <v>6293908.9939353187</v>
      </c>
      <c r="M75" s="714">
        <f>Delivery!M75*'COST (Baht)'!M$7*'COST (Baht)'!M$14</f>
        <v>6237302.1701949397</v>
      </c>
      <c r="N75" s="714">
        <f>Delivery!N75*'COST (Baht)'!N$7*'COST (Baht)'!N$14</f>
        <v>5233381.1755536562</v>
      </c>
      <c r="O75" s="714">
        <f>Delivery!O75*'COST (Baht)'!O$7*'COST (Baht)'!O$14</f>
        <v>6348510.9852939639</v>
      </c>
      <c r="P75" s="714">
        <f>Delivery!P75*'COST (Baht)'!P$7*'COST (Baht)'!P$14</f>
        <v>6346960.9128848603</v>
      </c>
      <c r="T75" s="738"/>
      <c r="U75" s="738"/>
      <c r="V75" s="731"/>
      <c r="W75" s="731"/>
      <c r="X75" s="731"/>
      <c r="Y75" s="731"/>
      <c r="Z75" s="731"/>
      <c r="AA75" s="731"/>
      <c r="AB75" s="731"/>
      <c r="AC75" s="731"/>
      <c r="AD75" s="731"/>
      <c r="AE75" s="731"/>
      <c r="AF75" s="731"/>
      <c r="AG75" s="731"/>
    </row>
    <row r="76" spans="1:50" ht="15.5">
      <c r="A76" s="867" t="str">
        <f>Table3[[#This Row],[Product]]</f>
        <v>LPG-D</v>
      </c>
      <c r="B76" s="28" t="s">
        <v>25</v>
      </c>
      <c r="C76" s="35" t="s">
        <v>93</v>
      </c>
      <c r="D76" s="28"/>
      <c r="E76" s="714">
        <f>Delivery!E76*'COST (Baht)'!E$7*'COST (Baht)'!E$14</f>
        <v>37561487.922341645</v>
      </c>
      <c r="F76" s="714">
        <f>Delivery!F76*'COST (Baht)'!F$7*'COST (Baht)'!F$14</f>
        <v>125480786.69274971</v>
      </c>
      <c r="G76" s="714">
        <f>Delivery!G76*'COST (Baht)'!G$7*'COST (Baht)'!G$14</f>
        <v>228863911.73259303</v>
      </c>
      <c r="H76" s="714">
        <f>Delivery!H76*'COST (Baht)'!H$7*'COST (Baht)'!H$14</f>
        <v>192368790.01619074</v>
      </c>
      <c r="I76" s="714">
        <f>Delivery!I76*'COST (Baht)'!I$7*'COST (Baht)'!I$14</f>
        <v>191509585.30590168</v>
      </c>
      <c r="J76" s="714">
        <f>Delivery!J76*'COST (Baht)'!J$7*'COST (Baht)'!J$14</f>
        <v>239285549.61867765</v>
      </c>
      <c r="K76" s="714">
        <f>Delivery!K76*'COST (Baht)'!K$7*'COST (Baht)'!K$14</f>
        <v>185894516.89225015</v>
      </c>
      <c r="L76" s="714">
        <f>Delivery!L76*'COST (Baht)'!L$7*'COST (Baht)'!L$14</f>
        <v>188817269.81805956</v>
      </c>
      <c r="M76" s="714">
        <f>Delivery!M76*'COST (Baht)'!M$7*'COST (Baht)'!M$14</f>
        <v>187119065.10584822</v>
      </c>
      <c r="N76" s="714">
        <f>Delivery!N76*'COST (Baht)'!N$7*'COST (Baht)'!N$14</f>
        <v>157001435.2666097</v>
      </c>
      <c r="O76" s="714">
        <f>Delivery!O76*'COST (Baht)'!O$7*'COST (Baht)'!O$14</f>
        <v>190455329.55881891</v>
      </c>
      <c r="P76" s="714">
        <f>Delivery!P76*'COST (Baht)'!P$7*'COST (Baht)'!P$14</f>
        <v>190408827.38654584</v>
      </c>
      <c r="T76" s="742"/>
      <c r="U76" s="738"/>
      <c r="V76" s="740"/>
      <c r="W76" s="740"/>
      <c r="X76" s="740"/>
      <c r="Y76" s="740"/>
      <c r="Z76" s="740"/>
      <c r="AA76" s="740"/>
      <c r="AB76" s="740"/>
      <c r="AC76" s="740"/>
      <c r="AD76" s="740"/>
      <c r="AE76" s="740"/>
      <c r="AF76" s="740"/>
      <c r="AG76" s="740"/>
    </row>
    <row r="77" spans="1:50" ht="15.5">
      <c r="A77" s="867" t="str">
        <f>Table3[[#This Row],[Product]]</f>
        <v>LPG-D</v>
      </c>
      <c r="B77" s="28" t="s">
        <v>25</v>
      </c>
      <c r="C77" s="144" t="s">
        <v>95</v>
      </c>
      <c r="D77" s="28"/>
      <c r="E77" s="714">
        <f>Delivery!E77*'COST (Baht)'!E8*'COST (Baht)'!E14</f>
        <v>256425512.76582888</v>
      </c>
      <c r="F77" s="714">
        <f>Delivery!F77*'COST (Baht)'!F8*'COST (Baht)'!F14</f>
        <v>252250934.02970767</v>
      </c>
      <c r="G77" s="714">
        <f>Delivery!G77*'COST (Baht)'!G8*'COST (Baht)'!G14</f>
        <v>294236713.77959788</v>
      </c>
      <c r="H77" s="714">
        <f>Delivery!H77*'COST (Baht)'!H8*'COST (Baht)'!H14</f>
        <v>267007277.04716766</v>
      </c>
      <c r="I77" s="714">
        <f>Delivery!I77*'COST (Baht)'!I8*'COST (Baht)'!I14</f>
        <v>166804801.36264291</v>
      </c>
      <c r="J77" s="714">
        <f>Delivery!J77*'COST (Baht)'!J8*'COST (Baht)'!J14</f>
        <v>142463668.67134711</v>
      </c>
      <c r="K77" s="714">
        <f>Delivery!K77*'COST (Baht)'!K8*'COST (Baht)'!K14</f>
        <v>334610130.40605026</v>
      </c>
      <c r="L77" s="714">
        <f>Delivery!L77*'COST (Baht)'!L8*'COST (Baht)'!L14</f>
        <v>0</v>
      </c>
      <c r="M77" s="714">
        <f>Delivery!M77*'COST (Baht)'!M8*'COST (Baht)'!M14</f>
        <v>0</v>
      </c>
      <c r="N77" s="714">
        <f>Delivery!N77*'COST (Baht)'!N8*'COST (Baht)'!N14</f>
        <v>0</v>
      </c>
      <c r="O77" s="714">
        <f>Delivery!O77*'COST (Baht)'!O8*'COST (Baht)'!O14</f>
        <v>0</v>
      </c>
      <c r="P77" s="714">
        <f>Delivery!P77*'COST (Baht)'!P8*'COST (Baht)'!P14</f>
        <v>0</v>
      </c>
      <c r="T77" s="742"/>
      <c r="U77" s="738"/>
      <c r="V77" s="740"/>
      <c r="W77" s="740"/>
      <c r="X77" s="740"/>
      <c r="Y77" s="740"/>
      <c r="Z77" s="740"/>
      <c r="AA77" s="740"/>
      <c r="AB77" s="740"/>
      <c r="AC77" s="740"/>
      <c r="AD77" s="740"/>
      <c r="AE77" s="740"/>
      <c r="AF77" s="740"/>
      <c r="AG77" s="740"/>
    </row>
    <row r="78" spans="1:50" ht="15.5">
      <c r="A78" s="867" t="str">
        <f>Table3[[#This Row],[Product]]</f>
        <v>LPG-D</v>
      </c>
      <c r="B78" s="28" t="s">
        <v>25</v>
      </c>
      <c r="C78" s="35" t="s">
        <v>96</v>
      </c>
      <c r="D78" s="28"/>
      <c r="E78" s="714">
        <f>Delivery!E78*'COST (Baht)'!E$7*'COST (Baht)'!E$14</f>
        <v>0</v>
      </c>
      <c r="F78" s="714">
        <f>Delivery!F78*'COST (Baht)'!F$7*'COST (Baht)'!F$14</f>
        <v>0</v>
      </c>
      <c r="G78" s="714">
        <f>Delivery!G78*'COST (Baht)'!G$7*'COST (Baht)'!G$14</f>
        <v>0</v>
      </c>
      <c r="H78" s="714">
        <f>Delivery!H78*'COST (Baht)'!H$7*'COST (Baht)'!H$14</f>
        <v>0</v>
      </c>
      <c r="I78" s="714">
        <f>Delivery!I78*'COST (Baht)'!I$7*'COST (Baht)'!I$14</f>
        <v>0</v>
      </c>
      <c r="J78" s="714">
        <f>Delivery!J78*'COST (Baht)'!J$7*'COST (Baht)'!J$14</f>
        <v>0</v>
      </c>
      <c r="K78" s="714">
        <f>Delivery!K78*'COST (Baht)'!K$7*'COST (Baht)'!K$14</f>
        <v>0</v>
      </c>
      <c r="L78" s="714">
        <f>Delivery!L78*'COST (Baht)'!L$7*'COST (Baht)'!L$14</f>
        <v>0</v>
      </c>
      <c r="M78" s="714">
        <f>Delivery!M78*'COST (Baht)'!M$7*'COST (Baht)'!M$14</f>
        <v>0</v>
      </c>
      <c r="N78" s="714">
        <f>Delivery!N78*'COST (Baht)'!N$7*'COST (Baht)'!N$14</f>
        <v>0</v>
      </c>
      <c r="O78" s="714">
        <f>Delivery!O78*'COST (Baht)'!O$7*'COST (Baht)'!O$14</f>
        <v>0</v>
      </c>
      <c r="P78" s="714">
        <f>Delivery!P78*'COST (Baht)'!P$7*'COST (Baht)'!P$14</f>
        <v>0</v>
      </c>
      <c r="T78" s="742"/>
      <c r="U78" s="738"/>
      <c r="V78" s="740"/>
      <c r="W78" s="740"/>
      <c r="X78" s="740"/>
      <c r="Y78" s="740"/>
      <c r="Z78" s="740"/>
      <c r="AA78" s="740"/>
      <c r="AB78" s="740"/>
      <c r="AC78" s="740"/>
      <c r="AD78" s="740"/>
      <c r="AE78" s="740"/>
      <c r="AF78" s="740"/>
      <c r="AG78" s="740"/>
    </row>
    <row r="79" spans="1:50" ht="15.5">
      <c r="A79" s="867" t="str">
        <f>Table3[[#This Row],[Product]]</f>
        <v>LPG-D</v>
      </c>
      <c r="B79" s="28" t="s">
        <v>25</v>
      </c>
      <c r="C79" s="144" t="s">
        <v>98</v>
      </c>
      <c r="D79" s="28"/>
      <c r="E79" s="714">
        <f>Delivery!E79*'COST (Baht)'!E$8*'COST (Baht)'!E$14</f>
        <v>0</v>
      </c>
      <c r="F79" s="714">
        <f>Delivery!F79*'COST (Baht)'!F$8*'COST (Baht)'!F$14</f>
        <v>0</v>
      </c>
      <c r="G79" s="714">
        <f>Delivery!G79*'COST (Baht)'!G$8*'COST (Baht)'!G$14</f>
        <v>0</v>
      </c>
      <c r="H79" s="714">
        <f>Delivery!H79*'COST (Baht)'!H$8*'COST (Baht)'!H$14</f>
        <v>0</v>
      </c>
      <c r="I79" s="714">
        <f>Delivery!I79*'COST (Baht)'!I$8*'COST (Baht)'!I$14</f>
        <v>0</v>
      </c>
      <c r="J79" s="714">
        <f>Delivery!J79*'COST (Baht)'!J$8*'COST (Baht)'!J$14</f>
        <v>0</v>
      </c>
      <c r="K79" s="714">
        <f>Delivery!K79*'COST (Baht)'!K$8*'COST (Baht)'!K$14</f>
        <v>0</v>
      </c>
      <c r="L79" s="714">
        <f>Delivery!L79*'COST (Baht)'!L$8*'COST (Baht)'!L$14</f>
        <v>0</v>
      </c>
      <c r="M79" s="714">
        <f>Delivery!M79*'COST (Baht)'!M$8*'COST (Baht)'!M$14</f>
        <v>0</v>
      </c>
      <c r="N79" s="714">
        <f>Delivery!N79*'COST (Baht)'!N$8*'COST (Baht)'!N$14</f>
        <v>0</v>
      </c>
      <c r="O79" s="714">
        <f>Delivery!O79*'COST (Baht)'!O$8*'COST (Baht)'!O$14</f>
        <v>0</v>
      </c>
      <c r="P79" s="714">
        <f>Delivery!P79*'COST (Baht)'!P$8*'COST (Baht)'!P$14</f>
        <v>0</v>
      </c>
      <c r="T79" s="742"/>
      <c r="U79" s="738"/>
      <c r="V79" s="740"/>
      <c r="W79" s="740"/>
      <c r="X79" s="740"/>
      <c r="Y79" s="740"/>
      <c r="Z79" s="740"/>
      <c r="AA79" s="740"/>
      <c r="AB79" s="740"/>
      <c r="AC79" s="740"/>
      <c r="AD79" s="740"/>
      <c r="AE79" s="740"/>
      <c r="AF79" s="740"/>
      <c r="AG79" s="740"/>
    </row>
    <row r="80" spans="1:50" ht="15.5">
      <c r="A80" s="867" t="str">
        <f>Table3[[#This Row],[Product]]</f>
        <v>LPG-D</v>
      </c>
      <c r="B80" s="28" t="s">
        <v>25</v>
      </c>
      <c r="C80" s="35" t="s">
        <v>99</v>
      </c>
      <c r="D80" s="28"/>
      <c r="E80" s="714">
        <f>Delivery!E80*'COST (Baht)'!E$7*'COST (Baht)'!E$14</f>
        <v>19167477.250684705</v>
      </c>
      <c r="F80" s="714">
        <f>Delivery!F80*'COST (Baht)'!F$7*'COST (Baht)'!F$14</f>
        <v>0</v>
      </c>
      <c r="G80" s="714">
        <f>Delivery!G80*'COST (Baht)'!G$7*'COST (Baht)'!G$14</f>
        <v>119957751.76884405</v>
      </c>
      <c r="H80" s="714">
        <f>Delivery!H80*'COST (Baht)'!H$7*'COST (Baht)'!H$14</f>
        <v>69591524.466376483</v>
      </c>
      <c r="I80" s="714">
        <f>Delivery!I80*'COST (Baht)'!I$7*'COST (Baht)'!I$14</f>
        <v>87246328.183969393</v>
      </c>
      <c r="J80" s="714">
        <f>Delivery!J80*'COST (Baht)'!J$7*'COST (Baht)'!J$14</f>
        <v>147763384.95952988</v>
      </c>
      <c r="K80" s="714">
        <f>Delivery!K80*'COST (Baht)'!K$7*'COST (Baht)'!K$14</f>
        <v>134835489.58584544</v>
      </c>
      <c r="L80" s="714">
        <f>Delivery!L80*'COST (Baht)'!L$7*'COST (Baht)'!L$14</f>
        <v>136955459.70803255</v>
      </c>
      <c r="M80" s="714">
        <f>Delivery!M80*'COST (Baht)'!M$7*'COST (Baht)'!M$14</f>
        <v>135723695.2234419</v>
      </c>
      <c r="N80" s="714">
        <f>Delivery!N80*'COST (Baht)'!N$7*'COST (Baht)'!N$14</f>
        <v>113878374.38004756</v>
      </c>
      <c r="O80" s="714">
        <f>Delivery!O80*'COST (Baht)'!O$7*'COST (Baht)'!O$14</f>
        <v>138143599.03999662</v>
      </c>
      <c r="P80" s="714">
        <f>Delivery!P80*'COST (Baht)'!P$7*'COST (Baht)'!P$14</f>
        <v>138109869.46437457</v>
      </c>
      <c r="T80" s="151"/>
      <c r="U80" s="738"/>
      <c r="V80" s="740"/>
      <c r="W80" s="740"/>
      <c r="X80" s="740"/>
      <c r="Y80" s="740"/>
      <c r="Z80" s="740"/>
      <c r="AA80" s="740"/>
      <c r="AB80" s="740"/>
      <c r="AC80" s="740"/>
      <c r="AD80" s="740"/>
      <c r="AE80" s="740"/>
      <c r="AF80" s="740"/>
      <c r="AG80" s="740"/>
    </row>
    <row r="81" spans="1:33" ht="15.5">
      <c r="A81" s="885" t="str">
        <f>Table3[[#This Row],[Product]]</f>
        <v>LPG-D</v>
      </c>
      <c r="B81" s="28" t="s">
        <v>25</v>
      </c>
      <c r="C81" s="35" t="s">
        <v>600</v>
      </c>
      <c r="D81" s="28"/>
      <c r="E81" s="714">
        <f>Delivery!E81*'COST (Baht)'!E$7*'COST (Baht)'!E$14</f>
        <v>0</v>
      </c>
      <c r="F81" s="714">
        <f>Delivery!F81*'COST (Baht)'!F$7*'COST (Baht)'!F$14</f>
        <v>26069029.671592388</v>
      </c>
      <c r="G81" s="714">
        <f>Delivery!G81*'COST (Baht)'!G$7*'COST (Baht)'!G$14</f>
        <v>0</v>
      </c>
      <c r="H81" s="714">
        <f>Delivery!H81*'COST (Baht)'!H$7*'COST (Baht)'!H$14</f>
        <v>0</v>
      </c>
      <c r="I81" s="714">
        <f>Delivery!I81*'COST (Baht)'!I$7*'COST (Baht)'!I$14</f>
        <v>0</v>
      </c>
      <c r="J81" s="714">
        <f>Delivery!J81*'COST (Baht)'!J$7*'COST (Baht)'!J$14</f>
        <v>0</v>
      </c>
      <c r="K81" s="714">
        <f>Delivery!K81*'COST (Baht)'!K$7*'COST (Baht)'!K$14</f>
        <v>0</v>
      </c>
      <c r="L81" s="714">
        <f>Delivery!L81*'COST (Baht)'!L$7*'COST (Baht)'!L$14</f>
        <v>0</v>
      </c>
      <c r="M81" s="714">
        <f>Delivery!M81*'COST (Baht)'!M$7*'COST (Baht)'!M$14</f>
        <v>0</v>
      </c>
      <c r="N81" s="714">
        <f>Delivery!N81*'COST (Baht)'!N$7*'COST (Baht)'!N$14</f>
        <v>0</v>
      </c>
      <c r="O81" s="714">
        <f>Delivery!O81*'COST (Baht)'!O$7*'COST (Baht)'!O$14</f>
        <v>0</v>
      </c>
      <c r="P81" s="714">
        <f>Delivery!P81*'COST (Baht)'!P$7*'COST (Baht)'!P$14</f>
        <v>0</v>
      </c>
      <c r="T81" s="738"/>
      <c r="U81" s="738"/>
      <c r="V81" s="738"/>
      <c r="W81" s="738"/>
      <c r="X81" s="738"/>
      <c r="Y81" s="738"/>
      <c r="Z81" s="738"/>
      <c r="AA81" s="738"/>
      <c r="AB81" s="738"/>
      <c r="AC81" s="738"/>
      <c r="AD81" s="738"/>
      <c r="AE81" s="738"/>
      <c r="AF81" s="738"/>
      <c r="AG81" s="738"/>
    </row>
    <row r="82" spans="1:33" ht="15.5">
      <c r="A82" s="867" t="str">
        <f>Table3[[#This Row],[Product]]</f>
        <v>LPG-D</v>
      </c>
      <c r="B82" s="28" t="s">
        <v>25</v>
      </c>
      <c r="C82" s="144" t="s">
        <v>102</v>
      </c>
      <c r="D82" s="28"/>
      <c r="E82" s="714">
        <f>Delivery!E82*'COST (Baht)'!E$8*'COST (Baht)'!E$14</f>
        <v>0</v>
      </c>
      <c r="F82" s="714">
        <f>Delivery!F82*'COST (Baht)'!F$8*'COST (Baht)'!F$14</f>
        <v>0</v>
      </c>
      <c r="G82" s="714">
        <f>Delivery!G82*'COST (Baht)'!G$8*'COST (Baht)'!G$14</f>
        <v>0</v>
      </c>
      <c r="H82" s="714">
        <f>Delivery!H82*'COST (Baht)'!H$8*'COST (Baht)'!H$14</f>
        <v>0</v>
      </c>
      <c r="I82" s="714">
        <f>Delivery!I82*'COST (Baht)'!I$8*'COST (Baht)'!I$14</f>
        <v>0</v>
      </c>
      <c r="J82" s="714">
        <f>Delivery!J82*'COST (Baht)'!J$8*'COST (Baht)'!J$14</f>
        <v>0</v>
      </c>
      <c r="K82" s="714">
        <f>Delivery!K82*'COST (Baht)'!K$8*'COST (Baht)'!K$14</f>
        <v>0</v>
      </c>
      <c r="L82" s="714">
        <f>Delivery!L82*'COST (Baht)'!L$8*'COST (Baht)'!L$14</f>
        <v>0</v>
      </c>
      <c r="M82" s="714">
        <f>Delivery!M82*'COST (Baht)'!M$8*'COST (Baht)'!M$14</f>
        <v>0</v>
      </c>
      <c r="N82" s="714">
        <f>Delivery!N82*'COST (Baht)'!N$8*'COST (Baht)'!N$14</f>
        <v>0</v>
      </c>
      <c r="O82" s="714">
        <f>Delivery!O82*'COST (Baht)'!O$8*'COST (Baht)'!O$14</f>
        <v>0</v>
      </c>
      <c r="P82" s="714">
        <f>Delivery!P82*'COST (Baht)'!P$8*'COST (Baht)'!P$14</f>
        <v>0</v>
      </c>
    </row>
    <row r="83" spans="1:33" ht="15.5">
      <c r="A83" s="867" t="str">
        <f>Table3[[#This Row],[Product]]</f>
        <v>LPG-D</v>
      </c>
      <c r="B83" s="28" t="s">
        <v>25</v>
      </c>
      <c r="C83" s="35" t="s">
        <v>103</v>
      </c>
      <c r="D83" s="28"/>
      <c r="E83" s="714">
        <f>Delivery!E83*'COST (Baht)'!E$7*'COST (Baht)'!E$14</f>
        <v>7756257.0119530456</v>
      </c>
      <c r="F83" s="714">
        <f>Delivery!F83*'COST (Baht)'!F$7*'COST (Baht)'!F$14</f>
        <v>19622501.18528742</v>
      </c>
      <c r="G83" s="714">
        <f>Delivery!G83*'COST (Baht)'!G$7*'COST (Baht)'!G$14</f>
        <v>35668583.163519278</v>
      </c>
      <c r="H83" s="714">
        <f>Delivery!H83*'COST (Baht)'!H$7*'COST (Baht)'!H$14</f>
        <v>34739841.139401801</v>
      </c>
      <c r="I83" s="714">
        <f>Delivery!I83*'COST (Baht)'!I$7*'COST (Baht)'!I$14</f>
        <v>27669782.570416052</v>
      </c>
      <c r="J83" s="714">
        <f>Delivery!J83*'COST (Baht)'!J$7*'COST (Baht)'!J$14</f>
        <v>37886492.192862421</v>
      </c>
      <c r="K83" s="714">
        <f>Delivery!K83*'COST (Baht)'!K$7*'COST (Baht)'!K$14</f>
        <v>44614684.054140039</v>
      </c>
      <c r="L83" s="714">
        <f>Delivery!L83*'COST (Baht)'!L$7*'COST (Baht)'!L$14</f>
        <v>45316144.756334297</v>
      </c>
      <c r="M83" s="714">
        <f>Delivery!M83*'COST (Baht)'!M$7*'COST (Baht)'!M$14</f>
        <v>44908575.625403576</v>
      </c>
      <c r="N83" s="714">
        <f>Delivery!N83*'COST (Baht)'!N$7*'COST (Baht)'!N$14</f>
        <v>37680344.46398633</v>
      </c>
      <c r="O83" s="714">
        <f>Delivery!O83*'COST (Baht)'!O$7*'COST (Baht)'!O$14</f>
        <v>45709279.094116531</v>
      </c>
      <c r="P83" s="714">
        <f>Delivery!P83*'COST (Baht)'!P$7*'COST (Baht)'!P$14</f>
        <v>45698118.572770998</v>
      </c>
      <c r="T83" s="1344" t="s">
        <v>550</v>
      </c>
      <c r="U83" s="1344"/>
      <c r="V83" s="1344"/>
      <c r="W83" s="1344"/>
      <c r="X83" s="1344"/>
      <c r="Y83" s="1344"/>
      <c r="Z83" s="1344"/>
      <c r="AA83" s="1344"/>
      <c r="AB83" s="1344"/>
      <c r="AC83" s="1344"/>
      <c r="AD83" s="1344"/>
      <c r="AE83" s="1344"/>
      <c r="AF83" s="1344"/>
      <c r="AG83" s="1344"/>
    </row>
    <row r="84" spans="1:33" ht="15.5">
      <c r="A84" s="867" t="str">
        <f>Table3[[#This Row],[Product]]</f>
        <v>LPG-D</v>
      </c>
      <c r="B84" s="28" t="s">
        <v>25</v>
      </c>
      <c r="C84" s="35" t="s">
        <v>104</v>
      </c>
      <c r="D84" s="28"/>
      <c r="E84" s="714">
        <f>Delivery!E84*'COST (Baht)'!E$7*'COST (Baht)'!E$14</f>
        <v>7965338.6253386447</v>
      </c>
      <c r="F84" s="714">
        <f>Delivery!F84*'COST (Baht)'!F$7*'COST (Baht)'!F$14</f>
        <v>7960489.8652356127</v>
      </c>
      <c r="G84" s="714">
        <f>Delivery!G84*'COST (Baht)'!G$7*'COST (Baht)'!G$14</f>
        <v>14051990.027822044</v>
      </c>
      <c r="H84" s="714">
        <f>Delivery!H84*'COST (Baht)'!H$7*'COST (Baht)'!H$14</f>
        <v>13702003.898897041</v>
      </c>
      <c r="I84" s="714">
        <f>Delivery!I84*'COST (Baht)'!I$7*'COST (Baht)'!I$14</f>
        <v>13337805.565842712</v>
      </c>
      <c r="J84" s="714">
        <f>Delivery!J84*'COST (Baht)'!J$7*'COST (Baht)'!J$14</f>
        <v>14732558.5218834</v>
      </c>
      <c r="K84" s="714">
        <f>Delivery!K84*'COST (Baht)'!K$7*'COST (Baht)'!K$14</f>
        <v>7435780.6756900065</v>
      </c>
      <c r="L84" s="714">
        <f>Delivery!L84*'COST (Baht)'!L$7*'COST (Baht)'!L$14</f>
        <v>7552690.7927223826</v>
      </c>
      <c r="M84" s="714">
        <f>Delivery!M84*'COST (Baht)'!M$7*'COST (Baht)'!M$14</f>
        <v>7484762.604233928</v>
      </c>
      <c r="N84" s="714">
        <f>Delivery!N84*'COST (Baht)'!N$7*'COST (Baht)'!N$14</f>
        <v>6280057.410664388</v>
      </c>
      <c r="O84" s="714">
        <f>Delivery!O84*'COST (Baht)'!O$7*'COST (Baht)'!O$14</f>
        <v>7618213.1823527562</v>
      </c>
      <c r="P84" s="714">
        <f>Delivery!P84*'COST (Baht)'!P$7*'COST (Baht)'!P$14</f>
        <v>7616353.0954618333</v>
      </c>
      <c r="T84" s="1344"/>
      <c r="U84" s="1344"/>
      <c r="V84" s="1344"/>
      <c r="W84" s="1344"/>
      <c r="X84" s="1344"/>
      <c r="Y84" s="1344"/>
      <c r="Z84" s="1344"/>
      <c r="AA84" s="1344"/>
      <c r="AB84" s="1344"/>
      <c r="AC84" s="1344"/>
      <c r="AD84" s="1344"/>
      <c r="AE84" s="1344"/>
      <c r="AF84" s="1344"/>
      <c r="AG84" s="1344"/>
    </row>
    <row r="85" spans="1:33" ht="15.5">
      <c r="A85" s="867" t="str">
        <f>Table3[[#This Row],[Product]]</f>
        <v>LPG-D</v>
      </c>
      <c r="B85" s="28" t="s">
        <v>25</v>
      </c>
      <c r="C85" s="145" t="s">
        <v>105</v>
      </c>
      <c r="D85" s="28"/>
      <c r="E85" s="714">
        <f>Delivery!E85*'COST (Baht)'!E$8*'COST (Baht)'!E$14</f>
        <v>0</v>
      </c>
      <c r="F85" s="714">
        <f>Delivery!F85*'COST (Baht)'!F$8*'COST (Baht)'!F$14</f>
        <v>0</v>
      </c>
      <c r="G85" s="714">
        <f>Delivery!G85*'COST (Baht)'!G$8*'COST (Baht)'!G$14</f>
        <v>0</v>
      </c>
      <c r="H85" s="714">
        <f>Delivery!H85*'COST (Baht)'!H$8*'COST (Baht)'!H$14</f>
        <v>0</v>
      </c>
      <c r="I85" s="714">
        <f>Delivery!I85*'COST (Baht)'!I$8*'COST (Baht)'!I$14</f>
        <v>0</v>
      </c>
      <c r="J85" s="714">
        <f>Delivery!J85*'COST (Baht)'!J$8*'COST (Baht)'!J$14</f>
        <v>0</v>
      </c>
      <c r="K85" s="714">
        <f>Delivery!K85*'COST (Baht)'!K$8*'COST (Baht)'!K$14</f>
        <v>0</v>
      </c>
      <c r="L85" s="714">
        <f>Delivery!L85*'COST (Baht)'!L$8*'COST (Baht)'!L$14</f>
        <v>0</v>
      </c>
      <c r="M85" s="714">
        <f>Delivery!M85*'COST (Baht)'!M$8*'COST (Baht)'!M$14</f>
        <v>0</v>
      </c>
      <c r="N85" s="714">
        <f>Delivery!N85*'COST (Baht)'!N$8*'COST (Baht)'!N$14</f>
        <v>0</v>
      </c>
      <c r="O85" s="714">
        <f>Delivery!O85*'COST (Baht)'!O$8*'COST (Baht)'!O$14</f>
        <v>0</v>
      </c>
      <c r="P85" s="714">
        <f>Delivery!P85*'COST (Baht)'!P$8*'COST (Baht)'!P$14</f>
        <v>0</v>
      </c>
      <c r="Q85" s="222"/>
      <c r="R85" s="223"/>
      <c r="V85" s="43">
        <v>23377</v>
      </c>
      <c r="W85" s="43">
        <v>23408</v>
      </c>
      <c r="X85" s="43">
        <v>23437</v>
      </c>
      <c r="Y85" s="43">
        <v>23468</v>
      </c>
      <c r="Z85" s="43">
        <v>23498</v>
      </c>
      <c r="AA85" s="43">
        <v>23529</v>
      </c>
      <c r="AB85" s="43">
        <v>23559</v>
      </c>
      <c r="AC85" s="43">
        <v>23590</v>
      </c>
      <c r="AD85" s="43">
        <v>23621</v>
      </c>
      <c r="AE85" s="43">
        <v>23651</v>
      </c>
      <c r="AF85" s="43">
        <v>23682</v>
      </c>
      <c r="AG85" s="43">
        <v>23712</v>
      </c>
    </row>
    <row r="86" spans="1:33" ht="23.5">
      <c r="A86" s="867" t="str">
        <f>Table3[[#This Row],[Product]]</f>
        <v>LPG-D</v>
      </c>
      <c r="B86" s="28" t="s">
        <v>25</v>
      </c>
      <c r="C86" s="38" t="s">
        <v>106</v>
      </c>
      <c r="D86" s="28"/>
      <c r="E86" s="714">
        <f>Delivery!E86*'COST (Baht)'!E$7*'COST (Baht)'!E$14</f>
        <v>0</v>
      </c>
      <c r="F86" s="714">
        <f>Delivery!F86*'COST (Baht)'!F$7*'COST (Baht)'!F$14</f>
        <v>0</v>
      </c>
      <c r="G86" s="714">
        <f>Delivery!G86*'COST (Baht)'!G$7*'COST (Baht)'!G$14</f>
        <v>0</v>
      </c>
      <c r="H86" s="714">
        <f>Delivery!H86*'COST (Baht)'!H$7*'COST (Baht)'!H$14</f>
        <v>0</v>
      </c>
      <c r="I86" s="714">
        <f>Delivery!I86*'COST (Baht)'!I$7*'COST (Baht)'!I$14</f>
        <v>0</v>
      </c>
      <c r="J86" s="714">
        <f>Delivery!J86*'COST (Baht)'!J$7*'COST (Baht)'!J$14</f>
        <v>0</v>
      </c>
      <c r="K86" s="714">
        <f>Delivery!K86*'COST (Baht)'!K$7*'COST (Baht)'!K$14</f>
        <v>0</v>
      </c>
      <c r="L86" s="714">
        <f>Delivery!L86*'COST (Baht)'!L$7*'COST (Baht)'!L$14</f>
        <v>0</v>
      </c>
      <c r="M86" s="714">
        <f>Delivery!M86*'COST (Baht)'!M$7*'COST (Baht)'!M$14</f>
        <v>0</v>
      </c>
      <c r="N86" s="714">
        <f>Delivery!N86*'COST (Baht)'!N$7*'COST (Baht)'!N$14</f>
        <v>0</v>
      </c>
      <c r="O86" s="714">
        <f>Delivery!O86*'COST (Baht)'!O$7*'COST (Baht)'!O$14</f>
        <v>0</v>
      </c>
      <c r="P86" s="714">
        <f>Delivery!P86*'COST (Baht)'!P$7*'COST (Baht)'!P$14</f>
        <v>0</v>
      </c>
      <c r="Q86" s="222"/>
      <c r="R86" s="223"/>
      <c r="T86" s="44" t="s">
        <v>214</v>
      </c>
      <c r="U86" s="702"/>
    </row>
    <row r="87" spans="1:33" ht="15.5">
      <c r="A87" s="867" t="str">
        <f>Table3[[#This Row],[Product]]</f>
        <v>LPG-D</v>
      </c>
      <c r="B87" s="28" t="s">
        <v>25</v>
      </c>
      <c r="C87" s="145" t="s">
        <v>107</v>
      </c>
      <c r="D87" s="28"/>
      <c r="E87" s="714">
        <f>Delivery!E87*'COST (Baht)'!E$8*'COST (Baht)'!E$14</f>
        <v>0</v>
      </c>
      <c r="F87" s="714">
        <f>Delivery!F87*'COST (Baht)'!F$8*'COST (Baht)'!F$14</f>
        <v>0</v>
      </c>
      <c r="G87" s="714">
        <f>Delivery!G87*'COST (Baht)'!G$8*'COST (Baht)'!G$14</f>
        <v>0</v>
      </c>
      <c r="H87" s="714">
        <f>Delivery!H87*'COST (Baht)'!H$8*'COST (Baht)'!H$14</f>
        <v>0</v>
      </c>
      <c r="I87" s="714">
        <f>Delivery!I87*'COST (Baht)'!I$8*'COST (Baht)'!I$14</f>
        <v>0</v>
      </c>
      <c r="J87" s="714">
        <f>Delivery!J87*'COST (Baht)'!J$8*'COST (Baht)'!J$14</f>
        <v>0</v>
      </c>
      <c r="K87" s="714">
        <f>Delivery!K87*'COST (Baht)'!K$8*'COST (Baht)'!K$14</f>
        <v>0</v>
      </c>
      <c r="L87" s="714">
        <f>Delivery!L87*'COST (Baht)'!L$8*'COST (Baht)'!L$14</f>
        <v>0</v>
      </c>
      <c r="M87" s="714">
        <f>Delivery!M87*'COST (Baht)'!M$8*'COST (Baht)'!M$14</f>
        <v>0</v>
      </c>
      <c r="N87" s="714">
        <f>Delivery!N87*'COST (Baht)'!N$8*'COST (Baht)'!N$14</f>
        <v>0</v>
      </c>
      <c r="O87" s="714">
        <f>Delivery!O87*'COST (Baht)'!O$8*'COST (Baht)'!O$14</f>
        <v>0</v>
      </c>
      <c r="P87" s="714">
        <f>Delivery!P87*'COST (Baht)'!P$8*'COST (Baht)'!P$14</f>
        <v>0</v>
      </c>
      <c r="Q87" s="222"/>
      <c r="R87" s="223"/>
      <c r="T87" t="s">
        <v>217</v>
      </c>
      <c r="V87" s="735">
        <f t="shared" ref="V87:AG89" si="27">E$17</f>
        <v>505.86514414172041</v>
      </c>
      <c r="W87" s="735">
        <f t="shared" si="27"/>
        <v>605.23967992109237</v>
      </c>
      <c r="X87" s="735">
        <f t="shared" si="27"/>
        <v>610.99455878959702</v>
      </c>
      <c r="Y87" s="735">
        <f t="shared" si="27"/>
        <v>588.87963295953205</v>
      </c>
      <c r="Z87" s="735">
        <f t="shared" si="27"/>
        <v>562.06705604501542</v>
      </c>
      <c r="AA87" s="735">
        <f t="shared" si="27"/>
        <v>566.47</v>
      </c>
      <c r="AB87" s="735">
        <f t="shared" si="27"/>
        <v>0</v>
      </c>
      <c r="AC87" s="735">
        <f t="shared" si="27"/>
        <v>0</v>
      </c>
      <c r="AD87" s="735">
        <f t="shared" si="27"/>
        <v>0</v>
      </c>
      <c r="AE87" s="735">
        <f t="shared" si="27"/>
        <v>0</v>
      </c>
      <c r="AF87" s="735">
        <f t="shared" si="27"/>
        <v>0</v>
      </c>
      <c r="AG87" s="735">
        <f t="shared" si="27"/>
        <v>0</v>
      </c>
    </row>
    <row r="88" spans="1:33" ht="15.5">
      <c r="A88" s="867" t="str">
        <f>Table3[[#This Row],[Product]]</f>
        <v>LPG-D</v>
      </c>
      <c r="B88" s="28" t="s">
        <v>25</v>
      </c>
      <c r="C88" s="38" t="s">
        <v>108</v>
      </c>
      <c r="D88" s="28"/>
      <c r="E88" s="714">
        <f>Delivery!E88*'COST (Baht)'!E$7*'COST (Baht)'!E$14</f>
        <v>0</v>
      </c>
      <c r="F88" s="714">
        <f>Delivery!F88*'COST (Baht)'!F$7*'COST (Baht)'!F$14</f>
        <v>0</v>
      </c>
      <c r="G88" s="714">
        <f>Delivery!G88*'COST (Baht)'!G$7*'COST (Baht)'!G$14</f>
        <v>0</v>
      </c>
      <c r="H88" s="714">
        <f>Delivery!H88*'COST (Baht)'!H$7*'COST (Baht)'!H$14</f>
        <v>0</v>
      </c>
      <c r="I88" s="714">
        <f>Delivery!I88*'COST (Baht)'!I$7*'COST (Baht)'!I$14</f>
        <v>0</v>
      </c>
      <c r="J88" s="714">
        <f>Delivery!J88*'COST (Baht)'!J$7*'COST (Baht)'!J$14</f>
        <v>0</v>
      </c>
      <c r="K88" s="714">
        <f>Delivery!K88*'COST (Baht)'!K$7*'COST (Baht)'!K$14</f>
        <v>0</v>
      </c>
      <c r="L88" s="714">
        <f>Delivery!L88*'COST (Baht)'!L$7*'COST (Baht)'!L$14</f>
        <v>0</v>
      </c>
      <c r="M88" s="714">
        <f>Delivery!M88*'COST (Baht)'!M$7*'COST (Baht)'!M$14</f>
        <v>0</v>
      </c>
      <c r="N88" s="714">
        <f>Delivery!N88*'COST (Baht)'!N$7*'COST (Baht)'!N$14</f>
        <v>0</v>
      </c>
      <c r="O88" s="714">
        <f>Delivery!O88*'COST (Baht)'!O$7*'COST (Baht)'!O$14</f>
        <v>0</v>
      </c>
      <c r="P88" s="714">
        <f>Delivery!P88*'COST (Baht)'!P$7*'COST (Baht)'!P$14</f>
        <v>0</v>
      </c>
      <c r="Q88" s="222"/>
      <c r="R88" s="223"/>
      <c r="T88" t="s">
        <v>218</v>
      </c>
      <c r="V88" s="735">
        <f t="shared" si="27"/>
        <v>505.86514414172041</v>
      </c>
      <c r="W88" s="735">
        <f t="shared" si="27"/>
        <v>605.23967992109237</v>
      </c>
      <c r="X88" s="735">
        <f t="shared" si="27"/>
        <v>610.99455878959702</v>
      </c>
      <c r="Y88" s="735">
        <f t="shared" si="27"/>
        <v>588.87963295953205</v>
      </c>
      <c r="Z88" s="735">
        <f t="shared" si="27"/>
        <v>562.06705604501542</v>
      </c>
      <c r="AA88" s="735">
        <f t="shared" si="27"/>
        <v>566.47</v>
      </c>
      <c r="AB88" s="735">
        <f t="shared" si="27"/>
        <v>0</v>
      </c>
      <c r="AC88" s="735">
        <f t="shared" si="27"/>
        <v>0</v>
      </c>
      <c r="AD88" s="735">
        <f t="shared" si="27"/>
        <v>0</v>
      </c>
      <c r="AE88" s="735">
        <f t="shared" si="27"/>
        <v>0</v>
      </c>
      <c r="AF88" s="735">
        <f t="shared" si="27"/>
        <v>0</v>
      </c>
      <c r="AG88" s="735">
        <f t="shared" si="27"/>
        <v>0</v>
      </c>
    </row>
    <row r="89" spans="1:33" ht="15.5">
      <c r="A89" s="867" t="str">
        <f>Table3[[#This Row],[Product]]</f>
        <v>LPG-D</v>
      </c>
      <c r="B89" s="28" t="s">
        <v>25</v>
      </c>
      <c r="C89" s="145" t="s">
        <v>109</v>
      </c>
      <c r="D89" s="28"/>
      <c r="E89" s="714">
        <f>Delivery!E89*'COST (Baht)'!E$8*'COST (Baht)'!E$14</f>
        <v>0</v>
      </c>
      <c r="F89" s="714">
        <f>Delivery!F89*'COST (Baht)'!F$8*'COST (Baht)'!F$14</f>
        <v>0</v>
      </c>
      <c r="G89" s="714">
        <f>Delivery!G89*'COST (Baht)'!G$8*'COST (Baht)'!G$14</f>
        <v>0</v>
      </c>
      <c r="H89" s="714">
        <f>Delivery!H89*'COST (Baht)'!H$8*'COST (Baht)'!H$14</f>
        <v>0</v>
      </c>
      <c r="I89" s="714">
        <f>Delivery!I89*'COST (Baht)'!I$8*'COST (Baht)'!I$14</f>
        <v>0</v>
      </c>
      <c r="J89" s="714">
        <f>Delivery!J89*'COST (Baht)'!J$8*'COST (Baht)'!J$14</f>
        <v>0</v>
      </c>
      <c r="K89" s="714">
        <f>Delivery!K89*'COST (Baht)'!K$8*'COST (Baht)'!K$14</f>
        <v>0</v>
      </c>
      <c r="L89" s="714">
        <f>Delivery!L89*'COST (Baht)'!L$8*'COST (Baht)'!L$14</f>
        <v>0</v>
      </c>
      <c r="M89" s="714">
        <f>Delivery!M89*'COST (Baht)'!M$8*'COST (Baht)'!M$14</f>
        <v>0</v>
      </c>
      <c r="N89" s="714">
        <f>Delivery!N89*'COST (Baht)'!N$8*'COST (Baht)'!N$14</f>
        <v>0</v>
      </c>
      <c r="O89" s="714">
        <f>Delivery!O89*'COST (Baht)'!O$8*'COST (Baht)'!O$14</f>
        <v>0</v>
      </c>
      <c r="P89" s="714">
        <f>Delivery!P89*'COST (Baht)'!P$8*'COST (Baht)'!P$14</f>
        <v>0</v>
      </c>
      <c r="Q89" s="222"/>
      <c r="R89" s="223"/>
      <c r="T89" t="s">
        <v>220</v>
      </c>
      <c r="V89" s="735">
        <f t="shared" si="27"/>
        <v>505.86514414172041</v>
      </c>
      <c r="W89" s="735">
        <f t="shared" si="27"/>
        <v>605.23967992109237</v>
      </c>
      <c r="X89" s="735">
        <f t="shared" si="27"/>
        <v>610.99455878959702</v>
      </c>
      <c r="Y89" s="735">
        <f t="shared" si="27"/>
        <v>588.87963295953205</v>
      </c>
      <c r="Z89" s="735">
        <f t="shared" si="27"/>
        <v>562.06705604501542</v>
      </c>
      <c r="AA89" s="735">
        <f t="shared" si="27"/>
        <v>566.47</v>
      </c>
      <c r="AB89" s="735">
        <f t="shared" si="27"/>
        <v>0</v>
      </c>
      <c r="AC89" s="735">
        <f t="shared" si="27"/>
        <v>0</v>
      </c>
      <c r="AD89" s="735">
        <f t="shared" si="27"/>
        <v>0</v>
      </c>
      <c r="AE89" s="735">
        <f t="shared" si="27"/>
        <v>0</v>
      </c>
      <c r="AF89" s="735">
        <f t="shared" si="27"/>
        <v>0</v>
      </c>
      <c r="AG89" s="735">
        <f t="shared" si="27"/>
        <v>0</v>
      </c>
    </row>
    <row r="90" spans="1:33" ht="15.5">
      <c r="A90" s="867" t="str">
        <f>Table3[[#This Row],[Product]]</f>
        <v>LPG-D</v>
      </c>
      <c r="B90" s="28" t="s">
        <v>25</v>
      </c>
      <c r="C90" s="38" t="s">
        <v>110</v>
      </c>
      <c r="D90" s="28"/>
      <c r="E90" s="714">
        <f>Delivery!E90*'COST (Baht)'!E$7*'COST (Baht)'!E$14</f>
        <v>0</v>
      </c>
      <c r="F90" s="714">
        <f>Delivery!F90*'COST (Baht)'!F$7*'COST (Baht)'!F$14</f>
        <v>0</v>
      </c>
      <c r="G90" s="714">
        <f>Delivery!G90*'COST (Baht)'!G$7*'COST (Baht)'!G$14</f>
        <v>0</v>
      </c>
      <c r="H90" s="714">
        <f>Delivery!H90*'COST (Baht)'!H$7*'COST (Baht)'!H$14</f>
        <v>0</v>
      </c>
      <c r="I90" s="714">
        <f>Delivery!I90*'COST (Baht)'!I$7*'COST (Baht)'!I$14</f>
        <v>0</v>
      </c>
      <c r="J90" s="714">
        <f>Delivery!J90*'COST (Baht)'!J$7*'COST (Baht)'!J$14</f>
        <v>0</v>
      </c>
      <c r="K90" s="714">
        <f>Delivery!K90*'COST (Baht)'!K$7*'COST (Baht)'!K$14</f>
        <v>0</v>
      </c>
      <c r="L90" s="714">
        <f>Delivery!L90*'COST (Baht)'!L$7*'COST (Baht)'!L$14</f>
        <v>0</v>
      </c>
      <c r="M90" s="714">
        <f>Delivery!M90*'COST (Baht)'!M$7*'COST (Baht)'!M$14</f>
        <v>0</v>
      </c>
      <c r="N90" s="714">
        <f>Delivery!N90*'COST (Baht)'!N$7*'COST (Baht)'!N$14</f>
        <v>0</v>
      </c>
      <c r="O90" s="714">
        <f>Delivery!O90*'COST (Baht)'!O$7*'COST (Baht)'!O$14</f>
        <v>0</v>
      </c>
      <c r="P90" s="714">
        <f>Delivery!P90*'COST (Baht)'!P$7*'COST (Baht)'!P$14</f>
        <v>0</v>
      </c>
      <c r="Q90" s="222"/>
      <c r="R90" s="223"/>
      <c r="T90" t="s">
        <v>177</v>
      </c>
      <c r="V90" s="736"/>
      <c r="W90" s="736"/>
      <c r="X90" s="736"/>
      <c r="Y90" s="736"/>
      <c r="Z90" s="736"/>
      <c r="AA90" s="736"/>
      <c r="AB90" s="736"/>
      <c r="AC90" s="736"/>
      <c r="AD90" s="736"/>
      <c r="AE90" s="736"/>
      <c r="AF90" s="736"/>
      <c r="AG90" s="736"/>
    </row>
    <row r="91" spans="1:33" ht="23.5">
      <c r="A91" s="867" t="str">
        <f>Table3[[#This Row],[Product]]</f>
        <v>LPG-D</v>
      </c>
      <c r="B91" s="28" t="s">
        <v>25</v>
      </c>
      <c r="C91" s="145" t="s">
        <v>111</v>
      </c>
      <c r="D91" s="145"/>
      <c r="E91" s="714">
        <f>Delivery!E91*'COST (Baht)'!E$8*'COST (Baht)'!E$14</f>
        <v>153642166.36709046</v>
      </c>
      <c r="F91" s="714">
        <f>Delivery!F91*'COST (Baht)'!F$8*'COST (Baht)'!F$14</f>
        <v>148732320.06387484</v>
      </c>
      <c r="G91" s="714">
        <f>Delivery!G91*'COST (Baht)'!G$8*'COST (Baht)'!G$14</f>
        <v>194235739.28729323</v>
      </c>
      <c r="H91" s="714">
        <f>Delivery!H91*'COST (Baht)'!H$8*'COST (Baht)'!H$14</f>
        <v>145992631.63961452</v>
      </c>
      <c r="I91" s="714">
        <f>Delivery!I91*'COST (Baht)'!I$8*'COST (Baht)'!I$14</f>
        <v>102060593.95349675</v>
      </c>
      <c r="J91" s="714">
        <f>Delivery!J91*'COST (Baht)'!J$8*'COST (Baht)'!J$14</f>
        <v>166499694.72149116</v>
      </c>
      <c r="K91" s="714">
        <f>Delivery!K91*'COST (Baht)'!K$8*'COST (Baht)'!K$14</f>
        <v>94597789.960308701</v>
      </c>
      <c r="L91" s="714">
        <f>Delivery!L91*'COST (Baht)'!L$8*'COST (Baht)'!L$14</f>
        <v>0</v>
      </c>
      <c r="M91" s="714">
        <f>Delivery!M91*'COST (Baht)'!M$8*'COST (Baht)'!M$14</f>
        <v>0</v>
      </c>
      <c r="N91" s="714">
        <f>Delivery!N91*'COST (Baht)'!N$8*'COST (Baht)'!N$14</f>
        <v>0</v>
      </c>
      <c r="O91" s="714">
        <f>Delivery!O91*'COST (Baht)'!O$8*'COST (Baht)'!O$14</f>
        <v>0</v>
      </c>
      <c r="P91" s="714">
        <f>Delivery!P91*'COST (Baht)'!P$8*'COST (Baht)'!P$14</f>
        <v>0</v>
      </c>
      <c r="Q91" s="222"/>
      <c r="R91" s="223"/>
      <c r="T91" s="44" t="s">
        <v>215</v>
      </c>
      <c r="U91" s="702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</row>
    <row r="92" spans="1:33" ht="15.5">
      <c r="A92" s="867" t="str">
        <f>Table3[[#This Row],[Product]]</f>
        <v>LPG-D</v>
      </c>
      <c r="B92" s="28" t="s">
        <v>25</v>
      </c>
      <c r="C92" s="38" t="s">
        <v>112</v>
      </c>
      <c r="D92" s="28"/>
      <c r="E92" s="714">
        <f>Delivery!E92*'COST (Baht)'!E$7*'COST (Baht)'!E$14</f>
        <v>0</v>
      </c>
      <c r="F92" s="714">
        <f>Delivery!F92*'COST (Baht)'!F$7*'COST (Baht)'!F$14</f>
        <v>0</v>
      </c>
      <c r="G92" s="714">
        <f>Delivery!G92*'COST (Baht)'!G$7*'COST (Baht)'!G$14</f>
        <v>0</v>
      </c>
      <c r="H92" s="714">
        <f>Delivery!H92*'COST (Baht)'!H$7*'COST (Baht)'!H$14</f>
        <v>0</v>
      </c>
      <c r="I92" s="714">
        <f>Delivery!I92*'COST (Baht)'!I$7*'COST (Baht)'!I$14</f>
        <v>0</v>
      </c>
      <c r="J92" s="714">
        <f>Delivery!J92*'COST (Baht)'!J$7*'COST (Baht)'!J$14</f>
        <v>0</v>
      </c>
      <c r="K92" s="714">
        <f>Delivery!K92*'COST (Baht)'!K$7*'COST (Baht)'!K$14</f>
        <v>0</v>
      </c>
      <c r="L92" s="714">
        <f>Delivery!L92*'COST (Baht)'!L$7*'COST (Baht)'!L$14</f>
        <v>0</v>
      </c>
      <c r="M92" s="714">
        <f>Delivery!M92*'COST (Baht)'!M$7*'COST (Baht)'!M$14</f>
        <v>0</v>
      </c>
      <c r="N92" s="714">
        <f>Delivery!N92*'COST (Baht)'!N$7*'COST (Baht)'!N$14</f>
        <v>0</v>
      </c>
      <c r="O92" s="714">
        <f>Delivery!O92*'COST (Baht)'!O$7*'COST (Baht)'!O$14</f>
        <v>0</v>
      </c>
      <c r="P92" s="714">
        <f>Delivery!P92*'COST (Baht)'!P$7*'COST (Baht)'!P$14</f>
        <v>0</v>
      </c>
      <c r="Q92" s="222"/>
      <c r="R92" s="223"/>
      <c r="T92" t="s">
        <v>225</v>
      </c>
      <c r="U92" s="734" t="s">
        <v>536</v>
      </c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</row>
    <row r="93" spans="1:33" ht="15.5">
      <c r="A93" s="867" t="str">
        <f>Table3[[#This Row],[Product]]</f>
        <v>LPG-D</v>
      </c>
      <c r="B93" s="28" t="s">
        <v>25</v>
      </c>
      <c r="C93" s="146" t="s">
        <v>113</v>
      </c>
      <c r="D93" s="28"/>
      <c r="E93" s="714">
        <f>Delivery!E93*'COST (Baht)'!E$8*'COST (Baht)'!E$14</f>
        <v>0</v>
      </c>
      <c r="F93" s="714">
        <f>Delivery!F93*'COST (Baht)'!F$8*'COST (Baht)'!F$14</f>
        <v>0</v>
      </c>
      <c r="G93" s="714">
        <f>Delivery!G93*'COST (Baht)'!G$8*'COST (Baht)'!G$14</f>
        <v>0</v>
      </c>
      <c r="H93" s="714">
        <f>Delivery!H93*'COST (Baht)'!H$8*'COST (Baht)'!H$14</f>
        <v>0</v>
      </c>
      <c r="I93" s="714">
        <f>Delivery!I93*'COST (Baht)'!I$8*'COST (Baht)'!I$14</f>
        <v>0</v>
      </c>
      <c r="J93" s="714">
        <f>Delivery!J93*'COST (Baht)'!J$8*'COST (Baht)'!J$14</f>
        <v>0</v>
      </c>
      <c r="K93" s="714">
        <f>Delivery!K93*'COST (Baht)'!K$8*'COST (Baht)'!K$14</f>
        <v>0</v>
      </c>
      <c r="L93" s="714">
        <f>Delivery!L93*'COST (Baht)'!L$8*'COST (Baht)'!L$14</f>
        <v>0</v>
      </c>
      <c r="M93" s="714">
        <f>Delivery!M93*'COST (Baht)'!M$8*'COST (Baht)'!M$14</f>
        <v>0</v>
      </c>
      <c r="N93" s="714">
        <f>Delivery!N93*'COST (Baht)'!N$8*'COST (Baht)'!N$14</f>
        <v>0</v>
      </c>
      <c r="O93" s="714">
        <f>Delivery!O93*'COST (Baht)'!O$8*'COST (Baht)'!O$14</f>
        <v>0</v>
      </c>
      <c r="P93" s="714">
        <f>Delivery!P93*'COST (Baht)'!P$8*'COST (Baht)'!P$14</f>
        <v>0</v>
      </c>
      <c r="Q93" s="222"/>
      <c r="R93" s="223"/>
      <c r="U93" s="734" t="s">
        <v>76</v>
      </c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</row>
    <row r="94" spans="1:33" ht="15.5">
      <c r="A94" s="867" t="str">
        <f>Table3[[#This Row],[Product]]</f>
        <v>LPG-D</v>
      </c>
      <c r="B94" s="28" t="s">
        <v>25</v>
      </c>
      <c r="C94" s="28" t="s">
        <v>114</v>
      </c>
      <c r="D94" s="28"/>
      <c r="E94" s="714">
        <f>Delivery!E94*'COST (Baht)'!E$7*'COST (Baht)'!E$14</f>
        <v>0</v>
      </c>
      <c r="F94" s="714">
        <f>Delivery!F94*'COST (Baht)'!F$7*'COST (Baht)'!F$14</f>
        <v>0</v>
      </c>
      <c r="G94" s="714">
        <f>Delivery!G94*'COST (Baht)'!G$7*'COST (Baht)'!G$14</f>
        <v>0</v>
      </c>
      <c r="H94" s="714">
        <f>Delivery!H94*'COST (Baht)'!H$7*'COST (Baht)'!H$14</f>
        <v>0</v>
      </c>
      <c r="I94" s="714">
        <f>Delivery!I94*'COST (Baht)'!I$7*'COST (Baht)'!I$14</f>
        <v>0</v>
      </c>
      <c r="J94" s="714">
        <f>Delivery!J94*'COST (Baht)'!J$7*'COST (Baht)'!J$14</f>
        <v>0</v>
      </c>
      <c r="K94" s="714">
        <f>Delivery!K94*'COST (Baht)'!K$7*'COST (Baht)'!K$14</f>
        <v>0</v>
      </c>
      <c r="L94" s="714">
        <f>Delivery!L94*'COST (Baht)'!L$7*'COST (Baht)'!L$14</f>
        <v>0</v>
      </c>
      <c r="M94" s="714">
        <f>Delivery!M94*'COST (Baht)'!M$7*'COST (Baht)'!M$14</f>
        <v>0</v>
      </c>
      <c r="N94" s="714">
        <f>Delivery!N94*'COST (Baht)'!N$7*'COST (Baht)'!N$14</f>
        <v>0</v>
      </c>
      <c r="O94" s="714">
        <f>Delivery!O94*'COST (Baht)'!O$7*'COST (Baht)'!O$14</f>
        <v>0</v>
      </c>
      <c r="P94" s="714">
        <f>Delivery!P94*'COST (Baht)'!P$7*'COST (Baht)'!P$14</f>
        <v>0</v>
      </c>
      <c r="Q94" s="222"/>
      <c r="R94" s="223"/>
      <c r="U94" t="s">
        <v>537</v>
      </c>
      <c r="V94" s="735">
        <f t="shared" ref="V94:V112" si="28">E$17</f>
        <v>505.86514414172041</v>
      </c>
      <c r="W94" s="735">
        <f t="shared" ref="W94:W112" si="29">F$17</f>
        <v>605.23967992109237</v>
      </c>
      <c r="X94" s="735">
        <f t="shared" ref="X94:X112" si="30">G$17</f>
        <v>610.99455878959702</v>
      </c>
      <c r="Y94" s="735">
        <f t="shared" ref="Y94:Y112" si="31">H$17</f>
        <v>588.87963295953205</v>
      </c>
      <c r="Z94" s="735">
        <f t="shared" ref="Z94:Z112" si="32">I$17</f>
        <v>562.06705604501542</v>
      </c>
      <c r="AA94" s="735">
        <f t="shared" ref="AA94:AA112" si="33">J$17</f>
        <v>566.47</v>
      </c>
      <c r="AB94" s="735">
        <f t="shared" ref="AB94:AB112" si="34">K$17</f>
        <v>0</v>
      </c>
      <c r="AC94" s="735">
        <f t="shared" ref="AC94:AC112" si="35">L$17</f>
        <v>0</v>
      </c>
      <c r="AD94" s="735">
        <f t="shared" ref="AD94:AD112" si="36">M$17</f>
        <v>0</v>
      </c>
      <c r="AE94" s="735">
        <f t="shared" ref="AE94:AE112" si="37">N$17</f>
        <v>0</v>
      </c>
      <c r="AF94" s="735">
        <f t="shared" ref="AF94:AF112" si="38">O$17</f>
        <v>0</v>
      </c>
      <c r="AG94" s="735">
        <f t="shared" ref="AG94:AG112" si="39">P$17</f>
        <v>0</v>
      </c>
    </row>
    <row r="95" spans="1:33" ht="15.5">
      <c r="A95" s="867" t="str">
        <f>Table3[[#This Row],[Product]]</f>
        <v>LPG-D</v>
      </c>
      <c r="B95" s="28"/>
      <c r="C95" s="34" t="s">
        <v>37</v>
      </c>
      <c r="D95" s="28">
        <f t="shared" ref="D95:P95" si="40">SUM(D70:D94)</f>
        <v>0</v>
      </c>
      <c r="E95" s="822">
        <f>SUM(E70:E94)</f>
        <v>1715682843.3113544</v>
      </c>
      <c r="F95" s="822">
        <f t="shared" si="40"/>
        <v>1427515041.1087575</v>
      </c>
      <c r="G95" s="822">
        <f t="shared" si="40"/>
        <v>2061824585.4124181</v>
      </c>
      <c r="H95" s="822">
        <f t="shared" si="40"/>
        <v>1698202103.4408379</v>
      </c>
      <c r="I95" s="822">
        <f t="shared" si="40"/>
        <v>1774667295.2028916</v>
      </c>
      <c r="J95" s="822">
        <f t="shared" si="40"/>
        <v>1960777911.4015436</v>
      </c>
      <c r="K95" s="822">
        <f t="shared" si="40"/>
        <v>2500337903.2269988</v>
      </c>
      <c r="L95" s="822">
        <f t="shared" si="40"/>
        <v>2081048507.4262516</v>
      </c>
      <c r="M95" s="822">
        <f t="shared" si="40"/>
        <v>2038675927.4140842</v>
      </c>
      <c r="N95" s="822">
        <f t="shared" si="40"/>
        <v>1751859098.603688</v>
      </c>
      <c r="O95" s="822">
        <f t="shared" si="40"/>
        <v>2081189786.9267418</v>
      </c>
      <c r="P95" s="822">
        <f t="shared" si="40"/>
        <v>2108105230.6698241</v>
      </c>
      <c r="Q95" s="222"/>
      <c r="R95" s="223"/>
      <c r="U95" t="s">
        <v>276</v>
      </c>
      <c r="V95" s="735">
        <f t="shared" si="28"/>
        <v>505.86514414172041</v>
      </c>
      <c r="W95" s="735">
        <f t="shared" si="29"/>
        <v>605.23967992109237</v>
      </c>
      <c r="X95" s="735">
        <f t="shared" si="30"/>
        <v>610.99455878959702</v>
      </c>
      <c r="Y95" s="735">
        <f t="shared" si="31"/>
        <v>588.87963295953205</v>
      </c>
      <c r="Z95" s="735">
        <f t="shared" si="32"/>
        <v>562.06705604501542</v>
      </c>
      <c r="AA95" s="735">
        <f t="shared" si="33"/>
        <v>566.47</v>
      </c>
      <c r="AB95" s="735">
        <f t="shared" si="34"/>
        <v>0</v>
      </c>
      <c r="AC95" s="735">
        <f t="shared" si="35"/>
        <v>0</v>
      </c>
      <c r="AD95" s="735">
        <f t="shared" si="36"/>
        <v>0</v>
      </c>
      <c r="AE95" s="735">
        <f t="shared" si="37"/>
        <v>0</v>
      </c>
      <c r="AF95" s="735">
        <f t="shared" si="38"/>
        <v>0</v>
      </c>
      <c r="AG95" s="735">
        <f t="shared" si="39"/>
        <v>0</v>
      </c>
    </row>
    <row r="96" spans="1:33" ht="15.5">
      <c r="A96" s="866" t="str">
        <f>Table3[[#This Row],[Product]]</f>
        <v>LPG-Refinery</v>
      </c>
      <c r="B96" s="28" t="s">
        <v>131</v>
      </c>
      <c r="C96" s="28" t="s">
        <v>115</v>
      </c>
      <c r="D96" s="28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222"/>
      <c r="R96" s="223"/>
      <c r="U96" t="s">
        <v>538</v>
      </c>
      <c r="V96" s="735">
        <f t="shared" si="28"/>
        <v>505.86514414172041</v>
      </c>
      <c r="W96" s="735">
        <f t="shared" si="29"/>
        <v>605.23967992109237</v>
      </c>
      <c r="X96" s="735">
        <f t="shared" si="30"/>
        <v>610.99455878959702</v>
      </c>
      <c r="Y96" s="735">
        <f t="shared" si="31"/>
        <v>588.87963295953205</v>
      </c>
      <c r="Z96" s="735">
        <f t="shared" si="32"/>
        <v>562.06705604501542</v>
      </c>
      <c r="AA96" s="735">
        <f t="shared" si="33"/>
        <v>566.47</v>
      </c>
      <c r="AB96" s="735">
        <f t="shared" si="34"/>
        <v>0</v>
      </c>
      <c r="AC96" s="735">
        <f t="shared" si="35"/>
        <v>0</v>
      </c>
      <c r="AD96" s="735">
        <f t="shared" si="36"/>
        <v>0</v>
      </c>
      <c r="AE96" s="735">
        <f t="shared" si="37"/>
        <v>0</v>
      </c>
      <c r="AF96" s="735">
        <f t="shared" si="38"/>
        <v>0</v>
      </c>
      <c r="AG96" s="735">
        <f t="shared" si="39"/>
        <v>0</v>
      </c>
    </row>
    <row r="97" spans="1:33" ht="15.5">
      <c r="A97" s="866" t="str">
        <f>Table3[[#This Row],[Product]]</f>
        <v>LPG-Refinery</v>
      </c>
      <c r="B97" s="28" t="s">
        <v>134</v>
      </c>
      <c r="C97" s="28" t="s">
        <v>116</v>
      </c>
      <c r="D97" s="28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222"/>
      <c r="R97" s="223"/>
      <c r="T97" t="s">
        <v>226</v>
      </c>
      <c r="U97" t="s">
        <v>276</v>
      </c>
      <c r="V97" s="735">
        <f t="shared" si="28"/>
        <v>505.86514414172041</v>
      </c>
      <c r="W97" s="735">
        <f t="shared" si="29"/>
        <v>605.23967992109237</v>
      </c>
      <c r="X97" s="735">
        <f t="shared" si="30"/>
        <v>610.99455878959702</v>
      </c>
      <c r="Y97" s="735">
        <f t="shared" si="31"/>
        <v>588.87963295953205</v>
      </c>
      <c r="Z97" s="735">
        <f t="shared" si="32"/>
        <v>562.06705604501542</v>
      </c>
      <c r="AA97" s="735">
        <f t="shared" si="33"/>
        <v>566.47</v>
      </c>
      <c r="AB97" s="735">
        <f t="shared" si="34"/>
        <v>0</v>
      </c>
      <c r="AC97" s="735">
        <f t="shared" si="35"/>
        <v>0</v>
      </c>
      <c r="AD97" s="735">
        <f t="shared" si="36"/>
        <v>0</v>
      </c>
      <c r="AE97" s="735">
        <f t="shared" si="37"/>
        <v>0</v>
      </c>
      <c r="AF97" s="735">
        <f t="shared" si="38"/>
        <v>0</v>
      </c>
      <c r="AG97" s="735">
        <f t="shared" si="39"/>
        <v>0</v>
      </c>
    </row>
    <row r="98" spans="1:33" ht="15.5">
      <c r="A98" s="993" t="str">
        <f>Table3[[#This Row],[Product]]</f>
        <v>LPG-Refinery</v>
      </c>
      <c r="B98" s="28" t="s">
        <v>132</v>
      </c>
      <c r="C98" s="28" t="s">
        <v>643</v>
      </c>
      <c r="D98" s="28"/>
      <c r="E98" s="992"/>
      <c r="F98" s="992"/>
      <c r="G98" s="992"/>
      <c r="H98" s="992"/>
      <c r="I98" s="992"/>
      <c r="J98" s="992"/>
      <c r="K98" s="992"/>
      <c r="L98" s="992"/>
      <c r="M98" s="992"/>
      <c r="N98" s="992"/>
      <c r="O98" s="992"/>
      <c r="P98" s="992"/>
      <c r="Q98" s="222"/>
      <c r="R98" s="223"/>
      <c r="U98" t="s">
        <v>538</v>
      </c>
      <c r="V98" s="735">
        <f t="shared" si="28"/>
        <v>505.86514414172041</v>
      </c>
      <c r="W98" s="735">
        <f t="shared" si="29"/>
        <v>605.23967992109237</v>
      </c>
      <c r="X98" s="735">
        <f t="shared" si="30"/>
        <v>610.99455878959702</v>
      </c>
      <c r="Y98" s="735">
        <f t="shared" si="31"/>
        <v>588.87963295953205</v>
      </c>
      <c r="Z98" s="735">
        <f t="shared" si="32"/>
        <v>562.06705604501542</v>
      </c>
      <c r="AA98" s="735">
        <f t="shared" si="33"/>
        <v>566.47</v>
      </c>
      <c r="AB98" s="735">
        <f t="shared" si="34"/>
        <v>0</v>
      </c>
      <c r="AC98" s="735">
        <f t="shared" si="35"/>
        <v>0</v>
      </c>
      <c r="AD98" s="735">
        <f t="shared" si="36"/>
        <v>0</v>
      </c>
      <c r="AE98" s="735">
        <f t="shared" si="37"/>
        <v>0</v>
      </c>
      <c r="AF98" s="735">
        <f t="shared" si="38"/>
        <v>0</v>
      </c>
      <c r="AG98" s="735">
        <f t="shared" si="39"/>
        <v>0</v>
      </c>
    </row>
    <row r="99" spans="1:33" ht="15.5">
      <c r="A99" s="866" t="str">
        <f>Table3[[#This Row],[Product]]</f>
        <v>LPG-Refinery</v>
      </c>
      <c r="B99" s="28" t="s">
        <v>134</v>
      </c>
      <c r="C99" s="224" t="s">
        <v>94</v>
      </c>
      <c r="D99" s="28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222"/>
      <c r="R99" s="223"/>
      <c r="T99" t="s">
        <v>227</v>
      </c>
      <c r="U99" t="s">
        <v>276</v>
      </c>
      <c r="V99" s="735">
        <f t="shared" si="28"/>
        <v>505.86514414172041</v>
      </c>
      <c r="W99" s="735">
        <f t="shared" si="29"/>
        <v>605.23967992109237</v>
      </c>
      <c r="X99" s="735">
        <f t="shared" si="30"/>
        <v>610.99455878959702</v>
      </c>
      <c r="Y99" s="735">
        <f t="shared" si="31"/>
        <v>588.87963295953205</v>
      </c>
      <c r="Z99" s="735">
        <f t="shared" si="32"/>
        <v>562.06705604501542</v>
      </c>
      <c r="AA99" s="735">
        <f t="shared" si="33"/>
        <v>566.47</v>
      </c>
      <c r="AB99" s="735">
        <f t="shared" si="34"/>
        <v>0</v>
      </c>
      <c r="AC99" s="735">
        <f t="shared" si="35"/>
        <v>0</v>
      </c>
      <c r="AD99" s="735">
        <f t="shared" si="36"/>
        <v>0</v>
      </c>
      <c r="AE99" s="735">
        <f t="shared" si="37"/>
        <v>0</v>
      </c>
      <c r="AF99" s="735">
        <f t="shared" si="38"/>
        <v>0</v>
      </c>
      <c r="AG99" s="735">
        <f t="shared" si="39"/>
        <v>0</v>
      </c>
    </row>
    <row r="100" spans="1:33" ht="15.5">
      <c r="A100" s="866" t="str">
        <f>Table3[[#This Row],[Product]]</f>
        <v>LPG-Refinery</v>
      </c>
      <c r="B100" s="28" t="s">
        <v>132</v>
      </c>
      <c r="C100" s="225" t="s">
        <v>117</v>
      </c>
      <c r="D100" s="28"/>
      <c r="E100" s="714"/>
      <c r="F100" s="714"/>
      <c r="G100" s="714"/>
      <c r="H100" s="714"/>
      <c r="I100" s="714"/>
      <c r="J100" s="714"/>
      <c r="K100" s="714"/>
      <c r="L100" s="714"/>
      <c r="M100" s="714"/>
      <c r="N100" s="714"/>
      <c r="O100" s="714"/>
      <c r="P100" s="714"/>
      <c r="U100" t="s">
        <v>538</v>
      </c>
      <c r="V100" s="735">
        <f t="shared" si="28"/>
        <v>505.86514414172041</v>
      </c>
      <c r="W100" s="735">
        <f t="shared" si="29"/>
        <v>605.23967992109237</v>
      </c>
      <c r="X100" s="735">
        <f t="shared" si="30"/>
        <v>610.99455878959702</v>
      </c>
      <c r="Y100" s="735">
        <f t="shared" si="31"/>
        <v>588.87963295953205</v>
      </c>
      <c r="Z100" s="735">
        <f t="shared" si="32"/>
        <v>562.06705604501542</v>
      </c>
      <c r="AA100" s="735">
        <f t="shared" si="33"/>
        <v>566.47</v>
      </c>
      <c r="AB100" s="735">
        <f t="shared" si="34"/>
        <v>0</v>
      </c>
      <c r="AC100" s="735">
        <f t="shared" si="35"/>
        <v>0</v>
      </c>
      <c r="AD100" s="735">
        <f t="shared" si="36"/>
        <v>0</v>
      </c>
      <c r="AE100" s="735">
        <f t="shared" si="37"/>
        <v>0</v>
      </c>
      <c r="AF100" s="735">
        <f t="shared" si="38"/>
        <v>0</v>
      </c>
      <c r="AG100" s="735">
        <f t="shared" si="39"/>
        <v>0</v>
      </c>
    </row>
    <row r="101" spans="1:33" ht="15.5">
      <c r="A101" s="866" t="str">
        <f>Table3[[#This Row],[Product]]</f>
        <v>LPG-Refinery</v>
      </c>
      <c r="B101" s="28" t="s">
        <v>134</v>
      </c>
      <c r="C101" s="225" t="s">
        <v>118</v>
      </c>
      <c r="D101" s="28"/>
      <c r="E101" s="714"/>
      <c r="F101" s="714"/>
      <c r="G101" s="714"/>
      <c r="H101" s="714"/>
      <c r="I101" s="714"/>
      <c r="J101" s="714"/>
      <c r="K101" s="714"/>
      <c r="L101" s="714"/>
      <c r="M101" s="714"/>
      <c r="N101" s="714"/>
      <c r="O101" s="714"/>
      <c r="P101" s="714"/>
      <c r="T101" t="s">
        <v>228</v>
      </c>
      <c r="U101" t="s">
        <v>276</v>
      </c>
      <c r="V101" s="735">
        <f t="shared" si="28"/>
        <v>505.86514414172041</v>
      </c>
      <c r="W101" s="735">
        <f t="shared" si="29"/>
        <v>605.23967992109237</v>
      </c>
      <c r="X101" s="735">
        <f t="shared" si="30"/>
        <v>610.99455878959702</v>
      </c>
      <c r="Y101" s="735">
        <f t="shared" si="31"/>
        <v>588.87963295953205</v>
      </c>
      <c r="Z101" s="735">
        <f t="shared" si="32"/>
        <v>562.06705604501542</v>
      </c>
      <c r="AA101" s="735">
        <f t="shared" si="33"/>
        <v>566.47</v>
      </c>
      <c r="AB101" s="735">
        <f t="shared" si="34"/>
        <v>0</v>
      </c>
      <c r="AC101" s="735">
        <f t="shared" si="35"/>
        <v>0</v>
      </c>
      <c r="AD101" s="735">
        <f t="shared" si="36"/>
        <v>0</v>
      </c>
      <c r="AE101" s="735">
        <f t="shared" si="37"/>
        <v>0</v>
      </c>
      <c r="AF101" s="735">
        <f t="shared" si="38"/>
        <v>0</v>
      </c>
      <c r="AG101" s="735">
        <f t="shared" si="39"/>
        <v>0</v>
      </c>
    </row>
    <row r="102" spans="1:33" ht="15.5">
      <c r="A102" s="866" t="str">
        <f>Table3[[#This Row],[Product]]</f>
        <v>LPG-Refinery</v>
      </c>
      <c r="B102" s="28" t="s">
        <v>133</v>
      </c>
      <c r="C102" s="225" t="s">
        <v>119</v>
      </c>
      <c r="D102" s="28"/>
      <c r="E102" s="714"/>
      <c r="F102" s="714"/>
      <c r="G102" s="714"/>
      <c r="H102" s="714"/>
      <c r="I102" s="714"/>
      <c r="J102" s="714"/>
      <c r="K102" s="714"/>
      <c r="L102" s="714"/>
      <c r="M102" s="714"/>
      <c r="N102" s="714"/>
      <c r="O102" s="714"/>
      <c r="P102" s="714"/>
      <c r="U102" t="s">
        <v>538</v>
      </c>
      <c r="V102" s="735">
        <f t="shared" si="28"/>
        <v>505.86514414172041</v>
      </c>
      <c r="W102" s="735">
        <f t="shared" si="29"/>
        <v>605.23967992109237</v>
      </c>
      <c r="X102" s="735">
        <f t="shared" si="30"/>
        <v>610.99455878959702</v>
      </c>
      <c r="Y102" s="735">
        <f t="shared" si="31"/>
        <v>588.87963295953205</v>
      </c>
      <c r="Z102" s="735">
        <f t="shared" si="32"/>
        <v>562.06705604501542</v>
      </c>
      <c r="AA102" s="735">
        <f t="shared" si="33"/>
        <v>566.47</v>
      </c>
      <c r="AB102" s="735">
        <f t="shared" si="34"/>
        <v>0</v>
      </c>
      <c r="AC102" s="735">
        <f t="shared" si="35"/>
        <v>0</v>
      </c>
      <c r="AD102" s="735">
        <f t="shared" si="36"/>
        <v>0</v>
      </c>
      <c r="AE102" s="735">
        <f t="shared" si="37"/>
        <v>0</v>
      </c>
      <c r="AF102" s="735">
        <f t="shared" si="38"/>
        <v>0</v>
      </c>
      <c r="AG102" s="735">
        <f t="shared" si="39"/>
        <v>0</v>
      </c>
    </row>
    <row r="103" spans="1:33" ht="15.5">
      <c r="A103" s="866" t="str">
        <f>Table3[[#This Row],[Product]]</f>
        <v>LPG-Refinery</v>
      </c>
      <c r="B103" s="28" t="s">
        <v>134</v>
      </c>
      <c r="C103" s="225" t="s">
        <v>97</v>
      </c>
      <c r="D103" s="28"/>
      <c r="E103" s="714"/>
      <c r="F103" s="714"/>
      <c r="G103" s="714"/>
      <c r="H103" s="714"/>
      <c r="I103" s="714"/>
      <c r="J103" s="714"/>
      <c r="K103" s="714"/>
      <c r="L103" s="714"/>
      <c r="M103" s="714"/>
      <c r="N103" s="714"/>
      <c r="O103" s="714"/>
      <c r="P103" s="714"/>
      <c r="T103" t="s">
        <v>229</v>
      </c>
      <c r="U103" t="s">
        <v>276</v>
      </c>
      <c r="V103" s="735">
        <f t="shared" si="28"/>
        <v>505.86514414172041</v>
      </c>
      <c r="W103" s="735">
        <f t="shared" si="29"/>
        <v>605.23967992109237</v>
      </c>
      <c r="X103" s="735">
        <f t="shared" si="30"/>
        <v>610.99455878959702</v>
      </c>
      <c r="Y103" s="735">
        <f t="shared" si="31"/>
        <v>588.87963295953205</v>
      </c>
      <c r="Z103" s="735">
        <f t="shared" si="32"/>
        <v>562.06705604501542</v>
      </c>
      <c r="AA103" s="735">
        <f t="shared" si="33"/>
        <v>566.47</v>
      </c>
      <c r="AB103" s="735">
        <f t="shared" si="34"/>
        <v>0</v>
      </c>
      <c r="AC103" s="735">
        <f t="shared" si="35"/>
        <v>0</v>
      </c>
      <c r="AD103" s="735">
        <f t="shared" si="36"/>
        <v>0</v>
      </c>
      <c r="AE103" s="735">
        <f t="shared" si="37"/>
        <v>0</v>
      </c>
      <c r="AF103" s="735">
        <f t="shared" si="38"/>
        <v>0</v>
      </c>
      <c r="AG103" s="735">
        <f t="shared" si="39"/>
        <v>0</v>
      </c>
    </row>
    <row r="104" spans="1:33" ht="15.5">
      <c r="A104" s="866" t="str">
        <f>Table3[[#This Row],[Product]]</f>
        <v>LPG-Refinery</v>
      </c>
      <c r="B104" s="28" t="s">
        <v>134</v>
      </c>
      <c r="C104" s="225" t="s">
        <v>100</v>
      </c>
      <c r="D104" s="28"/>
      <c r="E104" s="714"/>
      <c r="F104" s="714"/>
      <c r="G104" s="714"/>
      <c r="H104" s="714"/>
      <c r="I104" s="714"/>
      <c r="J104" s="714"/>
      <c r="K104" s="714"/>
      <c r="L104" s="714"/>
      <c r="M104" s="714"/>
      <c r="N104" s="714"/>
      <c r="O104" s="714"/>
      <c r="P104" s="714"/>
      <c r="U104" t="s">
        <v>538</v>
      </c>
      <c r="V104" s="735">
        <f t="shared" si="28"/>
        <v>505.86514414172041</v>
      </c>
      <c r="W104" s="735">
        <f t="shared" si="29"/>
        <v>605.23967992109237</v>
      </c>
      <c r="X104" s="735">
        <f t="shared" si="30"/>
        <v>610.99455878959702</v>
      </c>
      <c r="Y104" s="735">
        <f t="shared" si="31"/>
        <v>588.87963295953205</v>
      </c>
      <c r="Z104" s="735">
        <f t="shared" si="32"/>
        <v>562.06705604501542</v>
      </c>
      <c r="AA104" s="735">
        <f t="shared" si="33"/>
        <v>566.47</v>
      </c>
      <c r="AB104" s="735">
        <f t="shared" si="34"/>
        <v>0</v>
      </c>
      <c r="AC104" s="735">
        <f t="shared" si="35"/>
        <v>0</v>
      </c>
      <c r="AD104" s="735">
        <f t="shared" si="36"/>
        <v>0</v>
      </c>
      <c r="AE104" s="735">
        <f t="shared" si="37"/>
        <v>0</v>
      </c>
      <c r="AF104" s="735">
        <f t="shared" si="38"/>
        <v>0</v>
      </c>
      <c r="AG104" s="735">
        <f t="shared" si="39"/>
        <v>0</v>
      </c>
    </row>
    <row r="105" spans="1:33" ht="15.5">
      <c r="A105" s="866" t="str">
        <f>Table3[[#This Row],[Product]]</f>
        <v>LPG-Refinery</v>
      </c>
      <c r="B105" s="28" t="s">
        <v>134</v>
      </c>
      <c r="C105" s="224" t="s">
        <v>101</v>
      </c>
      <c r="D105" s="28"/>
      <c r="E105" s="714"/>
      <c r="F105" s="714"/>
      <c r="G105" s="714"/>
      <c r="H105" s="714"/>
      <c r="I105" s="714"/>
      <c r="J105" s="714"/>
      <c r="K105" s="714"/>
      <c r="L105" s="714"/>
      <c r="M105" s="714"/>
      <c r="N105" s="714"/>
      <c r="O105" s="714"/>
      <c r="P105" s="714"/>
      <c r="T105" t="s">
        <v>133</v>
      </c>
      <c r="U105" t="s">
        <v>276</v>
      </c>
      <c r="V105" s="735">
        <f t="shared" si="28"/>
        <v>505.86514414172041</v>
      </c>
      <c r="W105" s="735">
        <f t="shared" si="29"/>
        <v>605.23967992109237</v>
      </c>
      <c r="X105" s="735">
        <f t="shared" si="30"/>
        <v>610.99455878959702</v>
      </c>
      <c r="Y105" s="735">
        <f t="shared" si="31"/>
        <v>588.87963295953205</v>
      </c>
      <c r="Z105" s="735">
        <f t="shared" si="32"/>
        <v>562.06705604501542</v>
      </c>
      <c r="AA105" s="735">
        <f t="shared" si="33"/>
        <v>566.47</v>
      </c>
      <c r="AB105" s="735">
        <f t="shared" si="34"/>
        <v>0</v>
      </c>
      <c r="AC105" s="735">
        <f t="shared" si="35"/>
        <v>0</v>
      </c>
      <c r="AD105" s="735">
        <f t="shared" si="36"/>
        <v>0</v>
      </c>
      <c r="AE105" s="735">
        <f t="shared" si="37"/>
        <v>0</v>
      </c>
      <c r="AF105" s="735">
        <f t="shared" si="38"/>
        <v>0</v>
      </c>
      <c r="AG105" s="735">
        <f t="shared" si="39"/>
        <v>0</v>
      </c>
    </row>
    <row r="106" spans="1:33" ht="15.5">
      <c r="A106" s="866" t="str">
        <f>Table3[[#This Row],[Product]]</f>
        <v>LPG-Refinery</v>
      </c>
      <c r="B106" s="28" t="s">
        <v>132</v>
      </c>
      <c r="C106" s="224" t="s">
        <v>120</v>
      </c>
      <c r="D106" s="28"/>
      <c r="E106" s="714"/>
      <c r="F106" s="714"/>
      <c r="G106" s="714"/>
      <c r="H106" s="714"/>
      <c r="I106" s="714"/>
      <c r="J106" s="714"/>
      <c r="K106" s="714"/>
      <c r="L106" s="714"/>
      <c r="M106" s="714"/>
      <c r="N106" s="714"/>
      <c r="O106" s="714"/>
      <c r="P106" s="714"/>
      <c r="U106" t="s">
        <v>538</v>
      </c>
      <c r="V106" s="735">
        <f t="shared" si="28"/>
        <v>505.86514414172041</v>
      </c>
      <c r="W106" s="735">
        <f t="shared" si="29"/>
        <v>605.23967992109237</v>
      </c>
      <c r="X106" s="735">
        <f t="shared" si="30"/>
        <v>610.99455878959702</v>
      </c>
      <c r="Y106" s="735">
        <f t="shared" si="31"/>
        <v>588.87963295953205</v>
      </c>
      <c r="Z106" s="735">
        <f t="shared" si="32"/>
        <v>562.06705604501542</v>
      </c>
      <c r="AA106" s="735">
        <f t="shared" si="33"/>
        <v>566.47</v>
      </c>
      <c r="AB106" s="735">
        <f t="shared" si="34"/>
        <v>0</v>
      </c>
      <c r="AC106" s="735">
        <f t="shared" si="35"/>
        <v>0</v>
      </c>
      <c r="AD106" s="735">
        <f t="shared" si="36"/>
        <v>0</v>
      </c>
      <c r="AE106" s="735">
        <f t="shared" si="37"/>
        <v>0</v>
      </c>
      <c r="AF106" s="735">
        <f t="shared" si="38"/>
        <v>0</v>
      </c>
      <c r="AG106" s="735">
        <f t="shared" si="39"/>
        <v>0</v>
      </c>
    </row>
    <row r="107" spans="1:33" ht="15.5">
      <c r="A107" s="866" t="str">
        <f>Table3[[#This Row],[Product]]</f>
        <v>LPG-Refinery</v>
      </c>
      <c r="B107" s="28" t="s">
        <v>133</v>
      </c>
      <c r="C107" s="224" t="s">
        <v>121</v>
      </c>
      <c r="D107" s="28"/>
      <c r="E107" s="714"/>
      <c r="F107" s="714"/>
      <c r="G107" s="714"/>
      <c r="H107" s="714"/>
      <c r="I107" s="714"/>
      <c r="J107" s="714"/>
      <c r="K107" s="714"/>
      <c r="L107" s="714"/>
      <c r="M107" s="714"/>
      <c r="N107" s="714"/>
      <c r="O107" s="714"/>
      <c r="P107" s="714"/>
      <c r="T107" t="s">
        <v>230</v>
      </c>
      <c r="U107" t="s">
        <v>276</v>
      </c>
      <c r="V107" s="735">
        <f t="shared" si="28"/>
        <v>505.86514414172041</v>
      </c>
      <c r="W107" s="735">
        <f t="shared" si="29"/>
        <v>605.23967992109237</v>
      </c>
      <c r="X107" s="735">
        <f t="shared" si="30"/>
        <v>610.99455878959702</v>
      </c>
      <c r="Y107" s="735">
        <f t="shared" si="31"/>
        <v>588.87963295953205</v>
      </c>
      <c r="Z107" s="735">
        <f t="shared" si="32"/>
        <v>562.06705604501542</v>
      </c>
      <c r="AA107" s="735">
        <f t="shared" si="33"/>
        <v>566.47</v>
      </c>
      <c r="AB107" s="735">
        <f t="shared" si="34"/>
        <v>0</v>
      </c>
      <c r="AC107" s="735">
        <f t="shared" si="35"/>
        <v>0</v>
      </c>
      <c r="AD107" s="735">
        <f t="shared" si="36"/>
        <v>0</v>
      </c>
      <c r="AE107" s="735">
        <f t="shared" si="37"/>
        <v>0</v>
      </c>
      <c r="AF107" s="735">
        <f t="shared" si="38"/>
        <v>0</v>
      </c>
      <c r="AG107" s="735">
        <f t="shared" si="39"/>
        <v>0</v>
      </c>
    </row>
    <row r="108" spans="1:33" ht="15.5">
      <c r="A108" s="866" t="str">
        <f>Table3[[#This Row],[Product]]</f>
        <v>LPG-Refinery</v>
      </c>
      <c r="B108" s="28" t="s">
        <v>134</v>
      </c>
      <c r="C108" s="28" t="s">
        <v>122</v>
      </c>
      <c r="D108" s="28"/>
      <c r="E108" s="714"/>
      <c r="F108" s="714"/>
      <c r="G108" s="714"/>
      <c r="H108" s="714"/>
      <c r="I108" s="714"/>
      <c r="J108" s="714"/>
      <c r="K108" s="714"/>
      <c r="L108" s="714"/>
      <c r="M108" s="714"/>
      <c r="N108" s="714"/>
      <c r="O108" s="714"/>
      <c r="P108" s="714"/>
      <c r="U108" t="s">
        <v>538</v>
      </c>
      <c r="V108" s="735">
        <f t="shared" si="28"/>
        <v>505.86514414172041</v>
      </c>
      <c r="W108" s="735">
        <f t="shared" si="29"/>
        <v>605.23967992109237</v>
      </c>
      <c r="X108" s="735">
        <f t="shared" si="30"/>
        <v>610.99455878959702</v>
      </c>
      <c r="Y108" s="735">
        <f t="shared" si="31"/>
        <v>588.87963295953205</v>
      </c>
      <c r="Z108" s="735">
        <f t="shared" si="32"/>
        <v>562.06705604501542</v>
      </c>
      <c r="AA108" s="735">
        <f t="shared" si="33"/>
        <v>566.47</v>
      </c>
      <c r="AB108" s="735">
        <f t="shared" si="34"/>
        <v>0</v>
      </c>
      <c r="AC108" s="735">
        <f t="shared" si="35"/>
        <v>0</v>
      </c>
      <c r="AD108" s="735">
        <f t="shared" si="36"/>
        <v>0</v>
      </c>
      <c r="AE108" s="735">
        <f t="shared" si="37"/>
        <v>0</v>
      </c>
      <c r="AF108" s="735">
        <f t="shared" si="38"/>
        <v>0</v>
      </c>
      <c r="AG108" s="735">
        <f t="shared" si="39"/>
        <v>0</v>
      </c>
    </row>
    <row r="109" spans="1:33" ht="15.5">
      <c r="A109" s="866" t="str">
        <f>Table3[[#This Row],[Product]]</f>
        <v>LPG-Refinery</v>
      </c>
      <c r="B109" s="28" t="s">
        <v>134</v>
      </c>
      <c r="C109" s="28" t="s">
        <v>123</v>
      </c>
      <c r="D109" s="28"/>
      <c r="E109" s="714"/>
      <c r="F109" s="714"/>
      <c r="G109" s="714"/>
      <c r="H109" s="714"/>
      <c r="I109" s="714"/>
      <c r="J109" s="714"/>
      <c r="K109" s="714"/>
      <c r="L109" s="714"/>
      <c r="M109" s="714"/>
      <c r="N109" s="714"/>
      <c r="O109" s="714"/>
      <c r="P109" s="714"/>
      <c r="T109" t="s">
        <v>231</v>
      </c>
      <c r="U109" t="s">
        <v>276</v>
      </c>
      <c r="V109" s="735">
        <f t="shared" si="28"/>
        <v>505.86514414172041</v>
      </c>
      <c r="W109" s="735">
        <f t="shared" si="29"/>
        <v>605.23967992109237</v>
      </c>
      <c r="X109" s="735">
        <f t="shared" si="30"/>
        <v>610.99455878959702</v>
      </c>
      <c r="Y109" s="735">
        <f t="shared" si="31"/>
        <v>588.87963295953205</v>
      </c>
      <c r="Z109" s="735">
        <f t="shared" si="32"/>
        <v>562.06705604501542</v>
      </c>
      <c r="AA109" s="735">
        <f t="shared" si="33"/>
        <v>566.47</v>
      </c>
      <c r="AB109" s="735">
        <f t="shared" si="34"/>
        <v>0</v>
      </c>
      <c r="AC109" s="735">
        <f t="shared" si="35"/>
        <v>0</v>
      </c>
      <c r="AD109" s="735">
        <f t="shared" si="36"/>
        <v>0</v>
      </c>
      <c r="AE109" s="735">
        <f t="shared" si="37"/>
        <v>0</v>
      </c>
      <c r="AF109" s="735">
        <f t="shared" si="38"/>
        <v>0</v>
      </c>
      <c r="AG109" s="735">
        <f t="shared" si="39"/>
        <v>0</v>
      </c>
    </row>
    <row r="110" spans="1:33" ht="15.5">
      <c r="A110" s="866" t="str">
        <f>Table3[[#This Row],[Product]]</f>
        <v>LPG-Refinery</v>
      </c>
      <c r="B110" s="28" t="s">
        <v>134</v>
      </c>
      <c r="C110" s="40" t="s">
        <v>124</v>
      </c>
      <c r="D110" s="28"/>
      <c r="E110" s="714"/>
      <c r="F110" s="714"/>
      <c r="G110" s="714"/>
      <c r="H110" s="714"/>
      <c r="I110" s="714"/>
      <c r="J110" s="714"/>
      <c r="K110" s="714"/>
      <c r="L110" s="714"/>
      <c r="M110" s="714"/>
      <c r="N110" s="714"/>
      <c r="O110" s="714"/>
      <c r="P110" s="714"/>
      <c r="U110" t="s">
        <v>538</v>
      </c>
      <c r="V110" s="735">
        <f t="shared" si="28"/>
        <v>505.86514414172041</v>
      </c>
      <c r="W110" s="735">
        <f t="shared" si="29"/>
        <v>605.23967992109237</v>
      </c>
      <c r="X110" s="735">
        <f t="shared" si="30"/>
        <v>610.99455878959702</v>
      </c>
      <c r="Y110" s="735">
        <f t="shared" si="31"/>
        <v>588.87963295953205</v>
      </c>
      <c r="Z110" s="735">
        <f t="shared" si="32"/>
        <v>562.06705604501542</v>
      </c>
      <c r="AA110" s="735">
        <f t="shared" si="33"/>
        <v>566.47</v>
      </c>
      <c r="AB110" s="735">
        <f t="shared" si="34"/>
        <v>0</v>
      </c>
      <c r="AC110" s="735">
        <f t="shared" si="35"/>
        <v>0</v>
      </c>
      <c r="AD110" s="735">
        <f t="shared" si="36"/>
        <v>0</v>
      </c>
      <c r="AE110" s="735">
        <f t="shared" si="37"/>
        <v>0</v>
      </c>
      <c r="AF110" s="735">
        <f t="shared" si="38"/>
        <v>0</v>
      </c>
      <c r="AG110" s="735">
        <f t="shared" si="39"/>
        <v>0</v>
      </c>
    </row>
    <row r="111" spans="1:33" ht="15.5">
      <c r="A111" s="866" t="str">
        <f>Table3[[#This Row],[Product]]</f>
        <v>LPG-Refinery</v>
      </c>
      <c r="B111" s="28" t="s">
        <v>134</v>
      </c>
      <c r="C111" s="40" t="s">
        <v>125</v>
      </c>
      <c r="D111" s="28"/>
      <c r="E111" s="714"/>
      <c r="F111" s="714"/>
      <c r="G111" s="714"/>
      <c r="H111" s="714"/>
      <c r="I111" s="714"/>
      <c r="J111" s="714"/>
      <c r="K111" s="714"/>
      <c r="L111" s="714"/>
      <c r="M111" s="714"/>
      <c r="N111" s="714"/>
      <c r="O111" s="714"/>
      <c r="P111" s="714"/>
      <c r="T111" t="s">
        <v>232</v>
      </c>
      <c r="U111" t="s">
        <v>276</v>
      </c>
      <c r="V111" s="735">
        <f t="shared" si="28"/>
        <v>505.86514414172041</v>
      </c>
      <c r="W111" s="735">
        <f t="shared" si="29"/>
        <v>605.23967992109237</v>
      </c>
      <c r="X111" s="735">
        <f t="shared" si="30"/>
        <v>610.99455878959702</v>
      </c>
      <c r="Y111" s="735">
        <f t="shared" si="31"/>
        <v>588.87963295953205</v>
      </c>
      <c r="Z111" s="735">
        <f t="shared" si="32"/>
        <v>562.06705604501542</v>
      </c>
      <c r="AA111" s="735">
        <f t="shared" si="33"/>
        <v>566.47</v>
      </c>
      <c r="AB111" s="735">
        <f t="shared" si="34"/>
        <v>0</v>
      </c>
      <c r="AC111" s="735">
        <f t="shared" si="35"/>
        <v>0</v>
      </c>
      <c r="AD111" s="735">
        <f t="shared" si="36"/>
        <v>0</v>
      </c>
      <c r="AE111" s="735">
        <f t="shared" si="37"/>
        <v>0</v>
      </c>
      <c r="AF111" s="735">
        <f t="shared" si="38"/>
        <v>0</v>
      </c>
      <c r="AG111" s="735">
        <f t="shared" si="39"/>
        <v>0</v>
      </c>
    </row>
    <row r="112" spans="1:33" ht="15.5">
      <c r="A112" s="866" t="str">
        <f>Table3[[#This Row],[Product]]</f>
        <v>LPG-Refinery</v>
      </c>
      <c r="B112" s="28" t="s">
        <v>134</v>
      </c>
      <c r="C112" s="40" t="s">
        <v>126</v>
      </c>
      <c r="D112" s="28"/>
      <c r="E112" s="714"/>
      <c r="F112" s="714"/>
      <c r="G112" s="714"/>
      <c r="H112" s="714"/>
      <c r="I112" s="714"/>
      <c r="J112" s="714"/>
      <c r="K112" s="714"/>
      <c r="L112" s="714"/>
      <c r="M112" s="714"/>
      <c r="N112" s="714"/>
      <c r="O112" s="714"/>
      <c r="P112" s="714"/>
      <c r="U112" t="s">
        <v>538</v>
      </c>
      <c r="V112" s="735">
        <f t="shared" si="28"/>
        <v>505.86514414172041</v>
      </c>
      <c r="W112" s="735">
        <f t="shared" si="29"/>
        <v>605.23967992109237</v>
      </c>
      <c r="X112" s="735">
        <f t="shared" si="30"/>
        <v>610.99455878959702</v>
      </c>
      <c r="Y112" s="735">
        <f t="shared" si="31"/>
        <v>588.87963295953205</v>
      </c>
      <c r="Z112" s="735">
        <f t="shared" si="32"/>
        <v>562.06705604501542</v>
      </c>
      <c r="AA112" s="735">
        <f t="shared" si="33"/>
        <v>566.47</v>
      </c>
      <c r="AB112" s="735">
        <f t="shared" si="34"/>
        <v>0</v>
      </c>
      <c r="AC112" s="735">
        <f t="shared" si="35"/>
        <v>0</v>
      </c>
      <c r="AD112" s="735">
        <f t="shared" si="36"/>
        <v>0</v>
      </c>
      <c r="AE112" s="735">
        <f t="shared" si="37"/>
        <v>0</v>
      </c>
      <c r="AF112" s="735">
        <f t="shared" si="38"/>
        <v>0</v>
      </c>
      <c r="AG112" s="735">
        <f t="shared" si="39"/>
        <v>0</v>
      </c>
    </row>
    <row r="113" spans="1:33" ht="15.5">
      <c r="A113" s="866" t="str">
        <f>Table3[[#This Row],[Product]]</f>
        <v>LPG-Refinery</v>
      </c>
      <c r="B113" s="28" t="s">
        <v>134</v>
      </c>
      <c r="C113" s="40" t="s">
        <v>127</v>
      </c>
      <c r="D113" s="28"/>
      <c r="E113" s="714"/>
      <c r="F113" s="714"/>
      <c r="G113" s="714"/>
      <c r="H113" s="714"/>
      <c r="I113" s="714"/>
      <c r="J113" s="714"/>
      <c r="K113" s="714"/>
      <c r="L113" s="714"/>
      <c r="M113" s="714"/>
      <c r="N113" s="714"/>
      <c r="O113" s="714"/>
      <c r="P113" s="714"/>
      <c r="T113" t="s">
        <v>545</v>
      </c>
      <c r="V113" s="736"/>
      <c r="W113" s="736"/>
      <c r="X113" s="736"/>
      <c r="Y113" s="736"/>
      <c r="Z113" s="736"/>
      <c r="AA113" s="736"/>
      <c r="AB113" s="736"/>
      <c r="AC113" s="736"/>
      <c r="AD113" s="736"/>
      <c r="AE113" s="736"/>
      <c r="AF113" s="736"/>
      <c r="AG113" s="736"/>
    </row>
    <row r="114" spans="1:33" ht="15.5">
      <c r="A114" s="866" t="str">
        <f>Table3[[#This Row],[Product]]</f>
        <v>LPG-Refinery</v>
      </c>
      <c r="B114" s="28" t="s">
        <v>134</v>
      </c>
      <c r="C114" s="28" t="s">
        <v>128</v>
      </c>
      <c r="D114" s="28"/>
      <c r="E114" s="714"/>
      <c r="F114" s="714"/>
      <c r="G114" s="714"/>
      <c r="H114" s="714"/>
      <c r="I114" s="714"/>
      <c r="J114" s="714"/>
      <c r="K114" s="714"/>
      <c r="L114" s="714"/>
      <c r="M114" s="714"/>
      <c r="N114" s="714"/>
      <c r="O114" s="714"/>
      <c r="P114" s="714"/>
      <c r="T114" s="1345"/>
      <c r="U114" s="1345"/>
      <c r="V114" s="736"/>
      <c r="W114" s="736"/>
      <c r="X114" s="736"/>
      <c r="Y114" s="736"/>
      <c r="Z114" s="736"/>
      <c r="AA114" s="736"/>
      <c r="AB114" s="736"/>
      <c r="AC114" s="736"/>
      <c r="AD114" s="736"/>
      <c r="AE114" s="736"/>
      <c r="AF114" s="736"/>
      <c r="AG114" s="736"/>
    </row>
    <row r="115" spans="1:33" ht="15.5">
      <c r="A115" s="866" t="str">
        <f>Table3[[#This Row],[Product]]</f>
        <v>LPG-Refinery</v>
      </c>
      <c r="B115" s="28" t="s">
        <v>134</v>
      </c>
      <c r="C115" s="28" t="s">
        <v>129</v>
      </c>
      <c r="D115" s="28"/>
      <c r="E115" s="714"/>
      <c r="F115" s="714"/>
      <c r="G115" s="714"/>
      <c r="H115" s="714"/>
      <c r="I115" s="714"/>
      <c r="J115" s="714"/>
      <c r="K115" s="714"/>
      <c r="L115" s="714"/>
      <c r="M115" s="714"/>
      <c r="N115" s="714"/>
      <c r="O115" s="714"/>
      <c r="P115" s="714"/>
    </row>
    <row r="116" spans="1:33" ht="15.5">
      <c r="A116" s="866" t="str">
        <f>Table3[[#This Row],[Product]]</f>
        <v>LPG-Refinery</v>
      </c>
      <c r="B116" s="28" t="s">
        <v>132</v>
      </c>
      <c r="C116" s="28" t="s">
        <v>130</v>
      </c>
      <c r="D116" s="28"/>
      <c r="E116" s="714"/>
      <c r="F116" s="714"/>
      <c r="G116" s="714"/>
      <c r="H116" s="714"/>
      <c r="I116" s="714"/>
      <c r="J116" s="714"/>
      <c r="K116" s="714"/>
      <c r="L116" s="714"/>
      <c r="M116" s="714"/>
      <c r="N116" s="714"/>
      <c r="O116" s="714"/>
      <c r="P116" s="714"/>
    </row>
    <row r="117" spans="1:33" ht="15.5">
      <c r="A117" s="866" t="str">
        <f>Table3[[#This Row],[Product]]</f>
        <v>LPG-Refinery</v>
      </c>
      <c r="B117" s="28"/>
      <c r="C117" s="34" t="s">
        <v>37</v>
      </c>
      <c r="D117" s="28">
        <f t="shared" ref="D117:P117" si="41">SUM(D96:D116)</f>
        <v>0</v>
      </c>
      <c r="E117" s="714">
        <f t="shared" si="41"/>
        <v>0</v>
      </c>
      <c r="F117" s="714">
        <f t="shared" si="41"/>
        <v>0</v>
      </c>
      <c r="G117" s="714">
        <f t="shared" si="41"/>
        <v>0</v>
      </c>
      <c r="H117" s="714">
        <f t="shared" si="41"/>
        <v>0</v>
      </c>
      <c r="I117" s="714">
        <f t="shared" si="41"/>
        <v>0</v>
      </c>
      <c r="J117" s="714">
        <f t="shared" si="41"/>
        <v>0</v>
      </c>
      <c r="K117" s="714">
        <f t="shared" si="41"/>
        <v>0</v>
      </c>
      <c r="L117" s="714">
        <f t="shared" si="41"/>
        <v>0</v>
      </c>
      <c r="M117" s="714">
        <f t="shared" si="41"/>
        <v>0</v>
      </c>
      <c r="N117" s="714">
        <f t="shared" si="41"/>
        <v>0</v>
      </c>
      <c r="O117" s="714">
        <f t="shared" si="41"/>
        <v>0</v>
      </c>
      <c r="P117" s="714">
        <f t="shared" si="41"/>
        <v>0</v>
      </c>
      <c r="T117" s="1344" t="s">
        <v>551</v>
      </c>
      <c r="U117" s="1344"/>
      <c r="V117" s="1344"/>
      <c r="W117" s="1344"/>
      <c r="X117" s="1344"/>
      <c r="Y117" s="1344"/>
      <c r="Z117" s="1344"/>
      <c r="AA117" s="1344"/>
      <c r="AB117" s="1344"/>
      <c r="AC117" s="1344"/>
      <c r="AD117" s="1344"/>
      <c r="AE117" s="1344"/>
      <c r="AF117" s="1344"/>
      <c r="AG117" s="1344"/>
    </row>
    <row r="118" spans="1:33" ht="15.5">
      <c r="A118" s="867" t="str">
        <f>Table3[[#This Row],[Product]]</f>
        <v>LPG-Import/Re-Export</v>
      </c>
      <c r="B118" s="832" t="s">
        <v>652</v>
      </c>
      <c r="C118" s="28" t="s">
        <v>68</v>
      </c>
      <c r="D118" s="28"/>
      <c r="E118" s="714"/>
      <c r="F118" s="714"/>
      <c r="G118" s="714"/>
      <c r="H118" s="714"/>
      <c r="I118" s="714"/>
      <c r="J118" s="714"/>
      <c r="K118" s="714"/>
      <c r="L118" s="714"/>
      <c r="M118" s="714"/>
      <c r="N118" s="714"/>
      <c r="O118" s="714"/>
      <c r="P118" s="714"/>
      <c r="T118" s="1344"/>
      <c r="U118" s="1344"/>
      <c r="V118" s="1344"/>
      <c r="W118" s="1344"/>
      <c r="X118" s="1344"/>
      <c r="Y118" s="1344"/>
      <c r="Z118" s="1344"/>
      <c r="AA118" s="1344"/>
      <c r="AB118" s="1344"/>
      <c r="AC118" s="1344"/>
      <c r="AD118" s="1344"/>
      <c r="AE118" s="1344"/>
      <c r="AF118" s="1344"/>
      <c r="AG118" s="1344"/>
    </row>
    <row r="119" spans="1:33" ht="15.5">
      <c r="A119" s="867" t="str">
        <f>Table3[[#This Row],[Product]]</f>
        <v>LPG-Import/Re-Export</v>
      </c>
      <c r="B119" s="832" t="s">
        <v>34</v>
      </c>
      <c r="C119" s="28" t="s">
        <v>577</v>
      </c>
      <c r="D119" s="28"/>
      <c r="E119" s="714"/>
      <c r="F119" s="714"/>
      <c r="G119" s="714"/>
      <c r="H119" s="714"/>
      <c r="I119" s="714"/>
      <c r="J119" s="714"/>
      <c r="K119" s="714"/>
      <c r="L119" s="714"/>
      <c r="M119" s="714"/>
      <c r="N119" s="714"/>
      <c r="O119" s="714"/>
      <c r="P119" s="714"/>
      <c r="V119" s="43">
        <v>23377</v>
      </c>
      <c r="W119" s="43">
        <v>23408</v>
      </c>
      <c r="X119" s="43">
        <v>23437</v>
      </c>
      <c r="Y119" s="43">
        <v>23468</v>
      </c>
      <c r="Z119" s="43">
        <v>23498</v>
      </c>
      <c r="AA119" s="43">
        <v>23529</v>
      </c>
      <c r="AB119" s="43">
        <v>23559</v>
      </c>
      <c r="AC119" s="43">
        <v>23590</v>
      </c>
      <c r="AD119" s="43">
        <v>23621</v>
      </c>
      <c r="AE119" s="43">
        <v>23651</v>
      </c>
      <c r="AF119" s="43">
        <v>23682</v>
      </c>
      <c r="AG119" s="43">
        <v>23712</v>
      </c>
    </row>
    <row r="120" spans="1:33" ht="23.5">
      <c r="A120" s="867" t="str">
        <f>Table3[[#This Row],[Product]]</f>
        <v>LPG-Import/Re-Export</v>
      </c>
      <c r="B120" s="832" t="s">
        <v>34</v>
      </c>
      <c r="C120" s="28" t="s">
        <v>226</v>
      </c>
      <c r="D120" s="28"/>
      <c r="E120" s="714"/>
      <c r="F120" s="714"/>
      <c r="G120" s="714"/>
      <c r="H120" s="714"/>
      <c r="I120" s="714"/>
      <c r="J120" s="714"/>
      <c r="K120" s="714"/>
      <c r="L120" s="714"/>
      <c r="M120" s="714"/>
      <c r="N120" s="714"/>
      <c r="O120" s="714"/>
      <c r="P120" s="714"/>
      <c r="T120" s="44" t="s">
        <v>214</v>
      </c>
      <c r="U120" s="702"/>
    </row>
    <row r="121" spans="1:33" ht="15.5">
      <c r="A121" s="867" t="str">
        <f>Table3[[#This Row],[Product]]</f>
        <v>LPG-Import/Re-Export</v>
      </c>
      <c r="B121" s="832" t="s">
        <v>34</v>
      </c>
      <c r="C121" s="28" t="s">
        <v>280</v>
      </c>
      <c r="D121" s="28"/>
      <c r="E121" s="714"/>
      <c r="F121" s="714"/>
      <c r="G121" s="714"/>
      <c r="H121" s="714"/>
      <c r="I121" s="714"/>
      <c r="J121" s="714"/>
      <c r="K121" s="714"/>
      <c r="L121" s="714"/>
      <c r="M121" s="714"/>
      <c r="N121" s="714"/>
      <c r="O121" s="714"/>
      <c r="P121" s="714"/>
      <c r="T121" t="s">
        <v>217</v>
      </c>
      <c r="V121" s="720">
        <f>E$6</f>
        <v>333.96497505999042</v>
      </c>
      <c r="W121" s="720">
        <f t="shared" ref="V121:AG123" si="42">F$6</f>
        <v>325.72500747828582</v>
      </c>
      <c r="X121" s="720">
        <f t="shared" si="42"/>
        <v>367.56116507367756</v>
      </c>
      <c r="Y121" s="720">
        <f t="shared" si="42"/>
        <v>347.92478415114391</v>
      </c>
      <c r="Z121" s="720">
        <f t="shared" si="42"/>
        <v>343.85536413001967</v>
      </c>
      <c r="AA121" s="720">
        <f t="shared" si="42"/>
        <v>359.7038711190537</v>
      </c>
      <c r="AB121" s="720">
        <f t="shared" si="42"/>
        <v>359.0392298407566</v>
      </c>
      <c r="AC121" s="720">
        <f t="shared" si="42"/>
        <v>365.53915229061477</v>
      </c>
      <c r="AD121" s="720">
        <f t="shared" si="42"/>
        <v>364.3514958496379</v>
      </c>
      <c r="AE121" s="720">
        <f t="shared" si="42"/>
        <v>378.31526106127922</v>
      </c>
      <c r="AF121" s="720">
        <f t="shared" si="42"/>
        <v>379.67218955185331</v>
      </c>
      <c r="AG121" s="720">
        <f t="shared" si="42"/>
        <v>380.08915460239052</v>
      </c>
    </row>
    <row r="122" spans="1:33" ht="15.5">
      <c r="A122" s="867" t="str">
        <f>Table3[[#This Row],[Product]]</f>
        <v>LPG-Import/Re-Export</v>
      </c>
      <c r="B122" s="833" t="s">
        <v>654</v>
      </c>
      <c r="C122" s="46" t="s">
        <v>68</v>
      </c>
      <c r="D122" s="28"/>
      <c r="E122" s="714"/>
      <c r="F122" s="714"/>
      <c r="G122" s="714"/>
      <c r="H122" s="714"/>
      <c r="I122" s="714"/>
      <c r="J122" s="714"/>
      <c r="K122" s="714"/>
      <c r="L122" s="714"/>
      <c r="M122" s="714"/>
      <c r="N122" s="714"/>
      <c r="O122" s="714"/>
      <c r="P122" s="714"/>
      <c r="T122" t="s">
        <v>218</v>
      </c>
      <c r="V122" s="720">
        <f t="shared" si="42"/>
        <v>333.96497505999042</v>
      </c>
      <c r="W122" s="720">
        <f t="shared" si="42"/>
        <v>325.72500747828582</v>
      </c>
      <c r="X122" s="720">
        <f t="shared" si="42"/>
        <v>367.56116507367756</v>
      </c>
      <c r="Y122" s="720">
        <f t="shared" si="42"/>
        <v>347.92478415114391</v>
      </c>
      <c r="Z122" s="720">
        <f t="shared" si="42"/>
        <v>343.85536413001967</v>
      </c>
      <c r="AA122" s="720">
        <f t="shared" si="42"/>
        <v>359.7038711190537</v>
      </c>
      <c r="AB122" s="720">
        <f t="shared" si="42"/>
        <v>359.0392298407566</v>
      </c>
      <c r="AC122" s="720">
        <f t="shared" si="42"/>
        <v>365.53915229061477</v>
      </c>
      <c r="AD122" s="720">
        <f t="shared" si="42"/>
        <v>364.3514958496379</v>
      </c>
      <c r="AE122" s="720">
        <f t="shared" si="42"/>
        <v>378.31526106127922</v>
      </c>
      <c r="AF122" s="720">
        <f t="shared" si="42"/>
        <v>379.67218955185331</v>
      </c>
      <c r="AG122" s="720">
        <f t="shared" si="42"/>
        <v>380.08915460239052</v>
      </c>
    </row>
    <row r="123" spans="1:33" ht="15.5">
      <c r="A123" s="867" t="str">
        <f>Table3[[#This Row],[Product]]</f>
        <v>LPG-Import/Re-Export</v>
      </c>
      <c r="B123" s="833" t="s">
        <v>653</v>
      </c>
      <c r="C123" s="46" t="s">
        <v>70</v>
      </c>
      <c r="D123" s="28"/>
      <c r="E123" s="714"/>
      <c r="F123" s="714"/>
      <c r="G123" s="714"/>
      <c r="H123" s="714"/>
      <c r="I123" s="714"/>
      <c r="J123" s="714"/>
      <c r="K123" s="714"/>
      <c r="L123" s="714"/>
      <c r="M123" s="714"/>
      <c r="N123" s="714"/>
      <c r="O123" s="714"/>
      <c r="P123" s="714"/>
      <c r="T123" t="s">
        <v>220</v>
      </c>
      <c r="V123" s="720">
        <f t="shared" si="42"/>
        <v>333.96497505999042</v>
      </c>
      <c r="W123" s="720">
        <f t="shared" si="42"/>
        <v>325.72500747828582</v>
      </c>
      <c r="X123" s="720">
        <f t="shared" si="42"/>
        <v>367.56116507367756</v>
      </c>
      <c r="Y123" s="720">
        <f t="shared" si="42"/>
        <v>347.92478415114391</v>
      </c>
      <c r="Z123" s="720">
        <f t="shared" si="42"/>
        <v>343.85536413001967</v>
      </c>
      <c r="AA123" s="720">
        <f t="shared" si="42"/>
        <v>359.7038711190537</v>
      </c>
      <c r="AB123" s="720">
        <f t="shared" si="42"/>
        <v>359.0392298407566</v>
      </c>
      <c r="AC123" s="720">
        <f t="shared" si="42"/>
        <v>365.53915229061477</v>
      </c>
      <c r="AD123" s="720">
        <f t="shared" si="42"/>
        <v>364.3514958496379</v>
      </c>
      <c r="AE123" s="720">
        <f t="shared" si="42"/>
        <v>378.31526106127922</v>
      </c>
      <c r="AF123" s="720">
        <f t="shared" si="42"/>
        <v>379.67218955185331</v>
      </c>
      <c r="AG123" s="720">
        <f t="shared" si="42"/>
        <v>380.08915460239052</v>
      </c>
    </row>
    <row r="124" spans="1:33" ht="15.5">
      <c r="A124" s="867" t="str">
        <f>Table3[[#This Row],[Product]]</f>
        <v>LPG-Import/Re-Export</v>
      </c>
      <c r="B124" s="28"/>
      <c r="C124" s="34" t="s">
        <v>37</v>
      </c>
      <c r="D124" s="28">
        <f t="shared" ref="D124:P124" si="43">SUM(D118:D123)</f>
        <v>0</v>
      </c>
      <c r="E124" s="822">
        <f t="shared" si="43"/>
        <v>0</v>
      </c>
      <c r="F124" s="822">
        <f t="shared" si="43"/>
        <v>0</v>
      </c>
      <c r="G124" s="822">
        <f t="shared" si="43"/>
        <v>0</v>
      </c>
      <c r="H124" s="822">
        <f t="shared" si="43"/>
        <v>0</v>
      </c>
      <c r="I124" s="822">
        <f t="shared" si="43"/>
        <v>0</v>
      </c>
      <c r="J124" s="822">
        <f t="shared" si="43"/>
        <v>0</v>
      </c>
      <c r="K124" s="822">
        <f t="shared" si="43"/>
        <v>0</v>
      </c>
      <c r="L124" s="822">
        <f t="shared" si="43"/>
        <v>0</v>
      </c>
      <c r="M124" s="822">
        <f t="shared" si="43"/>
        <v>0</v>
      </c>
      <c r="N124" s="822">
        <f t="shared" si="43"/>
        <v>0</v>
      </c>
      <c r="O124" s="822">
        <f t="shared" si="43"/>
        <v>0</v>
      </c>
      <c r="P124" s="822">
        <f t="shared" si="43"/>
        <v>0</v>
      </c>
      <c r="T124" s="148" t="s">
        <v>177</v>
      </c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</row>
    <row r="125" spans="1:33" ht="23.5">
      <c r="A125" s="868" t="str">
        <f>Table3[[#This Row],[Product]]</f>
        <v>NGL (m3)</v>
      </c>
      <c r="B125" s="130" t="s">
        <v>25</v>
      </c>
      <c r="C125" s="130" t="s">
        <v>72</v>
      </c>
      <c r="D125" s="130"/>
      <c r="E125" s="721"/>
      <c r="F125" s="721"/>
      <c r="G125" s="721"/>
      <c r="H125" s="721"/>
      <c r="I125" s="721"/>
      <c r="J125" s="721"/>
      <c r="K125" s="721"/>
      <c r="L125" s="721"/>
      <c r="M125" s="721"/>
      <c r="N125" s="721"/>
      <c r="O125" s="721"/>
      <c r="P125" s="721"/>
      <c r="T125" s="44" t="s">
        <v>215</v>
      </c>
      <c r="U125" s="702"/>
    </row>
    <row r="126" spans="1:33" ht="15.5">
      <c r="A126" s="868" t="str">
        <f>Table3[[#This Row],[Product]]</f>
        <v>NGL (m3)</v>
      </c>
      <c r="B126" s="130" t="s">
        <v>25</v>
      </c>
      <c r="C126" s="130" t="s">
        <v>73</v>
      </c>
      <c r="D126" s="130"/>
      <c r="E126" s="721"/>
      <c r="F126" s="721"/>
      <c r="G126" s="721"/>
      <c r="H126" s="721"/>
      <c r="I126" s="721"/>
      <c r="J126" s="721"/>
      <c r="K126" s="721"/>
      <c r="L126" s="721"/>
      <c r="M126" s="721"/>
      <c r="N126" s="721"/>
      <c r="O126" s="721"/>
      <c r="P126" s="721"/>
      <c r="T126" t="s">
        <v>225</v>
      </c>
      <c r="U126" s="734" t="s">
        <v>536</v>
      </c>
    </row>
    <row r="127" spans="1:33" ht="15.5">
      <c r="A127" s="868" t="str">
        <f>Table3[[#This Row],[Product]]</f>
        <v>NGL (m3)</v>
      </c>
      <c r="B127" s="130" t="s">
        <v>25</v>
      </c>
      <c r="C127" s="130" t="s">
        <v>74</v>
      </c>
      <c r="D127" s="130"/>
      <c r="E127" s="721"/>
      <c r="F127" s="721"/>
      <c r="G127" s="721"/>
      <c r="H127" s="721"/>
      <c r="I127" s="721"/>
      <c r="J127" s="721"/>
      <c r="K127" s="721"/>
      <c r="L127" s="721"/>
      <c r="M127" s="721"/>
      <c r="N127" s="721"/>
      <c r="O127" s="721"/>
      <c r="P127" s="721"/>
      <c r="U127" s="734" t="s">
        <v>76</v>
      </c>
    </row>
    <row r="128" spans="1:33" ht="15.5">
      <c r="A128" s="868" t="str">
        <f>Table3[[#This Row],[Product]]</f>
        <v>NGL (m3)</v>
      </c>
      <c r="B128" s="130" t="s">
        <v>25</v>
      </c>
      <c r="C128" s="130" t="s">
        <v>77</v>
      </c>
      <c r="D128" s="130"/>
      <c r="E128" s="721"/>
      <c r="F128" s="721"/>
      <c r="G128" s="721"/>
      <c r="H128" s="721"/>
      <c r="I128" s="721"/>
      <c r="J128" s="721"/>
      <c r="K128" s="721"/>
      <c r="L128" s="721"/>
      <c r="M128" s="721"/>
      <c r="N128" s="721"/>
      <c r="O128" s="721"/>
      <c r="P128" s="721"/>
      <c r="U128" s="135" t="s">
        <v>537</v>
      </c>
      <c r="V128" s="735">
        <f>V129</f>
        <v>337.13380531500081</v>
      </c>
      <c r="W128" s="735">
        <f t="shared" ref="W128:AG128" si="44">W129</f>
        <v>337.23780311488252</v>
      </c>
      <c r="X128" s="735">
        <f t="shared" si="44"/>
        <v>382.92052484936323</v>
      </c>
      <c r="Y128" s="735">
        <f t="shared" si="44"/>
        <v>362.90514218423709</v>
      </c>
      <c r="Z128" s="735">
        <f t="shared" si="44"/>
        <v>361.00655862737455</v>
      </c>
      <c r="AA128" s="735">
        <f t="shared" si="44"/>
        <v>393.80172104232281</v>
      </c>
      <c r="AB128" s="735">
        <f t="shared" si="44"/>
        <v>391.49567318655744</v>
      </c>
      <c r="AC128" s="735">
        <f t="shared" si="44"/>
        <v>396.71660850522022</v>
      </c>
      <c r="AD128" s="735">
        <f t="shared" si="44"/>
        <v>396.39670608166131</v>
      </c>
      <c r="AE128" s="735">
        <f t="shared" si="44"/>
        <v>335.15089180618997</v>
      </c>
      <c r="AF128" s="735">
        <f t="shared" si="44"/>
        <v>406.5649045977562</v>
      </c>
      <c r="AG128" s="735">
        <f t="shared" si="44"/>
        <v>406.46563643194753</v>
      </c>
    </row>
    <row r="129" spans="1:33" ht="15.5">
      <c r="A129" s="868" t="str">
        <f>Table3[[#This Row],[Product]]</f>
        <v>NGL (m3)</v>
      </c>
      <c r="B129" s="130" t="s">
        <v>25</v>
      </c>
      <c r="C129" s="130" t="s">
        <v>78</v>
      </c>
      <c r="D129" s="130"/>
      <c r="E129" s="721"/>
      <c r="F129" s="721"/>
      <c r="G129" s="721"/>
      <c r="H129" s="721"/>
      <c r="I129" s="721"/>
      <c r="J129" s="721"/>
      <c r="K129" s="721"/>
      <c r="L129" s="721"/>
      <c r="M129" s="721"/>
      <c r="N129" s="721"/>
      <c r="O129" s="721"/>
      <c r="P129" s="721"/>
      <c r="U129" s="135" t="s">
        <v>276</v>
      </c>
      <c r="V129" s="735">
        <f t="shared" ref="V129:V146" si="45">IF(U129="MT",E$8,E$7)</f>
        <v>337.13380531500081</v>
      </c>
      <c r="W129" s="735">
        <f t="shared" ref="W129:W146" si="46">IF(V129="MT",F$8,F$7)</f>
        <v>337.23780311488252</v>
      </c>
      <c r="X129" s="735">
        <f t="shared" ref="X129:X146" si="47">IF(W129="MT",G$8,G$7)</f>
        <v>382.92052484936323</v>
      </c>
      <c r="Y129" s="735">
        <f t="shared" ref="Y129:Y146" si="48">IF(X129="MT",H$8,H$7)</f>
        <v>362.90514218423709</v>
      </c>
      <c r="Z129" s="735">
        <f t="shared" ref="Z129:Z146" si="49">IF(Y129="MT",I$8,I$7)</f>
        <v>361.00655862737455</v>
      </c>
      <c r="AA129" s="735">
        <f t="shared" ref="AA129:AA146" si="50">IF(Z129="MT",J$8,J$7)</f>
        <v>393.80172104232281</v>
      </c>
      <c r="AB129" s="735">
        <f t="shared" ref="AB129:AB146" si="51">IF(AA129="MT",K$8,K$7)</f>
        <v>391.49567318655744</v>
      </c>
      <c r="AC129" s="735">
        <f t="shared" ref="AC129:AC146" si="52">IF(AB129="MT",L$8,L$7)</f>
        <v>396.71660850522022</v>
      </c>
      <c r="AD129" s="735">
        <f t="shared" ref="AD129:AD146" si="53">IF(AC129="MT",M$8,M$7)</f>
        <v>396.39670608166131</v>
      </c>
      <c r="AE129" s="735">
        <f t="shared" ref="AE129:AE146" si="54">IF(AD129="MT",N$8,N$7)</f>
        <v>335.15089180618997</v>
      </c>
      <c r="AF129" s="735">
        <f t="shared" ref="AF129:AF146" si="55">IF(AE129="MT",O$8,O$7)</f>
        <v>406.5649045977562</v>
      </c>
      <c r="AG129" s="735">
        <f t="shared" ref="AG129:AG146" si="56">IF(AF129="MT",P$8,P$7)</f>
        <v>406.46563643194753</v>
      </c>
    </row>
    <row r="130" spans="1:33" ht="15.5">
      <c r="A130" s="868" t="str">
        <f>Table3[[#This Row],[Product]]</f>
        <v>NGL (m3)</v>
      </c>
      <c r="B130" s="130" t="s">
        <v>76</v>
      </c>
      <c r="C130" s="130" t="s">
        <v>75</v>
      </c>
      <c r="D130" s="130"/>
      <c r="E130" s="721"/>
      <c r="F130" s="721"/>
      <c r="G130" s="721"/>
      <c r="H130" s="721"/>
      <c r="I130" s="721"/>
      <c r="J130" s="721"/>
      <c r="K130" s="721"/>
      <c r="L130" s="721"/>
      <c r="M130" s="721"/>
      <c r="N130" s="721"/>
      <c r="O130" s="721"/>
      <c r="P130" s="721"/>
      <c r="U130" s="135" t="s">
        <v>538</v>
      </c>
      <c r="V130" s="735">
        <f t="shared" si="45"/>
        <v>337.13380531500081</v>
      </c>
      <c r="W130" s="735">
        <f t="shared" si="46"/>
        <v>337.23780311488252</v>
      </c>
      <c r="X130" s="735">
        <f t="shared" si="47"/>
        <v>382.92052484936323</v>
      </c>
      <c r="Y130" s="735">
        <f t="shared" si="48"/>
        <v>362.90514218423709</v>
      </c>
      <c r="Z130" s="735">
        <f t="shared" si="49"/>
        <v>361.00655862737455</v>
      </c>
      <c r="AA130" s="735">
        <f t="shared" si="50"/>
        <v>393.80172104232281</v>
      </c>
      <c r="AB130" s="735">
        <f t="shared" si="51"/>
        <v>391.49567318655744</v>
      </c>
      <c r="AC130" s="735">
        <f t="shared" si="52"/>
        <v>396.71660850522022</v>
      </c>
      <c r="AD130" s="735">
        <f t="shared" si="53"/>
        <v>396.39670608166131</v>
      </c>
      <c r="AE130" s="735">
        <f t="shared" si="54"/>
        <v>335.15089180618997</v>
      </c>
      <c r="AF130" s="735">
        <f t="shared" si="55"/>
        <v>406.5649045977562</v>
      </c>
      <c r="AG130" s="735">
        <f t="shared" si="56"/>
        <v>406.46563643194753</v>
      </c>
    </row>
    <row r="131" spans="1:33" ht="15.5">
      <c r="A131" s="868" t="str">
        <f>Table3[[#This Row],[Product]]</f>
        <v>NGL (m3)</v>
      </c>
      <c r="B131" s="130" t="s">
        <v>76</v>
      </c>
      <c r="C131" s="130" t="s">
        <v>531</v>
      </c>
      <c r="D131" s="130"/>
      <c r="E131" s="721"/>
      <c r="F131" s="721"/>
      <c r="G131" s="721"/>
      <c r="H131" s="721"/>
      <c r="I131" s="721"/>
      <c r="J131" s="721"/>
      <c r="K131" s="721"/>
      <c r="L131" s="721"/>
      <c r="M131" s="721"/>
      <c r="N131" s="721"/>
      <c r="O131" s="721"/>
      <c r="P131" s="721"/>
      <c r="T131" t="s">
        <v>226</v>
      </c>
      <c r="U131" s="135" t="s">
        <v>276</v>
      </c>
      <c r="V131" s="735">
        <f t="shared" si="45"/>
        <v>337.13380531500081</v>
      </c>
      <c r="W131" s="735">
        <f t="shared" si="46"/>
        <v>337.23780311488252</v>
      </c>
      <c r="X131" s="735">
        <f t="shared" si="47"/>
        <v>382.92052484936323</v>
      </c>
      <c r="Y131" s="735">
        <f t="shared" si="48"/>
        <v>362.90514218423709</v>
      </c>
      <c r="Z131" s="735">
        <f t="shared" si="49"/>
        <v>361.00655862737455</v>
      </c>
      <c r="AA131" s="735">
        <f t="shared" si="50"/>
        <v>393.80172104232281</v>
      </c>
      <c r="AB131" s="735">
        <f t="shared" si="51"/>
        <v>391.49567318655744</v>
      </c>
      <c r="AC131" s="735">
        <f t="shared" si="52"/>
        <v>396.71660850522022</v>
      </c>
      <c r="AD131" s="735">
        <f t="shared" si="53"/>
        <v>396.39670608166131</v>
      </c>
      <c r="AE131" s="735">
        <f t="shared" si="54"/>
        <v>335.15089180618997</v>
      </c>
      <c r="AF131" s="735">
        <f t="shared" si="55"/>
        <v>406.5649045977562</v>
      </c>
      <c r="AG131" s="735">
        <f t="shared" si="56"/>
        <v>406.46563643194753</v>
      </c>
    </row>
    <row r="132" spans="1:33" ht="15.5">
      <c r="A132" s="868" t="str">
        <f>Table3[[#This Row],[Product]]</f>
        <v>NGL (m3)</v>
      </c>
      <c r="B132" s="130"/>
      <c r="C132" s="132" t="s">
        <v>35</v>
      </c>
      <c r="D132" s="130">
        <f>D125</f>
        <v>0</v>
      </c>
      <c r="E132" s="721">
        <f t="shared" ref="E132:P132" si="57">E125</f>
        <v>0</v>
      </c>
      <c r="F132" s="721">
        <f t="shared" si="57"/>
        <v>0</v>
      </c>
      <c r="G132" s="721">
        <f t="shared" si="57"/>
        <v>0</v>
      </c>
      <c r="H132" s="721">
        <f t="shared" si="57"/>
        <v>0</v>
      </c>
      <c r="I132" s="721">
        <f t="shared" si="57"/>
        <v>0</v>
      </c>
      <c r="J132" s="721">
        <f t="shared" si="57"/>
        <v>0</v>
      </c>
      <c r="K132" s="721">
        <f t="shared" si="57"/>
        <v>0</v>
      </c>
      <c r="L132" s="721">
        <f t="shared" si="57"/>
        <v>0</v>
      </c>
      <c r="M132" s="721">
        <f t="shared" si="57"/>
        <v>0</v>
      </c>
      <c r="N132" s="721">
        <f t="shared" si="57"/>
        <v>0</v>
      </c>
      <c r="O132" s="721">
        <f t="shared" si="57"/>
        <v>0</v>
      </c>
      <c r="P132" s="721">
        <f t="shared" si="57"/>
        <v>0</v>
      </c>
      <c r="U132" s="135" t="s">
        <v>538</v>
      </c>
      <c r="V132" s="735">
        <f t="shared" si="45"/>
        <v>337.13380531500081</v>
      </c>
      <c r="W132" s="735">
        <f t="shared" si="46"/>
        <v>337.23780311488252</v>
      </c>
      <c r="X132" s="735">
        <f t="shared" si="47"/>
        <v>382.92052484936323</v>
      </c>
      <c r="Y132" s="735">
        <f t="shared" si="48"/>
        <v>362.90514218423709</v>
      </c>
      <c r="Z132" s="735">
        <f t="shared" si="49"/>
        <v>361.00655862737455</v>
      </c>
      <c r="AA132" s="735">
        <f t="shared" si="50"/>
        <v>393.80172104232281</v>
      </c>
      <c r="AB132" s="735">
        <f t="shared" si="51"/>
        <v>391.49567318655744</v>
      </c>
      <c r="AC132" s="735">
        <f t="shared" si="52"/>
        <v>396.71660850522022</v>
      </c>
      <c r="AD132" s="735">
        <f t="shared" si="53"/>
        <v>396.39670608166131</v>
      </c>
      <c r="AE132" s="735">
        <f t="shared" si="54"/>
        <v>335.15089180618997</v>
      </c>
      <c r="AF132" s="735">
        <f t="shared" si="55"/>
        <v>406.5649045977562</v>
      </c>
      <c r="AG132" s="735">
        <f t="shared" si="56"/>
        <v>406.46563643194753</v>
      </c>
    </row>
    <row r="133" spans="1:33" s="131" customFormat="1" ht="15.5">
      <c r="A133" s="868" t="str">
        <f>Table3[[#This Row],[Product]]</f>
        <v>NGL (m3)</v>
      </c>
      <c r="B133" s="130"/>
      <c r="C133" s="132" t="s">
        <v>36</v>
      </c>
      <c r="D133" s="130">
        <f>SUM(D126:D127)</f>
        <v>0</v>
      </c>
      <c r="E133" s="721">
        <f t="shared" ref="E133:P133" si="58">SUM(E126:E127)</f>
        <v>0</v>
      </c>
      <c r="F133" s="721">
        <f t="shared" si="58"/>
        <v>0</v>
      </c>
      <c r="G133" s="721">
        <f t="shared" si="58"/>
        <v>0</v>
      </c>
      <c r="H133" s="721">
        <f t="shared" si="58"/>
        <v>0</v>
      </c>
      <c r="I133" s="721">
        <f t="shared" si="58"/>
        <v>0</v>
      </c>
      <c r="J133" s="721">
        <f t="shared" si="58"/>
        <v>0</v>
      </c>
      <c r="K133" s="721">
        <f t="shared" si="58"/>
        <v>0</v>
      </c>
      <c r="L133" s="721">
        <f t="shared" si="58"/>
        <v>0</v>
      </c>
      <c r="M133" s="721">
        <f t="shared" si="58"/>
        <v>0</v>
      </c>
      <c r="N133" s="721">
        <f t="shared" si="58"/>
        <v>0</v>
      </c>
      <c r="O133" s="721">
        <f t="shared" si="58"/>
        <v>0</v>
      </c>
      <c r="P133" s="721">
        <f t="shared" si="58"/>
        <v>0</v>
      </c>
      <c r="T133" t="s">
        <v>227</v>
      </c>
      <c r="U133" s="135" t="s">
        <v>276</v>
      </c>
      <c r="V133" s="735">
        <f t="shared" si="45"/>
        <v>337.13380531500081</v>
      </c>
      <c r="W133" s="735">
        <f t="shared" si="46"/>
        <v>337.23780311488252</v>
      </c>
      <c r="X133" s="735">
        <f t="shared" si="47"/>
        <v>382.92052484936323</v>
      </c>
      <c r="Y133" s="735">
        <f t="shared" si="48"/>
        <v>362.90514218423709</v>
      </c>
      <c r="Z133" s="735">
        <f t="shared" si="49"/>
        <v>361.00655862737455</v>
      </c>
      <c r="AA133" s="735">
        <f t="shared" si="50"/>
        <v>393.80172104232281</v>
      </c>
      <c r="AB133" s="735">
        <f t="shared" si="51"/>
        <v>391.49567318655744</v>
      </c>
      <c r="AC133" s="735">
        <f t="shared" si="52"/>
        <v>396.71660850522022</v>
      </c>
      <c r="AD133" s="735">
        <f t="shared" si="53"/>
        <v>396.39670608166131</v>
      </c>
      <c r="AE133" s="735">
        <f t="shared" si="54"/>
        <v>335.15089180618997</v>
      </c>
      <c r="AF133" s="735">
        <f t="shared" si="55"/>
        <v>406.5649045977562</v>
      </c>
      <c r="AG133" s="735">
        <f t="shared" si="56"/>
        <v>406.46563643194753</v>
      </c>
    </row>
    <row r="134" spans="1:33" s="131" customFormat="1" ht="15.5">
      <c r="A134" s="868" t="str">
        <f>Table3[[#This Row],[Product]]</f>
        <v>NGL (m3)</v>
      </c>
      <c r="B134" s="130"/>
      <c r="C134" s="133" t="s">
        <v>37</v>
      </c>
      <c r="D134" s="130">
        <f>SUM(D125:D130)</f>
        <v>0</v>
      </c>
      <c r="E134" s="721">
        <f t="shared" ref="E134:P134" si="59">SUM(E125:E130)</f>
        <v>0</v>
      </c>
      <c r="F134" s="721">
        <f t="shared" si="59"/>
        <v>0</v>
      </c>
      <c r="G134" s="721">
        <f t="shared" si="59"/>
        <v>0</v>
      </c>
      <c r="H134" s="721">
        <f t="shared" si="59"/>
        <v>0</v>
      </c>
      <c r="I134" s="721">
        <f t="shared" si="59"/>
        <v>0</v>
      </c>
      <c r="J134" s="721">
        <f t="shared" si="59"/>
        <v>0</v>
      </c>
      <c r="K134" s="721">
        <f t="shared" si="59"/>
        <v>0</v>
      </c>
      <c r="L134" s="721">
        <f t="shared" si="59"/>
        <v>0</v>
      </c>
      <c r="M134" s="721">
        <f t="shared" si="59"/>
        <v>0</v>
      </c>
      <c r="N134" s="721">
        <f t="shared" si="59"/>
        <v>0</v>
      </c>
      <c r="O134" s="721">
        <f t="shared" si="59"/>
        <v>0</v>
      </c>
      <c r="P134" s="721">
        <f t="shared" si="59"/>
        <v>0</v>
      </c>
      <c r="T134"/>
      <c r="U134" s="135" t="s">
        <v>538</v>
      </c>
      <c r="V134" s="735">
        <f t="shared" si="45"/>
        <v>337.13380531500081</v>
      </c>
      <c r="W134" s="735">
        <f t="shared" si="46"/>
        <v>337.23780311488252</v>
      </c>
      <c r="X134" s="735">
        <f t="shared" si="47"/>
        <v>382.92052484936323</v>
      </c>
      <c r="Y134" s="735">
        <f t="shared" si="48"/>
        <v>362.90514218423709</v>
      </c>
      <c r="Z134" s="735">
        <f t="shared" si="49"/>
        <v>361.00655862737455</v>
      </c>
      <c r="AA134" s="735">
        <f t="shared" si="50"/>
        <v>393.80172104232281</v>
      </c>
      <c r="AB134" s="735">
        <f t="shared" si="51"/>
        <v>391.49567318655744</v>
      </c>
      <c r="AC134" s="735">
        <f t="shared" si="52"/>
        <v>396.71660850522022</v>
      </c>
      <c r="AD134" s="735">
        <f t="shared" si="53"/>
        <v>396.39670608166131</v>
      </c>
      <c r="AE134" s="735">
        <f t="shared" si="54"/>
        <v>335.15089180618997</v>
      </c>
      <c r="AF134" s="735">
        <f t="shared" si="55"/>
        <v>406.5649045977562</v>
      </c>
      <c r="AG134" s="735">
        <f t="shared" si="56"/>
        <v>406.46563643194753</v>
      </c>
    </row>
    <row r="135" spans="1:33" s="131" customFormat="1" ht="15.5">
      <c r="A135" s="867" t="str">
        <f>Table3[[#This Row],[Product]]</f>
        <v>NGL (Ton)</v>
      </c>
      <c r="B135" s="28" t="s">
        <v>25</v>
      </c>
      <c r="C135" s="28" t="s">
        <v>72</v>
      </c>
      <c r="D135" s="28"/>
      <c r="E135" s="714">
        <f>Delivery!E135*'COST (Baht)'!E$9*'COST (Baht)'!E$15</f>
        <v>195139449.90296051</v>
      </c>
      <c r="F135" s="714">
        <f>Delivery!F135*'COST (Baht)'!F$9*'COST (Baht)'!F$15</f>
        <v>184748913.64539531</v>
      </c>
      <c r="G135" s="714">
        <f>Delivery!G135*'COST (Baht)'!G$9*'COST (Baht)'!G$15</f>
        <v>239030399.85819292</v>
      </c>
      <c r="H135" s="714">
        <f>Delivery!H135*'COST (Baht)'!H$9*'COST (Baht)'!H$15</f>
        <v>160627605.03892168</v>
      </c>
      <c r="I135" s="714">
        <f>Delivery!I135*'COST (Baht)'!I$9*'COST (Baht)'!I$15</f>
        <v>230751555.80247924</v>
      </c>
      <c r="J135" s="714">
        <f>Delivery!J135*'COST (Baht)'!J$9*'COST (Baht)'!J$15</f>
        <v>294018808.26621419</v>
      </c>
      <c r="K135" s="714">
        <f>Delivery!K135*'COST (Baht)'!K$9*'COST (Baht)'!K$15</f>
        <v>190308254.54894832</v>
      </c>
      <c r="L135" s="714">
        <f>Delivery!L135*'COST (Baht)'!L$9*'COST (Baht)'!L$15</f>
        <v>236722115.34429738</v>
      </c>
      <c r="M135" s="714">
        <f>Delivery!M135*'COST (Baht)'!M$9*'COST (Baht)'!M$15</f>
        <v>203820792.05170161</v>
      </c>
      <c r="N135" s="714">
        <f>Delivery!N135*'COST (Baht)'!N$9*'COST (Baht)'!N$15</f>
        <v>189405791.16535655</v>
      </c>
      <c r="O135" s="714">
        <f>Delivery!O135*'COST (Baht)'!O$9*'COST (Baht)'!O$15</f>
        <v>229164482.89568156</v>
      </c>
      <c r="P135" s="714">
        <f>Delivery!P135*'COST (Baht)'!P$9*'COST (Baht)'!P$15</f>
        <v>235020914.9248963</v>
      </c>
      <c r="T135" t="s">
        <v>228</v>
      </c>
      <c r="U135" s="135" t="s">
        <v>276</v>
      </c>
      <c r="V135" s="735">
        <f t="shared" si="45"/>
        <v>337.13380531500081</v>
      </c>
      <c r="W135" s="735">
        <f t="shared" si="46"/>
        <v>337.23780311488252</v>
      </c>
      <c r="X135" s="735">
        <f t="shared" si="47"/>
        <v>382.92052484936323</v>
      </c>
      <c r="Y135" s="735">
        <f t="shared" si="48"/>
        <v>362.90514218423709</v>
      </c>
      <c r="Z135" s="735">
        <f t="shared" si="49"/>
        <v>361.00655862737455</v>
      </c>
      <c r="AA135" s="735">
        <f t="shared" si="50"/>
        <v>393.80172104232281</v>
      </c>
      <c r="AB135" s="735">
        <f t="shared" si="51"/>
        <v>391.49567318655744</v>
      </c>
      <c r="AC135" s="735">
        <f t="shared" si="52"/>
        <v>396.71660850522022</v>
      </c>
      <c r="AD135" s="735">
        <f t="shared" si="53"/>
        <v>396.39670608166131</v>
      </c>
      <c r="AE135" s="735">
        <f t="shared" si="54"/>
        <v>335.15089180618997</v>
      </c>
      <c r="AF135" s="735">
        <f t="shared" si="55"/>
        <v>406.5649045977562</v>
      </c>
      <c r="AG135" s="735">
        <f t="shared" si="56"/>
        <v>406.46563643194753</v>
      </c>
    </row>
    <row r="136" spans="1:33" s="131" customFormat="1" ht="15.5">
      <c r="A136" s="867" t="str">
        <f>Table3[[#This Row],[Product]]</f>
        <v>NGL (Ton)</v>
      </c>
      <c r="B136" s="28" t="s">
        <v>25</v>
      </c>
      <c r="C136" s="28" t="s">
        <v>73</v>
      </c>
      <c r="D136" s="28"/>
      <c r="E136" s="714">
        <f>Delivery!E136*'COST (Baht)'!E$9*'COST (Baht)'!E$15</f>
        <v>0</v>
      </c>
      <c r="F136" s="714">
        <f>Delivery!F136*'COST (Baht)'!F$9*'COST (Baht)'!F$15</f>
        <v>0</v>
      </c>
      <c r="G136" s="714">
        <f>Delivery!G136*'COST (Baht)'!G$9*'COST (Baht)'!G$15</f>
        <v>0</v>
      </c>
      <c r="H136" s="714">
        <f>Delivery!H136*'COST (Baht)'!H$9*'COST (Baht)'!H$15</f>
        <v>0</v>
      </c>
      <c r="I136" s="714">
        <f>Delivery!I136*'COST (Baht)'!I$9*'COST (Baht)'!I$15</f>
        <v>0</v>
      </c>
      <c r="J136" s="714">
        <f>Delivery!J136*'COST (Baht)'!J$9*'COST (Baht)'!J$15</f>
        <v>0</v>
      </c>
      <c r="K136" s="714">
        <f>Delivery!K136*'COST (Baht)'!K$9*'COST (Baht)'!K$15</f>
        <v>226086206.40415058</v>
      </c>
      <c r="L136" s="714">
        <f>Delivery!L136*'COST (Baht)'!L$9*'COST (Baht)'!L$15</f>
        <v>304209438.40972614</v>
      </c>
      <c r="M136" s="714">
        <f>Delivery!M136*'COST (Baht)'!M$9*'COST (Baht)'!M$15</f>
        <v>293501940.55445033</v>
      </c>
      <c r="N136" s="714">
        <f>Delivery!N136*'COST (Baht)'!N$9*'COST (Baht)'!N$15</f>
        <v>281835817.25405061</v>
      </c>
      <c r="O136" s="714">
        <f>Delivery!O136*'COST (Baht)'!O$9*'COST (Baht)'!O$15</f>
        <v>305850744.00126088</v>
      </c>
      <c r="P136" s="714">
        <f>Delivery!P136*'COST (Baht)'!P$9*'COST (Baht)'!P$15</f>
        <v>316405300.32174605</v>
      </c>
      <c r="T136"/>
      <c r="U136" s="135" t="s">
        <v>538</v>
      </c>
      <c r="V136" s="735">
        <f t="shared" si="45"/>
        <v>337.13380531500081</v>
      </c>
      <c r="W136" s="735">
        <f t="shared" si="46"/>
        <v>337.23780311488252</v>
      </c>
      <c r="X136" s="735">
        <f t="shared" si="47"/>
        <v>382.92052484936323</v>
      </c>
      <c r="Y136" s="735">
        <f t="shared" si="48"/>
        <v>362.90514218423709</v>
      </c>
      <c r="Z136" s="735">
        <f t="shared" si="49"/>
        <v>361.00655862737455</v>
      </c>
      <c r="AA136" s="735">
        <f t="shared" si="50"/>
        <v>393.80172104232281</v>
      </c>
      <c r="AB136" s="735">
        <f t="shared" si="51"/>
        <v>391.49567318655744</v>
      </c>
      <c r="AC136" s="735">
        <f t="shared" si="52"/>
        <v>396.71660850522022</v>
      </c>
      <c r="AD136" s="735">
        <f t="shared" si="53"/>
        <v>396.39670608166131</v>
      </c>
      <c r="AE136" s="735">
        <f t="shared" si="54"/>
        <v>335.15089180618997</v>
      </c>
      <c r="AF136" s="735">
        <f t="shared" si="55"/>
        <v>406.5649045977562</v>
      </c>
      <c r="AG136" s="735">
        <f t="shared" si="56"/>
        <v>406.46563643194753</v>
      </c>
    </row>
    <row r="137" spans="1:33" s="131" customFormat="1" ht="15.5">
      <c r="A137" s="867" t="str">
        <f>Table3[[#This Row],[Product]]</f>
        <v>NGL (Ton)</v>
      </c>
      <c r="B137" s="28" t="s">
        <v>25</v>
      </c>
      <c r="C137" s="28" t="s">
        <v>74</v>
      </c>
      <c r="D137" s="28"/>
      <c r="E137" s="714">
        <f>Delivery!E137*'COST (Baht)'!E$9*'COST (Baht)'!E$15</f>
        <v>235814281.27490214</v>
      </c>
      <c r="F137" s="714">
        <f>Delivery!F137*'COST (Baht)'!F$9*'COST (Baht)'!F$15</f>
        <v>194336343.34654608</v>
      </c>
      <c r="G137" s="714">
        <f>Delivery!G137*'COST (Baht)'!G$9*'COST (Baht)'!G$15</f>
        <v>255756791.8990415</v>
      </c>
      <c r="H137" s="714">
        <f>Delivery!H137*'COST (Baht)'!H$9*'COST (Baht)'!H$15</f>
        <v>238404713.39268425</v>
      </c>
      <c r="I137" s="714">
        <f>Delivery!I137*'COST (Baht)'!I$9*'COST (Baht)'!I$15</f>
        <v>247172981.21703508</v>
      </c>
      <c r="J137" s="714">
        <f>Delivery!J137*'COST (Baht)'!J$9*'COST (Baht)'!J$15</f>
        <v>303283121.4422859</v>
      </c>
      <c r="K137" s="714">
        <f>Delivery!K137*'COST (Baht)'!K$9*'COST (Baht)'!K$15</f>
        <v>0</v>
      </c>
      <c r="L137" s="714">
        <f>Delivery!L137*'COST (Baht)'!L$9*'COST (Baht)'!L$15</f>
        <v>0</v>
      </c>
      <c r="M137" s="714">
        <f>Delivery!M137*'COST (Baht)'!M$9*'COST (Baht)'!M$15</f>
        <v>0</v>
      </c>
      <c r="N137" s="714">
        <f>Delivery!N137*'COST (Baht)'!N$9*'COST (Baht)'!N$15</f>
        <v>0</v>
      </c>
      <c r="O137" s="714">
        <f>Delivery!O137*'COST (Baht)'!O$9*'COST (Baht)'!O$15</f>
        <v>0</v>
      </c>
      <c r="P137" s="714">
        <f>Delivery!P137*'COST (Baht)'!P$9*'COST (Baht)'!P$15</f>
        <v>0</v>
      </c>
      <c r="T137" t="s">
        <v>229</v>
      </c>
      <c r="U137" s="135" t="s">
        <v>276</v>
      </c>
      <c r="V137" s="735">
        <f t="shared" si="45"/>
        <v>337.13380531500081</v>
      </c>
      <c r="W137" s="735">
        <f t="shared" si="46"/>
        <v>337.23780311488252</v>
      </c>
      <c r="X137" s="735">
        <f t="shared" si="47"/>
        <v>382.92052484936323</v>
      </c>
      <c r="Y137" s="735">
        <f t="shared" si="48"/>
        <v>362.90514218423709</v>
      </c>
      <c r="Z137" s="735">
        <f t="shared" si="49"/>
        <v>361.00655862737455</v>
      </c>
      <c r="AA137" s="735">
        <f t="shared" si="50"/>
        <v>393.80172104232281</v>
      </c>
      <c r="AB137" s="735">
        <f t="shared" si="51"/>
        <v>391.49567318655744</v>
      </c>
      <c r="AC137" s="735">
        <f t="shared" si="52"/>
        <v>396.71660850522022</v>
      </c>
      <c r="AD137" s="735">
        <f t="shared" si="53"/>
        <v>396.39670608166131</v>
      </c>
      <c r="AE137" s="735">
        <f t="shared" si="54"/>
        <v>335.15089180618997</v>
      </c>
      <c r="AF137" s="735">
        <f t="shared" si="55"/>
        <v>406.5649045977562</v>
      </c>
      <c r="AG137" s="735">
        <f t="shared" si="56"/>
        <v>406.46563643194753</v>
      </c>
    </row>
    <row r="138" spans="1:33" s="131" customFormat="1" ht="15.5">
      <c r="A138" s="867" t="str">
        <f>Table3[[#This Row],[Product]]</f>
        <v>NGL (Ton)</v>
      </c>
      <c r="B138" s="28" t="s">
        <v>25</v>
      </c>
      <c r="C138" s="28" t="s">
        <v>77</v>
      </c>
      <c r="D138" s="28"/>
      <c r="E138" s="714">
        <f>Delivery!E138*'COST (Baht)'!E$9*'COST (Baht)'!E$15</f>
        <v>0</v>
      </c>
      <c r="F138" s="714">
        <f>Delivery!F138*'COST (Baht)'!F$9*'COST (Baht)'!F$15</f>
        <v>9164355.0476618595</v>
      </c>
      <c r="G138" s="714">
        <f>Delivery!G138*'COST (Baht)'!G$9*'COST (Baht)'!G$15</f>
        <v>0</v>
      </c>
      <c r="H138" s="714">
        <f>Delivery!H138*'COST (Baht)'!H$9*'COST (Baht)'!H$15</f>
        <v>0</v>
      </c>
      <c r="I138" s="714">
        <f>Delivery!I138*'COST (Baht)'!I$9*'COST (Baht)'!I$15</f>
        <v>0</v>
      </c>
      <c r="J138" s="714">
        <f>Delivery!J138*'COST (Baht)'!J$9*'COST (Baht)'!J$15</f>
        <v>0</v>
      </c>
      <c r="K138" s="714">
        <f>Delivery!K138*'COST (Baht)'!K$9*'COST (Baht)'!K$15</f>
        <v>12331974.89477185</v>
      </c>
      <c r="L138" s="714">
        <f>Delivery!L138*'COST (Baht)'!L$9*'COST (Baht)'!L$15</f>
        <v>0</v>
      </c>
      <c r="M138" s="714">
        <f>Delivery!M138*'COST (Baht)'!M$9*'COST (Baht)'!M$15</f>
        <v>0</v>
      </c>
      <c r="N138" s="714">
        <f>Delivery!N138*'COST (Baht)'!N$9*'COST (Baht)'!N$15</f>
        <v>0</v>
      </c>
      <c r="O138" s="714">
        <f>Delivery!O138*'COST (Baht)'!O$9*'COST (Baht)'!O$15</f>
        <v>0</v>
      </c>
      <c r="P138" s="714">
        <f>Delivery!P138*'COST (Baht)'!P$9*'COST (Baht)'!P$15</f>
        <v>0</v>
      </c>
      <c r="T138"/>
      <c r="U138" s="135" t="s">
        <v>538</v>
      </c>
      <c r="V138" s="735">
        <f t="shared" si="45"/>
        <v>337.13380531500081</v>
      </c>
      <c r="W138" s="735">
        <f t="shared" si="46"/>
        <v>337.23780311488252</v>
      </c>
      <c r="X138" s="735">
        <f t="shared" si="47"/>
        <v>382.92052484936323</v>
      </c>
      <c r="Y138" s="735">
        <f t="shared" si="48"/>
        <v>362.90514218423709</v>
      </c>
      <c r="Z138" s="735">
        <f t="shared" si="49"/>
        <v>361.00655862737455</v>
      </c>
      <c r="AA138" s="735">
        <f t="shared" si="50"/>
        <v>393.80172104232281</v>
      </c>
      <c r="AB138" s="735">
        <f t="shared" si="51"/>
        <v>391.49567318655744</v>
      </c>
      <c r="AC138" s="735">
        <f t="shared" si="52"/>
        <v>396.71660850522022</v>
      </c>
      <c r="AD138" s="735">
        <f t="shared" si="53"/>
        <v>396.39670608166131</v>
      </c>
      <c r="AE138" s="735">
        <f t="shared" si="54"/>
        <v>335.15089180618997</v>
      </c>
      <c r="AF138" s="735">
        <f t="shared" si="55"/>
        <v>406.5649045977562</v>
      </c>
      <c r="AG138" s="735">
        <f t="shared" si="56"/>
        <v>406.46563643194753</v>
      </c>
    </row>
    <row r="139" spans="1:33" s="131" customFormat="1" ht="15.5">
      <c r="A139" s="867" t="str">
        <f>Table3[[#This Row],[Product]]</f>
        <v>NGL (Ton)</v>
      </c>
      <c r="B139" s="28" t="s">
        <v>25</v>
      </c>
      <c r="C139" s="28" t="s">
        <v>78</v>
      </c>
      <c r="D139" s="28"/>
      <c r="E139" s="714">
        <f>Delivery!E139*'COST (Baht)'!E$9*'COST (Baht)'!E$15</f>
        <v>0</v>
      </c>
      <c r="F139" s="714">
        <f>Delivery!F139*'COST (Baht)'!F$9*'COST (Baht)'!F$15</f>
        <v>0</v>
      </c>
      <c r="G139" s="714">
        <f>Delivery!G139*'COST (Baht)'!G$9*'COST (Baht)'!G$15</f>
        <v>0</v>
      </c>
      <c r="H139" s="714">
        <f>Delivery!H139*'COST (Baht)'!H$9*'COST (Baht)'!H$15</f>
        <v>0</v>
      </c>
      <c r="I139" s="714">
        <f>Delivery!I139*'COST (Baht)'!I$9*'COST (Baht)'!I$15</f>
        <v>0</v>
      </c>
      <c r="J139" s="714">
        <f>Delivery!J139*'COST (Baht)'!J$9*'COST (Baht)'!J$15</f>
        <v>0</v>
      </c>
      <c r="K139" s="714">
        <f>Delivery!K139*'COST (Baht)'!K$9*'COST (Baht)'!K$15</f>
        <v>0</v>
      </c>
      <c r="L139" s="714">
        <f>Delivery!L139*'COST (Baht)'!L$9*'COST (Baht)'!L$15</f>
        <v>0</v>
      </c>
      <c r="M139" s="714">
        <f>Delivery!M139*'COST (Baht)'!M$9*'COST (Baht)'!M$15</f>
        <v>0</v>
      </c>
      <c r="N139" s="714">
        <f>Delivery!N139*'COST (Baht)'!N$9*'COST (Baht)'!N$15</f>
        <v>0</v>
      </c>
      <c r="O139" s="714">
        <f>Delivery!O139*'COST (Baht)'!O$9*'COST (Baht)'!O$15</f>
        <v>0</v>
      </c>
      <c r="P139" s="714">
        <f>Delivery!P139*'COST (Baht)'!P$9*'COST (Baht)'!P$15</f>
        <v>0</v>
      </c>
      <c r="T139" t="s">
        <v>133</v>
      </c>
      <c r="U139" s="135" t="s">
        <v>276</v>
      </c>
      <c r="V139" s="735">
        <f t="shared" si="45"/>
        <v>337.13380531500081</v>
      </c>
      <c r="W139" s="735">
        <f t="shared" si="46"/>
        <v>337.23780311488252</v>
      </c>
      <c r="X139" s="735">
        <f t="shared" si="47"/>
        <v>382.92052484936323</v>
      </c>
      <c r="Y139" s="735">
        <f t="shared" si="48"/>
        <v>362.90514218423709</v>
      </c>
      <c r="Z139" s="735">
        <f t="shared" si="49"/>
        <v>361.00655862737455</v>
      </c>
      <c r="AA139" s="735">
        <f t="shared" si="50"/>
        <v>393.80172104232281</v>
      </c>
      <c r="AB139" s="735">
        <f t="shared" si="51"/>
        <v>391.49567318655744</v>
      </c>
      <c r="AC139" s="735">
        <f t="shared" si="52"/>
        <v>396.71660850522022</v>
      </c>
      <c r="AD139" s="735">
        <f t="shared" si="53"/>
        <v>396.39670608166131</v>
      </c>
      <c r="AE139" s="735">
        <f t="shared" si="54"/>
        <v>335.15089180618997</v>
      </c>
      <c r="AF139" s="735">
        <f t="shared" si="55"/>
        <v>406.5649045977562</v>
      </c>
      <c r="AG139" s="735">
        <f t="shared" si="56"/>
        <v>406.46563643194753</v>
      </c>
    </row>
    <row r="140" spans="1:33" s="131" customFormat="1" ht="15.5">
      <c r="A140" s="867" t="str">
        <f>Table3[[#This Row],[Product]]</f>
        <v>NGL (Ton)</v>
      </c>
      <c r="B140" s="28" t="s">
        <v>76</v>
      </c>
      <c r="C140" s="28" t="s">
        <v>75</v>
      </c>
      <c r="D140" s="28"/>
      <c r="E140" s="714">
        <f>Delivery!E140*'COST (Baht)'!E$12*'COST (Baht)'!E$15</f>
        <v>13667455.839476639</v>
      </c>
      <c r="F140" s="714">
        <f>Delivery!F140*'COST (Baht)'!F$12*'COST (Baht)'!F$15</f>
        <v>0</v>
      </c>
      <c r="G140" s="714">
        <f>Delivery!G140*'COST (Baht)'!G$12*'COST (Baht)'!G$15</f>
        <v>18890723.422414735</v>
      </c>
      <c r="H140" s="714">
        <f>Delivery!H140*'COST (Baht)'!H$12*'COST (Baht)'!H$15</f>
        <v>14972287.823088331</v>
      </c>
      <c r="I140" s="714">
        <f>Delivery!I140*'COST (Baht)'!I$12*'COST (Baht)'!I$15</f>
        <v>16180151.114322497</v>
      </c>
      <c r="J140" s="714">
        <f>Delivery!J140*'COST (Baht)'!J$12*'COST (Baht)'!J$15</f>
        <v>13655914.273011625</v>
      </c>
      <c r="K140" s="714">
        <f>Delivery!K140*'COST (Baht)'!K$12*'COST (Baht)'!K$15</f>
        <v>16718303.582714904</v>
      </c>
      <c r="L140" s="714">
        <f>Delivery!L140*'COST (Baht)'!L$12*'COST (Baht)'!L$15</f>
        <v>40305630.642592832</v>
      </c>
      <c r="M140" s="714">
        <f>Delivery!M140*'COST (Baht)'!M$12*'COST (Baht)'!M$15</f>
        <v>26661006.109707072</v>
      </c>
      <c r="N140" s="714">
        <f>Delivery!N140*'COST (Baht)'!N$12*'COST (Baht)'!N$15</f>
        <v>40413417.144740082</v>
      </c>
      <c r="O140" s="714">
        <f>Delivery!O140*'COST (Baht)'!O$12*'COST (Baht)'!O$15</f>
        <v>26958938.807571393</v>
      </c>
      <c r="P140" s="714">
        <f>Delivery!P140*'COST (Baht)'!P$12*'COST (Baht)'!P$15</f>
        <v>40678000.118122265</v>
      </c>
      <c r="T140"/>
      <c r="U140" s="135" t="s">
        <v>538</v>
      </c>
      <c r="V140" s="735">
        <f t="shared" si="45"/>
        <v>337.13380531500081</v>
      </c>
      <c r="W140" s="735">
        <f t="shared" si="46"/>
        <v>337.23780311488252</v>
      </c>
      <c r="X140" s="735">
        <f t="shared" si="47"/>
        <v>382.92052484936323</v>
      </c>
      <c r="Y140" s="735">
        <f t="shared" si="48"/>
        <v>362.90514218423709</v>
      </c>
      <c r="Z140" s="735">
        <f t="shared" si="49"/>
        <v>361.00655862737455</v>
      </c>
      <c r="AA140" s="735">
        <f t="shared" si="50"/>
        <v>393.80172104232281</v>
      </c>
      <c r="AB140" s="735">
        <f t="shared" si="51"/>
        <v>391.49567318655744</v>
      </c>
      <c r="AC140" s="735">
        <f t="shared" si="52"/>
        <v>396.71660850522022</v>
      </c>
      <c r="AD140" s="735">
        <f t="shared" si="53"/>
        <v>396.39670608166131</v>
      </c>
      <c r="AE140" s="735">
        <f t="shared" si="54"/>
        <v>335.15089180618997</v>
      </c>
      <c r="AF140" s="735">
        <f t="shared" si="55"/>
        <v>406.5649045977562</v>
      </c>
      <c r="AG140" s="735">
        <f t="shared" si="56"/>
        <v>406.46563643194753</v>
      </c>
    </row>
    <row r="141" spans="1:33" s="131" customFormat="1" ht="15.5">
      <c r="A141" s="867" t="str">
        <f>Table3[[#This Row],[Product]]</f>
        <v>NGL (Ton)</v>
      </c>
      <c r="B141" s="28" t="s">
        <v>76</v>
      </c>
      <c r="C141" s="28" t="s">
        <v>531</v>
      </c>
      <c r="D141" s="28"/>
      <c r="E141" s="714">
        <f>Delivery!E141*'COST (Baht)'!E$12*'COST (Baht)'!E$15</f>
        <v>13693844.779381454</v>
      </c>
      <c r="F141" s="714">
        <f>Delivery!F141*'COST (Baht)'!F$12*'COST (Baht)'!F$15</f>
        <v>15999451.616715619</v>
      </c>
      <c r="G141" s="714">
        <f>Delivery!G141*'COST (Baht)'!G$12*'COST (Baht)'!G$15</f>
        <v>37757233.620094754</v>
      </c>
      <c r="H141" s="714">
        <f>Delivery!H141*'COST (Baht)'!H$12*'COST (Baht)'!H$15</f>
        <v>14991763.973902347</v>
      </c>
      <c r="I141" s="714">
        <f>Delivery!I141*'COST (Baht)'!I$12*'COST (Baht)'!I$15</f>
        <v>32456824.204493724</v>
      </c>
      <c r="J141" s="714">
        <f>Delivery!J141*'COST (Baht)'!J$12*'COST (Baht)'!J$15</f>
        <v>13599669.485371005</v>
      </c>
      <c r="K141" s="714">
        <f>Delivery!K141*'COST (Baht)'!K$12*'COST (Baht)'!K$15</f>
        <v>0</v>
      </c>
      <c r="L141" s="714">
        <f>Delivery!L141*'COST (Baht)'!L$12*'COST (Baht)'!L$15</f>
        <v>0</v>
      </c>
      <c r="M141" s="714">
        <f>Delivery!M141*'COST (Baht)'!M$12*'COST (Baht)'!M$15</f>
        <v>0</v>
      </c>
      <c r="N141" s="714">
        <f>Delivery!N141*'COST (Baht)'!N$12*'COST (Baht)'!N$15</f>
        <v>0</v>
      </c>
      <c r="O141" s="714">
        <f>Delivery!O141*'COST (Baht)'!O$12*'COST (Baht)'!O$15</f>
        <v>0</v>
      </c>
      <c r="P141" s="714">
        <f>Delivery!P141*'COST (Baht)'!P$12*'COST (Baht)'!P$15</f>
        <v>0</v>
      </c>
      <c r="T141" t="s">
        <v>230</v>
      </c>
      <c r="U141" s="135" t="s">
        <v>276</v>
      </c>
      <c r="V141" s="735">
        <f t="shared" si="45"/>
        <v>337.13380531500081</v>
      </c>
      <c r="W141" s="735">
        <f t="shared" si="46"/>
        <v>337.23780311488252</v>
      </c>
      <c r="X141" s="735">
        <f t="shared" si="47"/>
        <v>382.92052484936323</v>
      </c>
      <c r="Y141" s="735">
        <f t="shared" si="48"/>
        <v>362.90514218423709</v>
      </c>
      <c r="Z141" s="735">
        <f t="shared" si="49"/>
        <v>361.00655862737455</v>
      </c>
      <c r="AA141" s="735">
        <f t="shared" si="50"/>
        <v>393.80172104232281</v>
      </c>
      <c r="AB141" s="735">
        <f t="shared" si="51"/>
        <v>391.49567318655744</v>
      </c>
      <c r="AC141" s="735">
        <f t="shared" si="52"/>
        <v>396.71660850522022</v>
      </c>
      <c r="AD141" s="735">
        <f t="shared" si="53"/>
        <v>396.39670608166131</v>
      </c>
      <c r="AE141" s="735">
        <f t="shared" si="54"/>
        <v>335.15089180618997</v>
      </c>
      <c r="AF141" s="735">
        <f t="shared" si="55"/>
        <v>406.5649045977562</v>
      </c>
      <c r="AG141" s="735">
        <f t="shared" si="56"/>
        <v>406.46563643194753</v>
      </c>
    </row>
    <row r="142" spans="1:33" s="131" customFormat="1" ht="15.5">
      <c r="A142" s="867" t="str">
        <f>Table3[[#This Row],[Product]]</f>
        <v>NGL (Ton)</v>
      </c>
      <c r="B142" s="28"/>
      <c r="C142" s="33" t="s">
        <v>35</v>
      </c>
      <c r="D142" s="28">
        <f>D135</f>
        <v>0</v>
      </c>
      <c r="E142" s="714">
        <f t="shared" ref="E142:P142" si="60">E135</f>
        <v>195139449.90296051</v>
      </c>
      <c r="F142" s="714">
        <f t="shared" si="60"/>
        <v>184748913.64539531</v>
      </c>
      <c r="G142" s="714">
        <f t="shared" si="60"/>
        <v>239030399.85819292</v>
      </c>
      <c r="H142" s="714">
        <f t="shared" si="60"/>
        <v>160627605.03892168</v>
      </c>
      <c r="I142" s="714">
        <f t="shared" si="60"/>
        <v>230751555.80247924</v>
      </c>
      <c r="J142" s="714">
        <f t="shared" si="60"/>
        <v>294018808.26621419</v>
      </c>
      <c r="K142" s="714">
        <f t="shared" si="60"/>
        <v>190308254.54894832</v>
      </c>
      <c r="L142" s="714">
        <f t="shared" si="60"/>
        <v>236722115.34429738</v>
      </c>
      <c r="M142" s="714">
        <f t="shared" si="60"/>
        <v>203820792.05170161</v>
      </c>
      <c r="N142" s="714">
        <f t="shared" si="60"/>
        <v>189405791.16535655</v>
      </c>
      <c r="O142" s="714">
        <f t="shared" si="60"/>
        <v>229164482.89568156</v>
      </c>
      <c r="P142" s="714">
        <f t="shared" si="60"/>
        <v>235020914.9248963</v>
      </c>
      <c r="T142"/>
      <c r="U142" s="135" t="s">
        <v>538</v>
      </c>
      <c r="V142" s="735">
        <f t="shared" si="45"/>
        <v>337.13380531500081</v>
      </c>
      <c r="W142" s="735">
        <f t="shared" si="46"/>
        <v>337.23780311488252</v>
      </c>
      <c r="X142" s="735">
        <f t="shared" si="47"/>
        <v>382.92052484936323</v>
      </c>
      <c r="Y142" s="735">
        <f t="shared" si="48"/>
        <v>362.90514218423709</v>
      </c>
      <c r="Z142" s="735">
        <f t="shared" si="49"/>
        <v>361.00655862737455</v>
      </c>
      <c r="AA142" s="735">
        <f t="shared" si="50"/>
        <v>393.80172104232281</v>
      </c>
      <c r="AB142" s="735">
        <f t="shared" si="51"/>
        <v>391.49567318655744</v>
      </c>
      <c r="AC142" s="735">
        <f t="shared" si="52"/>
        <v>396.71660850522022</v>
      </c>
      <c r="AD142" s="735">
        <f t="shared" si="53"/>
        <v>396.39670608166131</v>
      </c>
      <c r="AE142" s="735">
        <f t="shared" si="54"/>
        <v>335.15089180618997</v>
      </c>
      <c r="AF142" s="735">
        <f t="shared" si="55"/>
        <v>406.5649045977562</v>
      </c>
      <c r="AG142" s="735">
        <f t="shared" si="56"/>
        <v>406.46563643194753</v>
      </c>
    </row>
    <row r="143" spans="1:33" ht="15.5">
      <c r="A143" s="867" t="str">
        <f>Table3[[#This Row],[Product]]</f>
        <v>NGL (Ton)</v>
      </c>
      <c r="B143" s="28"/>
      <c r="C143" s="33" t="s">
        <v>36</v>
      </c>
      <c r="D143" s="28">
        <f>SUM(D136:D137)</f>
        <v>0</v>
      </c>
      <c r="E143" s="714">
        <f t="shared" ref="E143:P143" si="61">SUM(E136:E137)</f>
        <v>235814281.27490214</v>
      </c>
      <c r="F143" s="714">
        <f t="shared" si="61"/>
        <v>194336343.34654608</v>
      </c>
      <c r="G143" s="714">
        <f t="shared" si="61"/>
        <v>255756791.8990415</v>
      </c>
      <c r="H143" s="714">
        <f t="shared" si="61"/>
        <v>238404713.39268425</v>
      </c>
      <c r="I143" s="714">
        <f t="shared" si="61"/>
        <v>247172981.21703508</v>
      </c>
      <c r="J143" s="714">
        <f t="shared" si="61"/>
        <v>303283121.4422859</v>
      </c>
      <c r="K143" s="714">
        <f t="shared" si="61"/>
        <v>226086206.40415058</v>
      </c>
      <c r="L143" s="714">
        <f t="shared" si="61"/>
        <v>304209438.40972614</v>
      </c>
      <c r="M143" s="714">
        <f t="shared" si="61"/>
        <v>293501940.55445033</v>
      </c>
      <c r="N143" s="714">
        <f t="shared" si="61"/>
        <v>281835817.25405061</v>
      </c>
      <c r="O143" s="714">
        <f t="shared" si="61"/>
        <v>305850744.00126088</v>
      </c>
      <c r="P143" s="714">
        <f t="shared" si="61"/>
        <v>316405300.32174605</v>
      </c>
      <c r="T143" t="s">
        <v>231</v>
      </c>
      <c r="U143" s="135" t="s">
        <v>276</v>
      </c>
      <c r="V143" s="735">
        <f t="shared" si="45"/>
        <v>337.13380531500081</v>
      </c>
      <c r="W143" s="735">
        <f t="shared" si="46"/>
        <v>337.23780311488252</v>
      </c>
      <c r="X143" s="735">
        <f t="shared" si="47"/>
        <v>382.92052484936323</v>
      </c>
      <c r="Y143" s="735">
        <f t="shared" si="48"/>
        <v>362.90514218423709</v>
      </c>
      <c r="Z143" s="735">
        <f t="shared" si="49"/>
        <v>361.00655862737455</v>
      </c>
      <c r="AA143" s="735">
        <f t="shared" si="50"/>
        <v>393.80172104232281</v>
      </c>
      <c r="AB143" s="735">
        <f t="shared" si="51"/>
        <v>391.49567318655744</v>
      </c>
      <c r="AC143" s="735">
        <f t="shared" si="52"/>
        <v>396.71660850522022</v>
      </c>
      <c r="AD143" s="735">
        <f t="shared" si="53"/>
        <v>396.39670608166131</v>
      </c>
      <c r="AE143" s="735">
        <f t="shared" si="54"/>
        <v>335.15089180618997</v>
      </c>
      <c r="AF143" s="735">
        <f t="shared" si="55"/>
        <v>406.5649045977562</v>
      </c>
      <c r="AG143" s="735">
        <f t="shared" si="56"/>
        <v>406.46563643194753</v>
      </c>
    </row>
    <row r="144" spans="1:33" ht="15.5">
      <c r="A144" s="867" t="str">
        <f>Table3[[#This Row],[Product]]</f>
        <v>NGL (Ton)</v>
      </c>
      <c r="B144" s="28"/>
      <c r="C144" s="34" t="s">
        <v>37</v>
      </c>
      <c r="D144" s="28">
        <f>SUM(D135:D140)</f>
        <v>0</v>
      </c>
      <c r="E144" s="822">
        <f>SUM(E135:E141)</f>
        <v>458315031.79672074</v>
      </c>
      <c r="F144" s="822">
        <f t="shared" ref="F144:P144" si="62">SUM(F135:F141)</f>
        <v>404249063.65631884</v>
      </c>
      <c r="G144" s="822">
        <f t="shared" si="62"/>
        <v>551435148.79974389</v>
      </c>
      <c r="H144" s="822">
        <f>SUM(H135:H141)</f>
        <v>428996370.22859663</v>
      </c>
      <c r="I144" s="822">
        <f>SUM(I135:I141)</f>
        <v>526561512.33833051</v>
      </c>
      <c r="J144" s="822">
        <f t="shared" si="62"/>
        <v>624557513.46688282</v>
      </c>
      <c r="K144" s="822">
        <f t="shared" si="62"/>
        <v>445444739.43058568</v>
      </c>
      <c r="L144" s="822">
        <f t="shared" si="62"/>
        <v>581237184.39661634</v>
      </c>
      <c r="M144" s="822">
        <f t="shared" si="62"/>
        <v>523983738.715859</v>
      </c>
      <c r="N144" s="822">
        <f t="shared" si="62"/>
        <v>511655025.56414723</v>
      </c>
      <c r="O144" s="822">
        <f t="shared" si="62"/>
        <v>561974165.70451379</v>
      </c>
      <c r="P144" s="822">
        <f t="shared" si="62"/>
        <v>592104215.36476457</v>
      </c>
      <c r="U144" s="135" t="s">
        <v>538</v>
      </c>
      <c r="V144" s="735">
        <f t="shared" si="45"/>
        <v>337.13380531500081</v>
      </c>
      <c r="W144" s="735">
        <f t="shared" si="46"/>
        <v>337.23780311488252</v>
      </c>
      <c r="X144" s="735">
        <f t="shared" si="47"/>
        <v>382.92052484936323</v>
      </c>
      <c r="Y144" s="735">
        <f t="shared" si="48"/>
        <v>362.90514218423709</v>
      </c>
      <c r="Z144" s="735">
        <f t="shared" si="49"/>
        <v>361.00655862737455</v>
      </c>
      <c r="AA144" s="735">
        <f t="shared" si="50"/>
        <v>393.80172104232281</v>
      </c>
      <c r="AB144" s="735">
        <f t="shared" si="51"/>
        <v>391.49567318655744</v>
      </c>
      <c r="AC144" s="735">
        <f t="shared" si="52"/>
        <v>396.71660850522022</v>
      </c>
      <c r="AD144" s="735">
        <f t="shared" si="53"/>
        <v>396.39670608166131</v>
      </c>
      <c r="AE144" s="735">
        <f t="shared" si="54"/>
        <v>335.15089180618997</v>
      </c>
      <c r="AF144" s="735">
        <f t="shared" si="55"/>
        <v>406.5649045977562</v>
      </c>
      <c r="AG144" s="735">
        <f t="shared" si="56"/>
        <v>406.46563643194753</v>
      </c>
    </row>
    <row r="145" spans="1:33" ht="15.5">
      <c r="A145" s="866" t="str">
        <f>Table3[[#This Row],[Product]]</f>
        <v>Pentane</v>
      </c>
      <c r="B145" s="28" t="s">
        <v>25</v>
      </c>
      <c r="C145" s="28" t="s">
        <v>80</v>
      </c>
      <c r="D145" s="28"/>
      <c r="E145" s="714">
        <f>Delivery!E145*'COST (Baht)'!E$10*'COST (Baht)'!E$15</f>
        <v>0</v>
      </c>
      <c r="F145" s="714">
        <f>Delivery!F145*'COST (Baht)'!F$10*'COST (Baht)'!F$15</f>
        <v>0</v>
      </c>
      <c r="G145" s="714">
        <f>Delivery!G145*'COST (Baht)'!G$10*'COST (Baht)'!G$15</f>
        <v>0</v>
      </c>
      <c r="H145" s="714">
        <f>Delivery!H145*'COST (Baht)'!H$10*'COST (Baht)'!H$15</f>
        <v>0</v>
      </c>
      <c r="I145" s="714">
        <f>Delivery!I145*'COST (Baht)'!I$10*'COST (Baht)'!I$15</f>
        <v>0</v>
      </c>
      <c r="J145" s="714">
        <f>Delivery!J145*'COST (Baht)'!J$10*'COST (Baht)'!J$15</f>
        <v>0</v>
      </c>
      <c r="K145" s="714">
        <f>Delivery!K145*'COST (Baht)'!K$10*'COST (Baht)'!K$15</f>
        <v>0</v>
      </c>
      <c r="L145" s="714">
        <f>Delivery!L145*'COST (Baht)'!L$10*'COST (Baht)'!L$15</f>
        <v>0</v>
      </c>
      <c r="M145" s="714">
        <f>Delivery!M145*'COST (Baht)'!M$10*'COST (Baht)'!M$15</f>
        <v>0</v>
      </c>
      <c r="N145" s="714">
        <f>Delivery!N145*'COST (Baht)'!N$10*'COST (Baht)'!N$15</f>
        <v>0</v>
      </c>
      <c r="O145" s="714">
        <f>Delivery!O145*'COST (Baht)'!O$10*'COST (Baht)'!O$15</f>
        <v>0</v>
      </c>
      <c r="P145" s="714">
        <f>Delivery!P145*'COST (Baht)'!P$10*'COST (Baht)'!P$15</f>
        <v>0</v>
      </c>
      <c r="T145" t="s">
        <v>232</v>
      </c>
      <c r="U145" s="135" t="s">
        <v>276</v>
      </c>
      <c r="V145" s="735">
        <f t="shared" si="45"/>
        <v>337.13380531500081</v>
      </c>
      <c r="W145" s="735">
        <f t="shared" si="46"/>
        <v>337.23780311488252</v>
      </c>
      <c r="X145" s="735">
        <f t="shared" si="47"/>
        <v>382.92052484936323</v>
      </c>
      <c r="Y145" s="735">
        <f t="shared" si="48"/>
        <v>362.90514218423709</v>
      </c>
      <c r="Z145" s="735">
        <f t="shared" si="49"/>
        <v>361.00655862737455</v>
      </c>
      <c r="AA145" s="735">
        <f t="shared" si="50"/>
        <v>393.80172104232281</v>
      </c>
      <c r="AB145" s="735">
        <f t="shared" si="51"/>
        <v>391.49567318655744</v>
      </c>
      <c r="AC145" s="735">
        <f t="shared" si="52"/>
        <v>396.71660850522022</v>
      </c>
      <c r="AD145" s="735">
        <f t="shared" si="53"/>
        <v>396.39670608166131</v>
      </c>
      <c r="AE145" s="735">
        <f t="shared" si="54"/>
        <v>335.15089180618997</v>
      </c>
      <c r="AF145" s="735">
        <f t="shared" si="55"/>
        <v>406.5649045977562</v>
      </c>
      <c r="AG145" s="735">
        <f t="shared" si="56"/>
        <v>406.46563643194753</v>
      </c>
    </row>
    <row r="146" spans="1:33" ht="15.5">
      <c r="A146" s="866" t="str">
        <f>Table3[[#This Row],[Product]]</f>
        <v>Pentane</v>
      </c>
      <c r="B146" s="28" t="s">
        <v>25</v>
      </c>
      <c r="C146" s="28" t="s">
        <v>81</v>
      </c>
      <c r="D146" s="28"/>
      <c r="E146" s="714">
        <f>Delivery!E146*'COST (Baht)'!E$10*'COST (Baht)'!E$15</f>
        <v>22023724.836717866</v>
      </c>
      <c r="F146" s="714">
        <f>Delivery!F146*'COST (Baht)'!F$10*'COST (Baht)'!F$15</f>
        <v>38750099.652644008</v>
      </c>
      <c r="G146" s="714">
        <f>Delivery!G146*'COST (Baht)'!G$10*'COST (Baht)'!G$15</f>
        <v>49942612.143429421</v>
      </c>
      <c r="H146" s="714">
        <f>Delivery!H146*'COST (Baht)'!H$10*'COST (Baht)'!H$15</f>
        <v>44655826.876061738</v>
      </c>
      <c r="I146" s="714">
        <f>Delivery!I146*'COST (Baht)'!I$10*'COST (Baht)'!I$15</f>
        <v>42252070.98587174</v>
      </c>
      <c r="J146" s="714">
        <f>Delivery!J146*'COST (Baht)'!J$10*'COST (Baht)'!J$15</f>
        <v>42045087.226837337</v>
      </c>
      <c r="K146" s="714">
        <f>Delivery!K146*'COST (Baht)'!K$10*'COST (Baht)'!K$15</f>
        <v>47196447.128139168</v>
      </c>
      <c r="L146" s="714">
        <f>Delivery!L146*'COST (Baht)'!L$10*'COST (Baht)'!L$15</f>
        <v>48033069.222588331</v>
      </c>
      <c r="M146" s="714">
        <f>Delivery!M146*'COST (Baht)'!M$10*'COST (Baht)'!M$15</f>
        <v>46342411.666492164</v>
      </c>
      <c r="N146" s="714">
        <f>Delivery!N146*'COST (Baht)'!N$10*'COST (Baht)'!N$15</f>
        <v>49735732.456597157</v>
      </c>
      <c r="O146" s="714">
        <f>Delivery!O146*'COST (Baht)'!O$10*'COST (Baht)'!O$15</f>
        <v>48292222.737041198</v>
      </c>
      <c r="P146" s="714">
        <f>Delivery!P146*'COST (Baht)'!P$10*'COST (Baht)'!P$15</f>
        <v>49958731.62974938</v>
      </c>
      <c r="U146" s="135" t="s">
        <v>538</v>
      </c>
      <c r="V146" s="735">
        <f t="shared" si="45"/>
        <v>337.13380531500081</v>
      </c>
      <c r="W146" s="735">
        <f t="shared" si="46"/>
        <v>337.23780311488252</v>
      </c>
      <c r="X146" s="735">
        <f t="shared" si="47"/>
        <v>382.92052484936323</v>
      </c>
      <c r="Y146" s="735">
        <f t="shared" si="48"/>
        <v>362.90514218423709</v>
      </c>
      <c r="Z146" s="735">
        <f t="shared" si="49"/>
        <v>361.00655862737455</v>
      </c>
      <c r="AA146" s="735">
        <f t="shared" si="50"/>
        <v>393.80172104232281</v>
      </c>
      <c r="AB146" s="735">
        <f t="shared" si="51"/>
        <v>391.49567318655744</v>
      </c>
      <c r="AC146" s="735">
        <f t="shared" si="52"/>
        <v>396.71660850522022</v>
      </c>
      <c r="AD146" s="735">
        <f t="shared" si="53"/>
        <v>396.39670608166131</v>
      </c>
      <c r="AE146" s="735">
        <f t="shared" si="54"/>
        <v>335.15089180618997</v>
      </c>
      <c r="AF146" s="735">
        <f t="shared" si="55"/>
        <v>406.5649045977562</v>
      </c>
      <c r="AG146" s="735">
        <f t="shared" si="56"/>
        <v>406.46563643194753</v>
      </c>
    </row>
    <row r="147" spans="1:33" ht="15.5">
      <c r="A147" s="866" t="str">
        <f>Table3[[#This Row],[Product]]</f>
        <v>Pentane</v>
      </c>
      <c r="B147" s="28" t="s">
        <v>25</v>
      </c>
      <c r="C147" s="28" t="s">
        <v>82</v>
      </c>
      <c r="D147" s="28"/>
      <c r="E147" s="714">
        <f>Delivery!E147*'COST (Baht)'!E$10*'COST (Baht)'!E$15</f>
        <v>0</v>
      </c>
      <c r="F147" s="714">
        <f>Delivery!F147*'COST (Baht)'!F$10*'COST (Baht)'!F$15</f>
        <v>0</v>
      </c>
      <c r="G147" s="714">
        <f>Delivery!G147*'COST (Baht)'!G$10*'COST (Baht)'!G$15</f>
        <v>0</v>
      </c>
      <c r="H147" s="714">
        <f>Delivery!H147*'COST (Baht)'!H$10*'COST (Baht)'!H$15</f>
        <v>0</v>
      </c>
      <c r="I147" s="714">
        <f>Delivery!I147*'COST (Baht)'!I$10*'COST (Baht)'!I$15</f>
        <v>0</v>
      </c>
      <c r="J147" s="714">
        <f>Delivery!J147*'COST (Baht)'!J$10*'COST (Baht)'!J$15</f>
        <v>0</v>
      </c>
      <c r="K147" s="714">
        <f>Delivery!K147*'COST (Baht)'!K$10*'COST (Baht)'!K$15</f>
        <v>0</v>
      </c>
      <c r="L147" s="714">
        <f>Delivery!L147*'COST (Baht)'!L$10*'COST (Baht)'!L$15</f>
        <v>0</v>
      </c>
      <c r="M147" s="714">
        <f>Delivery!M147*'COST (Baht)'!M$10*'COST (Baht)'!M$15</f>
        <v>0</v>
      </c>
      <c r="N147" s="714">
        <f>Delivery!N147*'COST (Baht)'!N$10*'COST (Baht)'!N$15</f>
        <v>0</v>
      </c>
      <c r="O147" s="714">
        <f>Delivery!O147*'COST (Baht)'!O$10*'COST (Baht)'!O$15</f>
        <v>0</v>
      </c>
      <c r="P147" s="714">
        <f>Delivery!P147*'COST (Baht)'!P$10*'COST (Baht)'!P$15</f>
        <v>0</v>
      </c>
      <c r="T147" t="s">
        <v>545</v>
      </c>
      <c r="V147" s="231"/>
      <c r="W147" s="231"/>
      <c r="X147" s="231"/>
      <c r="Y147" s="231"/>
      <c r="Z147" s="231"/>
      <c r="AA147" s="231"/>
      <c r="AB147" s="231"/>
      <c r="AC147" s="231"/>
      <c r="AD147" s="231"/>
      <c r="AE147" s="231"/>
      <c r="AF147" s="231"/>
      <c r="AG147" s="231"/>
    </row>
    <row r="148" spans="1:33" ht="15.5">
      <c r="A148" s="866" t="str">
        <f>Table3[[#This Row],[Product]]</f>
        <v>Pentane</v>
      </c>
      <c r="B148" s="28"/>
      <c r="C148" s="34" t="s">
        <v>37</v>
      </c>
      <c r="D148" s="28">
        <f>SUM(D145:D147)</f>
        <v>0</v>
      </c>
      <c r="E148" s="822">
        <f>SUM(E145:E147)</f>
        <v>22023724.836717866</v>
      </c>
      <c r="F148" s="822">
        <f t="shared" ref="F148:P148" si="63">SUM(F145:F147)</f>
        <v>38750099.652644008</v>
      </c>
      <c r="G148" s="822">
        <f t="shared" si="63"/>
        <v>49942612.143429421</v>
      </c>
      <c r="H148" s="822">
        <f t="shared" si="63"/>
        <v>44655826.876061738</v>
      </c>
      <c r="I148" s="822">
        <f t="shared" si="63"/>
        <v>42252070.98587174</v>
      </c>
      <c r="J148" s="822">
        <f t="shared" si="63"/>
        <v>42045087.226837337</v>
      </c>
      <c r="K148" s="822">
        <f t="shared" si="63"/>
        <v>47196447.128139168</v>
      </c>
      <c r="L148" s="822">
        <f t="shared" si="63"/>
        <v>48033069.222588331</v>
      </c>
      <c r="M148" s="822">
        <f t="shared" si="63"/>
        <v>46342411.666492164</v>
      </c>
      <c r="N148" s="822">
        <f t="shared" si="63"/>
        <v>49735732.456597157</v>
      </c>
      <c r="O148" s="822">
        <f t="shared" si="63"/>
        <v>48292222.737041198</v>
      </c>
      <c r="P148" s="822">
        <f t="shared" si="63"/>
        <v>49958731.62974938</v>
      </c>
      <c r="T148" s="1345"/>
      <c r="U148" s="1345"/>
      <c r="V148" s="231"/>
      <c r="W148" s="231"/>
      <c r="X148" s="231"/>
      <c r="Y148" s="231"/>
      <c r="Z148" s="231"/>
      <c r="AA148" s="231"/>
      <c r="AB148" s="231"/>
      <c r="AC148" s="231"/>
      <c r="AD148" s="231"/>
      <c r="AE148" s="231"/>
      <c r="AF148" s="231"/>
      <c r="AG148" s="231"/>
    </row>
    <row r="149" spans="1:33" ht="15.5">
      <c r="A149" s="867" t="str">
        <f>Table3[[#This Row],[Product]]</f>
        <v>CO2</v>
      </c>
      <c r="B149" s="28" t="s">
        <v>25</v>
      </c>
      <c r="C149" s="28" t="s">
        <v>84</v>
      </c>
      <c r="D149" s="28"/>
      <c r="E149" s="714"/>
      <c r="F149" s="714"/>
      <c r="G149" s="714"/>
      <c r="H149" s="714"/>
      <c r="I149" s="714"/>
      <c r="J149" s="714"/>
      <c r="K149" s="714"/>
      <c r="L149" s="714"/>
      <c r="M149" s="714"/>
      <c r="N149" s="714"/>
      <c r="O149" s="714"/>
      <c r="P149" s="714"/>
    </row>
    <row r="150" spans="1:33" ht="15.5">
      <c r="A150" s="867" t="str">
        <f>Table3[[#This Row],[Product]]</f>
        <v>CO2</v>
      </c>
      <c r="B150" s="28" t="s">
        <v>25</v>
      </c>
      <c r="C150" s="28" t="s">
        <v>85</v>
      </c>
      <c r="D150" s="28"/>
      <c r="E150" s="714"/>
      <c r="F150" s="714"/>
      <c r="G150" s="714"/>
      <c r="H150" s="714"/>
      <c r="I150" s="714"/>
      <c r="J150" s="714"/>
      <c r="K150" s="714"/>
      <c r="L150" s="714"/>
      <c r="M150" s="714"/>
      <c r="N150" s="714"/>
      <c r="O150" s="714"/>
      <c r="P150" s="714"/>
    </row>
    <row r="151" spans="1:33" ht="15.5">
      <c r="A151" s="870" t="str">
        <f>Table3[[#This Row],[Product]]</f>
        <v>CO2</v>
      </c>
      <c r="B151" s="848"/>
      <c r="C151" s="836" t="s">
        <v>37</v>
      </c>
      <c r="D151" s="848">
        <f>SUM(D149:D150)</f>
        <v>0</v>
      </c>
      <c r="E151" s="871">
        <f t="shared" ref="E151:P151" si="64">SUM(E149:E150)</f>
        <v>0</v>
      </c>
      <c r="F151" s="871">
        <f t="shared" si="64"/>
        <v>0</v>
      </c>
      <c r="G151" s="871">
        <f t="shared" si="64"/>
        <v>0</v>
      </c>
      <c r="H151" s="871">
        <f t="shared" si="64"/>
        <v>0</v>
      </c>
      <c r="I151" s="871">
        <f t="shared" si="64"/>
        <v>0</v>
      </c>
      <c r="J151" s="871">
        <f t="shared" si="64"/>
        <v>0</v>
      </c>
      <c r="K151" s="871">
        <f t="shared" si="64"/>
        <v>0</v>
      </c>
      <c r="L151" s="871">
        <f t="shared" si="64"/>
        <v>0</v>
      </c>
      <c r="M151" s="871">
        <f t="shared" si="64"/>
        <v>0</v>
      </c>
      <c r="N151" s="871">
        <f t="shared" si="64"/>
        <v>0</v>
      </c>
      <c r="O151" s="871">
        <f t="shared" si="64"/>
        <v>0</v>
      </c>
      <c r="P151" s="871">
        <f t="shared" si="64"/>
        <v>0</v>
      </c>
    </row>
    <row r="152" spans="1:33" ht="21">
      <c r="A152" s="870"/>
      <c r="B152" s="848"/>
      <c r="C152" s="848" t="s">
        <v>632</v>
      </c>
      <c r="D152" s="848"/>
      <c r="E152" s="1274">
        <f>E37+E52+E69+E95+E117+E118+E119+E144+E148</f>
        <v>5394039330.3976135</v>
      </c>
      <c r="F152" s="1274">
        <f t="shared" ref="F152:P152" si="65">F37+F52+F69+F95+F117+F118+F119+F144+F148</f>
        <v>4891877015.4125004</v>
      </c>
      <c r="G152" s="1274">
        <f t="shared" si="65"/>
        <v>6593824435.2378321</v>
      </c>
      <c r="H152" s="1274">
        <f t="shared" si="65"/>
        <v>5358806058.4188404</v>
      </c>
      <c r="I152" s="1274">
        <f t="shared" si="65"/>
        <v>6413986912.752243</v>
      </c>
      <c r="J152" s="1274">
        <f t="shared" si="65"/>
        <v>6848567914.3240499</v>
      </c>
      <c r="K152" s="1274">
        <f t="shared" si="65"/>
        <v>6211800040.9696255</v>
      </c>
      <c r="L152" s="1274">
        <f t="shared" si="65"/>
        <v>6335993843.6990776</v>
      </c>
      <c r="M152" s="1274">
        <f t="shared" si="65"/>
        <v>5933027623.4933605</v>
      </c>
      <c r="N152" s="1274">
        <f t="shared" si="65"/>
        <v>5268835520.7582321</v>
      </c>
      <c r="O152" s="1274">
        <f t="shared" si="65"/>
        <v>6426911146.1004038</v>
      </c>
      <c r="P152" s="1274">
        <f t="shared" si="65"/>
        <v>6869813925.2671766</v>
      </c>
    </row>
    <row r="153" spans="1:33" ht="21">
      <c r="C153" t="s">
        <v>748</v>
      </c>
      <c r="E153" s="1275">
        <f>Table5[[#Totals],[ม.ค.-64]]+SUM(E21:E23)+(E19*E20)-'Revenue (Baht)'!E151</f>
        <v>5790338121.3755713</v>
      </c>
      <c r="F153" s="1275">
        <f>Table5[[#Totals],[ก.พ.-64]]+SUM(F21:F23)+(F19*F20)-'Revenue (Baht)'!F151</f>
        <v>5798824907.950635</v>
      </c>
      <c r="G153" s="1275">
        <f>Table5[[#Totals],[มี.ค.-64]]+SUM(G21:G23)+(G19*G20)-'Revenue (Baht)'!G151</f>
        <v>7365238179.2650976</v>
      </c>
      <c r="H153" s="1275">
        <f>Table5[[#Totals],[เม.ย.-64]]+SUM(H21:H23)+(H19*H20)-'Revenue (Baht)'!H151</f>
        <v>6052756862.4791546</v>
      </c>
      <c r="I153" s="1275">
        <f>Table5[[#Totals],[พ.ค.-64]]+SUM(I21:I23)+(I19*I20)-'Revenue (Baht)'!I151</f>
        <v>6810238226.8827591</v>
      </c>
      <c r="J153" s="1275">
        <f>Table5[[#Totals],[มิ.ย.-64]]+SUM(J21:J23)+(J19*J20)-'Revenue (Baht)'!J151</f>
        <v>7261687649.4075556</v>
      </c>
      <c r="K153" s="1275">
        <f>Table5[[#Totals],[ก.ค.-64]]+SUM(K21:K23)+(K19*K20)-'Revenue (Baht)'!K151</f>
        <v>5249503540.9696255</v>
      </c>
      <c r="L153" s="1275">
        <f>Table5[[#Totals],[ส.ค.-64]]+SUM(L21:L23)+(L19*L20)-'Revenue (Baht)'!L151</f>
        <v>5373697343.6990776</v>
      </c>
      <c r="M153" s="1275">
        <f>Table5[[#Totals],[ก.ย.-64]]+SUM(M21:M23)+(M19*M20)-'Revenue (Baht)'!M151</f>
        <v>4970731123.4933605</v>
      </c>
      <c r="N153" s="1275">
        <f>Table5[[#Totals],[ต.ค.-64]]+SUM(N21:N23)+(N19*N20)-'Revenue (Baht)'!N151</f>
        <v>4306539020.7582321</v>
      </c>
      <c r="O153" s="1275">
        <f>Table5[[#Totals],[พ.ย.-64]]+SUM(O21:O23)+(O19*O20)-'Revenue (Baht)'!O151</f>
        <v>5464614646.1004038</v>
      </c>
      <c r="P153" s="1275">
        <f>Table5[[#Totals],[ธ.ค.-64]]+SUM(P21:P23)+(P19*P20)-'Revenue (Baht)'!P151</f>
        <v>5907517425.2671766</v>
      </c>
    </row>
    <row r="154" spans="1:33" ht="21">
      <c r="C154" t="s">
        <v>140</v>
      </c>
      <c r="E154" s="953"/>
    </row>
    <row r="155" spans="1:33" ht="21">
      <c r="C155" t="s">
        <v>617</v>
      </c>
      <c r="E155" s="953">
        <f>(E153/10^6)-'PL (64)'!B45</f>
        <v>-2160.8494546412958</v>
      </c>
      <c r="F155" s="953">
        <f>(F153/10^6)-'PL (64)'!C45</f>
        <v>-1833.6223935524204</v>
      </c>
      <c r="G155" s="953">
        <f>(G153/10^6)-'PL (64)'!D45</f>
        <v>-443.22388909409074</v>
      </c>
      <c r="H155" s="953">
        <f>(H153/10^6)-'PL (64)'!F45</f>
        <v>-1609.0106535521463</v>
      </c>
    </row>
    <row r="156" spans="1:33" ht="21">
      <c r="C156" t="s">
        <v>617</v>
      </c>
      <c r="E156" s="1228">
        <f>(E153/10^6-'PL (64)'!B45)/'PL (64)'!B45</f>
        <v>-0.2717643665153941</v>
      </c>
      <c r="F156" s="1228">
        <f>(F153/10^6-'PL (64)'!C45)/'PL (64)'!C45</f>
        <v>-0.24024042631664494</v>
      </c>
      <c r="G156" s="1228">
        <f>(G153/10^6-'PL (64)'!D45)/'PL (64)'!D45</f>
        <v>-5.6761995539440009E-2</v>
      </c>
      <c r="H156" s="1228">
        <f>(H153/10^6-'PL (64)'!F45)/'PL (64)'!F45</f>
        <v>-0.21000515222962463</v>
      </c>
    </row>
    <row r="158" spans="1:33">
      <c r="H158" s="1229"/>
    </row>
    <row r="159" spans="1:33" s="153" customFormat="1" ht="18.5">
      <c r="A159" s="1151"/>
      <c r="E159" s="1152"/>
      <c r="F159" s="1152"/>
      <c r="G159" s="1152"/>
      <c r="H159" s="1152"/>
      <c r="I159" s="1152"/>
      <c r="J159" s="1152"/>
      <c r="K159" s="1152"/>
      <c r="L159" s="1152"/>
      <c r="M159" s="1152"/>
      <c r="N159" s="1152"/>
      <c r="O159" s="1152"/>
      <c r="P159" s="1152"/>
      <c r="Q159" s="1152"/>
    </row>
    <row r="160" spans="1:33" ht="18.5">
      <c r="A160" s="1155" t="s">
        <v>719</v>
      </c>
      <c r="B160" s="1272" t="s">
        <v>745</v>
      </c>
      <c r="E160" s="1273">
        <v>6813.4808374699996</v>
      </c>
      <c r="F160" s="1273">
        <v>6682.8881832299985</v>
      </c>
      <c r="G160" s="1273">
        <v>8032.0713245999996</v>
      </c>
      <c r="H160" s="1273">
        <v>6838.8743919499993</v>
      </c>
      <c r="I160" s="1273">
        <v>7552.2358029200004</v>
      </c>
      <c r="J160" s="1273">
        <v>7900.4643624889659</v>
      </c>
      <c r="K160" s="1152">
        <v>7041.8953544118076</v>
      </c>
      <c r="L160" s="1152">
        <v>7797.7859849089791</v>
      </c>
      <c r="M160" s="1152">
        <v>7419.5768338160942</v>
      </c>
      <c r="N160" s="1152">
        <v>7134.3775911934126</v>
      </c>
      <c r="O160" s="1152">
        <v>7825.3332543705446</v>
      </c>
      <c r="P160" s="1152">
        <v>7940.2765920419624</v>
      </c>
      <c r="Q160" s="1152">
        <f t="shared" ref="Q160" si="66">SUM(E160:P160)</f>
        <v>88979.26051340175</v>
      </c>
    </row>
    <row r="161" spans="1:17" ht="18.5">
      <c r="A161" s="1154" t="s">
        <v>720</v>
      </c>
      <c r="B161" s="1148"/>
      <c r="C161" s="153"/>
      <c r="E161" s="1150"/>
      <c r="F161" s="1150"/>
      <c r="G161" s="1150"/>
      <c r="H161" s="1152"/>
      <c r="I161" s="1152"/>
      <c r="J161" s="1152"/>
      <c r="K161" s="1152"/>
      <c r="L161" s="1152"/>
      <c r="M161" s="1152"/>
      <c r="N161" s="1152"/>
      <c r="O161" s="1152"/>
      <c r="P161" s="1152"/>
      <c r="Q161" s="1152"/>
    </row>
    <row r="162" spans="1:17" ht="15.5">
      <c r="A162" s="135"/>
      <c r="B162" s="135"/>
      <c r="E162" s="1149"/>
      <c r="F162" s="1149"/>
      <c r="G162" s="1149"/>
      <c r="H162" s="1161"/>
      <c r="I162" s="1161"/>
      <c r="J162" s="1161"/>
      <c r="K162" s="1161"/>
      <c r="L162" s="1161"/>
      <c r="M162" s="1161"/>
      <c r="N162" s="1161"/>
      <c r="O162" s="1159"/>
      <c r="P162" s="1159"/>
      <c r="Q162" s="1159"/>
    </row>
    <row r="163" spans="1:17" ht="18.5">
      <c r="A163" s="1157" t="s">
        <v>719</v>
      </c>
      <c r="B163" s="1272" t="s">
        <v>746</v>
      </c>
      <c r="C163" s="153"/>
      <c r="E163" s="1273">
        <v>8360.3472440500009</v>
      </c>
      <c r="F163" s="1273">
        <v>8340.7657896500023</v>
      </c>
      <c r="G163" s="1273">
        <v>9633.9304585599984</v>
      </c>
      <c r="H163" s="1273">
        <v>8397.9029660699998</v>
      </c>
      <c r="I163" s="1273">
        <v>9878.1570471699997</v>
      </c>
      <c r="J163" s="1273">
        <v>9536.0893780714468</v>
      </c>
      <c r="K163" s="1161">
        <v>8137.5480779085619</v>
      </c>
      <c r="L163" s="1161">
        <v>9275.7235862025991</v>
      </c>
      <c r="M163" s="1161">
        <v>8700.830320190893</v>
      </c>
      <c r="N163" s="1161">
        <v>8027.9538088333284</v>
      </c>
      <c r="O163" s="1159">
        <v>8970.7140807570049</v>
      </c>
      <c r="P163" s="1159">
        <v>9214.9367037744523</v>
      </c>
      <c r="Q163" s="1159">
        <f>SUM(E163:P163)</f>
        <v>106474.8994612383</v>
      </c>
    </row>
    <row r="164" spans="1:17" ht="18.5">
      <c r="A164" s="1156" t="s">
        <v>721</v>
      </c>
      <c r="B164" s="1148" t="s">
        <v>706</v>
      </c>
      <c r="C164" s="153"/>
      <c r="E164" s="1326">
        <f>'Revenue (Baht)'!E21/10^6</f>
        <v>8280.5775275268861</v>
      </c>
      <c r="F164" s="1326">
        <f>'Revenue (Baht)'!F21/10^6</f>
        <v>8348.2228042471197</v>
      </c>
      <c r="G164" s="1326">
        <f>'Revenue (Baht)'!G21/10^6</f>
        <v>9628.8340678821969</v>
      </c>
      <c r="H164" s="1326">
        <f>'Revenue (Baht)'!H21/10^6</f>
        <v>8397.9028797596511</v>
      </c>
      <c r="I164" s="1326">
        <f>'Revenue (Baht)'!I21/10^6</f>
        <v>9878.4728499271041</v>
      </c>
      <c r="J164" s="1326">
        <f>'Revenue (Baht)'!J21/10^6</f>
        <v>9802.065687285356</v>
      </c>
      <c r="K164" s="1161">
        <v>8098.9404587666922</v>
      </c>
      <c r="L164" s="1161">
        <v>9506.7756735859821</v>
      </c>
      <c r="M164" s="1161">
        <v>9033.5920229320182</v>
      </c>
      <c r="N164" s="1161">
        <v>8336.7437316343967</v>
      </c>
      <c r="O164" s="1161">
        <v>9312.7399129281021</v>
      </c>
      <c r="P164" s="1161">
        <v>9400.7584712090338</v>
      </c>
      <c r="Q164" s="1161">
        <f>SUM(E164:P164)</f>
        <v>108025.62608768455</v>
      </c>
    </row>
    <row r="165" spans="1:17" ht="15.5">
      <c r="A165" s="1157"/>
      <c r="B165" s="1148"/>
      <c r="C165" s="153"/>
      <c r="E165" s="1149"/>
      <c r="F165" s="1149"/>
      <c r="G165" s="1149"/>
      <c r="H165" s="1161"/>
      <c r="I165" s="1161"/>
      <c r="J165" s="1161"/>
      <c r="K165" s="1161"/>
      <c r="L165" s="1161"/>
      <c r="M165" s="1161"/>
      <c r="N165" s="1161"/>
      <c r="O165" s="1159"/>
      <c r="P165" s="1159"/>
      <c r="Q165" s="1159"/>
    </row>
    <row r="166" spans="1:17" ht="18.5">
      <c r="A166" s="1155" t="s">
        <v>719</v>
      </c>
      <c r="B166" s="1272" t="s">
        <v>747</v>
      </c>
      <c r="C166" s="135"/>
      <c r="E166" s="1273">
        <v>1596.6129363900004</v>
      </c>
      <c r="F166" s="1273">
        <v>1699.5657938400036</v>
      </c>
      <c r="G166" s="1273">
        <v>1641.592427019998</v>
      </c>
      <c r="H166" s="1273">
        <v>1608.6034335500003</v>
      </c>
      <c r="I166" s="1273">
        <v>2374.8944098100001</v>
      </c>
      <c r="J166" s="1273">
        <v>1677.3646188153607</v>
      </c>
      <c r="K166" s="1152">
        <v>1137.8061342015631</v>
      </c>
      <c r="L166" s="1152">
        <v>1520.2163987030569</v>
      </c>
      <c r="M166" s="1152">
        <v>1322.8303912780948</v>
      </c>
      <c r="N166" s="1152">
        <v>935.32210538652282</v>
      </c>
      <c r="O166" s="1160">
        <v>1186.6718774025544</v>
      </c>
      <c r="P166" s="1160">
        <v>1314.6559850150343</v>
      </c>
      <c r="Q166" s="1160">
        <f>SUM(E166:P166)</f>
        <v>18016.136511412187</v>
      </c>
    </row>
    <row r="167" spans="1:17">
      <c r="A167" s="135"/>
      <c r="B167" s="1148"/>
      <c r="C167" s="153"/>
      <c r="H167" s="1162"/>
      <c r="I167" s="1162"/>
      <c r="J167" s="1162"/>
      <c r="K167" s="1162"/>
      <c r="L167" s="1162"/>
      <c r="M167" s="1162"/>
      <c r="N167" s="1162"/>
      <c r="O167" s="722"/>
      <c r="P167" s="722"/>
      <c r="Q167" s="722"/>
    </row>
    <row r="168" spans="1:17" ht="18.5">
      <c r="A168" s="1154" t="s">
        <v>720</v>
      </c>
      <c r="B168" s="1148" t="s">
        <v>718</v>
      </c>
      <c r="C168" s="153"/>
      <c r="E168" s="1326">
        <f t="shared" ref="E168:P168" si="67">E164-E160</f>
        <v>1467.0966900568865</v>
      </c>
      <c r="F168" s="1326">
        <f t="shared" si="67"/>
        <v>1665.3346210171212</v>
      </c>
      <c r="G168" s="1326">
        <f t="shared" si="67"/>
        <v>1596.7627432821973</v>
      </c>
      <c r="H168" s="1326">
        <f t="shared" si="67"/>
        <v>1559.0284878096518</v>
      </c>
      <c r="I168" s="1326">
        <f t="shared" si="67"/>
        <v>2326.2370470071037</v>
      </c>
      <c r="J168" s="1326">
        <f>J164-J160</f>
        <v>1901.6013247963901</v>
      </c>
      <c r="K168" s="1153">
        <f t="shared" si="67"/>
        <v>1057.0451043548846</v>
      </c>
      <c r="L168" s="1153">
        <f t="shared" si="67"/>
        <v>1708.989688677003</v>
      </c>
      <c r="M168" s="1153">
        <f t="shared" si="67"/>
        <v>1614.0151891159239</v>
      </c>
      <c r="N168" s="1153">
        <f t="shared" si="67"/>
        <v>1202.3661404409841</v>
      </c>
      <c r="O168" s="1153">
        <f t="shared" si="67"/>
        <v>1487.4066585575574</v>
      </c>
      <c r="P168" s="1153">
        <f t="shared" si="67"/>
        <v>1460.4818791670714</v>
      </c>
      <c r="Q168" s="1153">
        <f>SUM(E168:P168)</f>
        <v>19046.365574282776</v>
      </c>
    </row>
    <row r="169" spans="1:17" ht="18.5">
      <c r="A169" s="135" t="s">
        <v>722</v>
      </c>
      <c r="B169" s="1148" t="s">
        <v>749</v>
      </c>
      <c r="D169" s="1158"/>
      <c r="E169" s="1158"/>
      <c r="F169" s="1158"/>
      <c r="G169" s="1158"/>
      <c r="H169" s="1158"/>
      <c r="I169" s="1158"/>
      <c r="J169" s="1158"/>
      <c r="K169" s="1158"/>
      <c r="L169" s="1158"/>
      <c r="M169" s="1158"/>
      <c r="N169" s="1158"/>
      <c r="O169" s="1158"/>
      <c r="P169" s="1158"/>
      <c r="Q169" s="1158"/>
    </row>
  </sheetData>
  <mergeCells count="16">
    <mergeCell ref="A21:A23"/>
    <mergeCell ref="A17:A20"/>
    <mergeCell ref="A16:C16"/>
    <mergeCell ref="B17:C17"/>
    <mergeCell ref="B18:C18"/>
    <mergeCell ref="B21:C21"/>
    <mergeCell ref="B22:C22"/>
    <mergeCell ref="T148:U148"/>
    <mergeCell ref="T35:AG36"/>
    <mergeCell ref="B19:C19"/>
    <mergeCell ref="B23:C23"/>
    <mergeCell ref="AK35:AX36"/>
    <mergeCell ref="T83:AG84"/>
    <mergeCell ref="T114:U114"/>
    <mergeCell ref="T117:AG118"/>
    <mergeCell ref="B24:C24"/>
  </mergeCells>
  <conditionalFormatting sqref="E13:P13 D169:Q169">
    <cfRule type="cellIs" dxfId="92" priority="7" operator="lessThan">
      <formula>0</formula>
    </cfRule>
  </conditionalFormatting>
  <conditionalFormatting sqref="E156:P156">
    <cfRule type="cellIs" dxfId="91" priority="6" operator="lessThan">
      <formula>0</formula>
    </cfRule>
  </conditionalFormatting>
  <conditionalFormatting sqref="E155:P156">
    <cfRule type="cellIs" dxfId="90" priority="5" operator="lessThan">
      <formula>0</formula>
    </cfRule>
  </conditionalFormatting>
  <hyperlinks>
    <hyperlink ref="C7" r:id="rId1" display="LPG@ PTT TANK" xr:uid="{00000000-0004-0000-0700-000000000000}"/>
    <hyperlink ref="A2" r:id="rId2" xr:uid="{00000000-0004-0000-0700-000001000000}"/>
    <hyperlink ref="A5" r:id="rId3" xr:uid="{00000000-0004-0000-0700-000002000000}"/>
  </hyperlinks>
  <pageMargins left="0.7" right="0.7" top="0.75" bottom="0.75" header="0.3" footer="0.3"/>
  <pageSetup orientation="portrait" r:id="rId4"/>
  <legacyDrawing r:id="rId5"/>
  <tableParts count="1"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9"/>
  </sheetPr>
  <dimension ref="A1:BM152"/>
  <sheetViews>
    <sheetView zoomScale="80" zoomScaleNormal="80" workbookViewId="0">
      <pane xSplit="3" topLeftCell="H1" activePane="topRight" state="frozen"/>
      <selection activeCell="B140" sqref="B140"/>
      <selection pane="topRight" activeCell="H21" sqref="H21"/>
    </sheetView>
  </sheetViews>
  <sheetFormatPr defaultRowHeight="14.5"/>
  <cols>
    <col min="1" max="1" width="27.90625" customWidth="1"/>
    <col min="2" max="2" width="29.08984375" customWidth="1"/>
    <col min="3" max="3" width="46.81640625" customWidth="1"/>
    <col min="4" max="4" width="18.36328125" customWidth="1"/>
    <col min="5" max="16" width="28.1796875" customWidth="1"/>
    <col min="17" max="17" width="28.1796875" style="525" customWidth="1"/>
    <col min="34" max="34" width="14.36328125" bestFit="1" customWidth="1"/>
    <col min="35" max="48" width="22.1796875" customWidth="1"/>
    <col min="51" max="64" width="25.81640625" customWidth="1"/>
    <col min="65" max="65" width="22.36328125" customWidth="1"/>
  </cols>
  <sheetData>
    <row r="1" spans="2:65" ht="18.5">
      <c r="T1" s="786" t="s">
        <v>573</v>
      </c>
    </row>
    <row r="2" spans="2:65" ht="23.5">
      <c r="B2" s="1346" t="s">
        <v>141</v>
      </c>
      <c r="C2" s="1347"/>
      <c r="D2" s="43">
        <v>242492</v>
      </c>
      <c r="E2" s="43">
        <v>23377</v>
      </c>
      <c r="F2" s="43">
        <v>23408</v>
      </c>
      <c r="G2" s="43">
        <v>23437</v>
      </c>
      <c r="H2" s="43">
        <v>23468</v>
      </c>
      <c r="I2" s="43">
        <v>23498</v>
      </c>
      <c r="J2" s="43">
        <v>23529</v>
      </c>
      <c r="K2" s="43">
        <v>23559</v>
      </c>
      <c r="L2" s="43">
        <v>23590</v>
      </c>
      <c r="M2" s="43">
        <v>23621</v>
      </c>
      <c r="N2" s="43">
        <v>23651</v>
      </c>
      <c r="O2" s="43">
        <v>23682</v>
      </c>
      <c r="P2" s="43">
        <v>23712</v>
      </c>
      <c r="Q2" s="526" t="s">
        <v>177</v>
      </c>
      <c r="T2" t="s">
        <v>5</v>
      </c>
      <c r="U2" s="43" t="s">
        <v>579</v>
      </c>
      <c r="V2" s="43" t="s">
        <v>580</v>
      </c>
      <c r="W2" s="43" t="s">
        <v>581</v>
      </c>
      <c r="X2" s="43" t="s">
        <v>582</v>
      </c>
      <c r="Y2" s="43" t="s">
        <v>583</v>
      </c>
      <c r="Z2" s="43" t="s">
        <v>584</v>
      </c>
      <c r="AA2" s="43" t="s">
        <v>585</v>
      </c>
      <c r="AB2" s="43" t="s">
        <v>586</v>
      </c>
      <c r="AC2" s="43" t="s">
        <v>587</v>
      </c>
      <c r="AD2" s="43" t="s">
        <v>588</v>
      </c>
      <c r="AE2" s="43" t="s">
        <v>589</v>
      </c>
      <c r="AF2" s="43" t="s">
        <v>590</v>
      </c>
      <c r="AH2" t="s">
        <v>234</v>
      </c>
      <c r="AI2" s="43">
        <v>23377</v>
      </c>
      <c r="AJ2" s="43">
        <v>23408</v>
      </c>
      <c r="AK2" s="43">
        <v>23437</v>
      </c>
      <c r="AL2" s="43">
        <v>23468</v>
      </c>
      <c r="AM2" s="43">
        <v>23498</v>
      </c>
      <c r="AN2" s="43">
        <v>23529</v>
      </c>
      <c r="AO2" s="43">
        <v>23559</v>
      </c>
      <c r="AP2" s="43">
        <v>23590</v>
      </c>
      <c r="AQ2" s="43">
        <v>23621</v>
      </c>
      <c r="AR2" s="43">
        <v>23651</v>
      </c>
      <c r="AS2" s="43">
        <v>23682</v>
      </c>
      <c r="AT2" s="43">
        <v>23712</v>
      </c>
      <c r="AY2" s="1374" t="s">
        <v>553</v>
      </c>
      <c r="AZ2" s="1374"/>
      <c r="BA2" s="1374"/>
      <c r="BB2" s="1374"/>
      <c r="BC2" s="1374"/>
      <c r="BD2" s="1374"/>
      <c r="BE2" s="1374"/>
      <c r="BF2" s="1374"/>
      <c r="BG2" s="1374"/>
      <c r="BH2" s="1374"/>
      <c r="BI2" s="1374"/>
      <c r="BJ2" s="1374"/>
      <c r="BK2" s="1374"/>
      <c r="BL2" s="1374"/>
    </row>
    <row r="3" spans="2:65" ht="15" customHeight="1">
      <c r="B3" s="1369" t="s">
        <v>190</v>
      </c>
      <c r="C3" s="51" t="s">
        <v>192</v>
      </c>
      <c r="D3" s="28"/>
      <c r="E3" s="714">
        <f>'COST (Baht)'!E168</f>
        <v>1467.0966900568865</v>
      </c>
      <c r="F3" s="714">
        <f>'COST (Baht)'!F168</f>
        <v>1665.3346210171212</v>
      </c>
      <c r="G3" s="714">
        <f>'COST (Baht)'!G168</f>
        <v>1596.7627432821973</v>
      </c>
      <c r="H3" s="714">
        <f>'COST (Baht)'!H168</f>
        <v>1559.0284878096518</v>
      </c>
      <c r="I3" s="714">
        <f>'COST (Baht)'!I168</f>
        <v>2326.2370470071037</v>
      </c>
      <c r="J3" s="714">
        <f>'COST (Baht)'!J168</f>
        <v>1901.6013247963901</v>
      </c>
      <c r="K3" s="714">
        <f>'COST (Baht)'!K168</f>
        <v>1057.0451043548846</v>
      </c>
      <c r="L3" s="714">
        <f>'COST (Baht)'!L168</f>
        <v>1708.989688677003</v>
      </c>
      <c r="M3" s="714">
        <f>'COST (Baht)'!M168</f>
        <v>1614.0151891159239</v>
      </c>
      <c r="N3" s="714">
        <f>'COST (Baht)'!N168</f>
        <v>1202.3661404409841</v>
      </c>
      <c r="O3" s="714">
        <f>'COST (Baht)'!O168</f>
        <v>1487.4066585575574</v>
      </c>
      <c r="P3" s="714">
        <f>'COST (Baht)'!P168</f>
        <v>1460.4818791670714</v>
      </c>
      <c r="Q3" s="1026">
        <f>SUM(E3:P3)</f>
        <v>19046.365574282776</v>
      </c>
      <c r="T3" t="s">
        <v>208</v>
      </c>
      <c r="U3" s="706">
        <f>Price!U3-'COST (Baht)'!U3</f>
        <v>80.806922270343705</v>
      </c>
      <c r="V3" s="706">
        <f>Price!V3-'COST (Baht)'!V3</f>
        <v>89.580768199263218</v>
      </c>
      <c r="W3" s="706">
        <f>Price!W3-'COST (Baht)'!W3</f>
        <v>57.003964648463466</v>
      </c>
      <c r="X3" s="706">
        <f>Price!X3-'COST (Baht)'!X3</f>
        <v>141.64775710353945</v>
      </c>
      <c r="Y3" s="706">
        <f>Price!Y3-'COST (Baht)'!Y3</f>
        <v>143.3445200997952</v>
      </c>
      <c r="Z3" s="706">
        <f>Price!Z3-'COST (Baht)'!Z3</f>
        <v>82.799922531865093</v>
      </c>
      <c r="AA3" s="706">
        <f>Price!AA3-'COST (Baht)'!AA3</f>
        <v>66.150629998892896</v>
      </c>
      <c r="AB3" s="706">
        <f>Price!AB3-'COST (Baht)'!AB3</f>
        <v>48.135921295467256</v>
      </c>
      <c r="AC3" s="706">
        <f>Price!AC3-'COST (Baht)'!AC3</f>
        <v>45.168939009792552</v>
      </c>
      <c r="AD3" s="706">
        <f>Price!AD3-'COST (Baht)'!AD3</f>
        <v>28.428951052204525</v>
      </c>
      <c r="AE3" s="706">
        <f>Price!AE3-'COST (Baht)'!AE3</f>
        <v>29.697899499783091</v>
      </c>
      <c r="AF3" s="706">
        <f>Price!AF3-'COST (Baht)'!AF3</f>
        <v>39.920858714299754</v>
      </c>
      <c r="AH3" t="s">
        <v>208</v>
      </c>
      <c r="AI3" s="720">
        <f t="shared" ref="AI3:AT3" si="0">E37</f>
        <v>484114561.34031582</v>
      </c>
      <c r="AJ3" s="720">
        <f t="shared" si="0"/>
        <v>490046234.39010495</v>
      </c>
      <c r="AK3" s="720">
        <f t="shared" si="0"/>
        <v>352604257.69105828</v>
      </c>
      <c r="AL3" s="720">
        <f t="shared" si="0"/>
        <v>749964926.44696093</v>
      </c>
      <c r="AM3" s="720">
        <f t="shared" si="0"/>
        <v>902029792.45816374</v>
      </c>
      <c r="AN3" s="720">
        <f t="shared" si="0"/>
        <v>522325204.73916245</v>
      </c>
      <c r="AO3" s="720">
        <f t="shared" si="0"/>
        <v>322526279.86361748</v>
      </c>
      <c r="AP3" s="720">
        <f t="shared" si="0"/>
        <v>332545088.27969438</v>
      </c>
      <c r="AQ3" s="720">
        <f t="shared" si="0"/>
        <v>282673484.98198521</v>
      </c>
      <c r="AR3" s="720">
        <f t="shared" si="0"/>
        <v>165552764.69475505</v>
      </c>
      <c r="AS3" s="720">
        <f t="shared" si="0"/>
        <v>209772200.84278834</v>
      </c>
      <c r="AT3" s="720">
        <f t="shared" si="0"/>
        <v>272013862.76165825</v>
      </c>
    </row>
    <row r="4" spans="2:65" ht="14.25" customHeight="1">
      <c r="B4" s="1370"/>
      <c r="C4" s="52" t="s">
        <v>142</v>
      </c>
      <c r="D4" s="28"/>
      <c r="E4" s="714">
        <f>'Revenue (Baht)'!E4</f>
        <v>-922349538.35930002</v>
      </c>
      <c r="F4" s="714">
        <f>'Revenue (Baht)'!F4</f>
        <v>-787903395.1018002</v>
      </c>
      <c r="G4" s="714">
        <f>'Revenue (Baht)'!G4</f>
        <v>-860739000.44840002</v>
      </c>
      <c r="H4" s="714">
        <f>'Revenue (Baht)'!H4</f>
        <v>-568907294.00940001</v>
      </c>
      <c r="I4" s="714">
        <f>'Revenue (Baht)'!I4</f>
        <v>-466686524.13639998</v>
      </c>
      <c r="J4" s="714">
        <f>'Revenue (Baht)'!J4</f>
        <v>-765394863.84119999</v>
      </c>
      <c r="K4" s="714">
        <f>'Revenue (Baht)'!K4</f>
        <v>0</v>
      </c>
      <c r="L4" s="714">
        <f>'Revenue (Baht)'!L4</f>
        <v>0</v>
      </c>
      <c r="M4" s="714">
        <f>'Revenue (Baht)'!M4</f>
        <v>0</v>
      </c>
      <c r="N4" s="714">
        <f>'Revenue (Baht)'!N4</f>
        <v>0</v>
      </c>
      <c r="O4" s="714">
        <f>'Revenue (Baht)'!O4</f>
        <v>0</v>
      </c>
      <c r="P4" s="714">
        <f>'Revenue (Baht)'!P4</f>
        <v>0</v>
      </c>
      <c r="Q4" s="715">
        <f t="shared" ref="Q4:Q10" si="1">SUM(E4:P4)</f>
        <v>-4371980615.8964996</v>
      </c>
      <c r="T4" t="s">
        <v>38</v>
      </c>
      <c r="U4" s="706">
        <f>Price!U6-'COST (Baht)'!U4</f>
        <v>240.67761473678758</v>
      </c>
      <c r="V4" s="706">
        <f>Price!V6-'COST (Baht)'!V4</f>
        <v>292.1453225577402</v>
      </c>
      <c r="W4" s="706">
        <f>Price!W6-'COST (Baht)'!W4</f>
        <v>239.45396753030639</v>
      </c>
      <c r="X4" s="706">
        <f>Price!X6-'COST (Baht)'!X4</f>
        <v>228.43939971895776</v>
      </c>
      <c r="Y4" s="706">
        <f>Price!Y6-'COST (Baht)'!Y4</f>
        <v>194.17320795651295</v>
      </c>
      <c r="Z4" s="706">
        <f>Price!Z6-'COST (Baht)'!Z4</f>
        <v>210.19504838373717</v>
      </c>
      <c r="AA4" s="706">
        <f>Price!AA6-'COST (Baht)'!AA4</f>
        <v>297.03468102436881</v>
      </c>
      <c r="AB4" s="706">
        <f>Price!AB6-'COST (Baht)'!AB4</f>
        <v>230.21670342157086</v>
      </c>
      <c r="AC4" s="706">
        <f>Price!AC6-'COST (Baht)'!AC4</f>
        <v>204.18192417324133</v>
      </c>
      <c r="AD4" s="706">
        <f>Price!AD6-'COST (Baht)'!AD4</f>
        <v>147.83670959227675</v>
      </c>
      <c r="AE4" s="706">
        <f>Price!AE6-'COST (Baht)'!AE4</f>
        <v>186.74741322490735</v>
      </c>
      <c r="AF4" s="706">
        <f>Price!AF6-'COST (Baht)'!AF4</f>
        <v>202.9080570326206</v>
      </c>
      <c r="AH4" t="s">
        <v>38</v>
      </c>
      <c r="AI4" s="720">
        <f t="shared" ref="AI4:AT4" si="2">E52</f>
        <v>604074712.43598604</v>
      </c>
      <c r="AJ4" s="720">
        <f t="shared" si="2"/>
        <v>751860313.50261676</v>
      </c>
      <c r="AK4" s="720">
        <f t="shared" si="2"/>
        <v>802220292.48010027</v>
      </c>
      <c r="AL4" s="720">
        <f t="shared" si="2"/>
        <v>482154539.43231761</v>
      </c>
      <c r="AM4" s="720">
        <f t="shared" si="2"/>
        <v>619242013.81285739</v>
      </c>
      <c r="AN4" s="720">
        <f t="shared" si="2"/>
        <v>704687099.19503188</v>
      </c>
      <c r="AO4" s="720">
        <f t="shared" si="2"/>
        <v>641906797.42771244</v>
      </c>
      <c r="AP4" s="720">
        <f t="shared" si="2"/>
        <v>562437823.7951715</v>
      </c>
      <c r="AQ4" s="720">
        <f t="shared" si="2"/>
        <v>464242315.53497368</v>
      </c>
      <c r="AR4" s="720">
        <f t="shared" si="2"/>
        <v>253896243.42087197</v>
      </c>
      <c r="AS4" s="720">
        <f t="shared" si="2"/>
        <v>476923013.79029721</v>
      </c>
      <c r="AT4" s="720">
        <f t="shared" si="2"/>
        <v>581672468.93427265</v>
      </c>
      <c r="AY4" s="44" t="s">
        <v>214</v>
      </c>
      <c r="AZ4" s="702"/>
      <c r="BA4" s="43">
        <v>23377</v>
      </c>
      <c r="BB4" s="43">
        <v>23408</v>
      </c>
      <c r="BC4" s="43">
        <v>23437</v>
      </c>
      <c r="BD4" s="43">
        <v>23468</v>
      </c>
      <c r="BE4" s="43">
        <v>23498</v>
      </c>
      <c r="BF4" s="43">
        <v>23529</v>
      </c>
      <c r="BG4" s="43">
        <v>23559</v>
      </c>
      <c r="BH4" s="43">
        <v>23590</v>
      </c>
      <c r="BI4" s="43">
        <v>23621</v>
      </c>
      <c r="BJ4" s="43">
        <v>23651</v>
      </c>
      <c r="BK4" s="43">
        <v>23682</v>
      </c>
      <c r="BL4" s="43">
        <v>23712</v>
      </c>
      <c r="BM4" s="43" t="s">
        <v>177</v>
      </c>
    </row>
    <row r="5" spans="2:65" ht="14.25" customHeight="1">
      <c r="B5" s="1370"/>
      <c r="C5" s="52" t="s">
        <v>143</v>
      </c>
      <c r="D5" s="28"/>
      <c r="E5" s="714">
        <f>'Revenue (Baht)'!E5</f>
        <v>-378660346.25</v>
      </c>
      <c r="F5" s="714">
        <f>'Revenue (Baht)'!F5</f>
        <v>-304091098.80000001</v>
      </c>
      <c r="G5" s="714">
        <f>'Revenue (Baht)'!G5</f>
        <v>-386242427.38999999</v>
      </c>
      <c r="H5" s="714">
        <f>'Revenue (Baht)'!H5</f>
        <v>-293664315.20999998</v>
      </c>
      <c r="I5" s="714">
        <f>'Revenue (Baht)'!I5</f>
        <v>-324895882.86000001</v>
      </c>
      <c r="J5" s="714">
        <f>'Revenue (Baht)'!J5</f>
        <v>-350908217.76999998</v>
      </c>
      <c r="K5" s="714">
        <f>'Revenue (Baht)'!K5</f>
        <v>0</v>
      </c>
      <c r="L5" s="714">
        <f>'Revenue (Baht)'!L5</f>
        <v>0</v>
      </c>
      <c r="M5" s="714">
        <f>'Revenue (Baht)'!M5</f>
        <v>0</v>
      </c>
      <c r="N5" s="714">
        <f>'Revenue (Baht)'!N5</f>
        <v>0</v>
      </c>
      <c r="O5" s="714">
        <f>'Revenue (Baht)'!O5</f>
        <v>0</v>
      </c>
      <c r="P5" s="714">
        <f>'Revenue (Baht)'!P5</f>
        <v>0</v>
      </c>
      <c r="Q5" s="715">
        <f t="shared" si="1"/>
        <v>-2038462288.2799997</v>
      </c>
      <c r="T5" t="s">
        <v>214</v>
      </c>
      <c r="U5" s="706">
        <f>Price!U7-'COST (Baht)'!U5</f>
        <v>295.88115520105822</v>
      </c>
      <c r="V5" s="706">
        <f>Price!V7-'COST (Baht)'!V5</f>
        <v>265.68871456770813</v>
      </c>
      <c r="W5" s="706">
        <f>Price!W7-'COST (Baht)'!W5</f>
        <v>263.30630030389148</v>
      </c>
      <c r="X5" s="706">
        <f>Price!X7-'COST (Baht)'!X5</f>
        <v>177.67698359828142</v>
      </c>
      <c r="Y5" s="706">
        <f>Price!Y7-'COST (Baht)'!Y5</f>
        <v>184.12457008399258</v>
      </c>
      <c r="Z5" s="706">
        <f>Price!Z7-'COST (Baht)'!Z5</f>
        <v>217.07454619844282</v>
      </c>
      <c r="AA5" s="706">
        <f>Price!AA7-'COST (Baht)'!AA5</f>
        <v>300.69908667798137</v>
      </c>
      <c r="AB5" s="706">
        <f>Price!AB7-'COST (Baht)'!AB5</f>
        <v>284.18638352004223</v>
      </c>
      <c r="AC5" s="706">
        <f>Price!AC7-'COST (Baht)'!AC5</f>
        <v>280.57283568843241</v>
      </c>
      <c r="AD5" s="706">
        <f>Price!AD7-'COST (Baht)'!AD5</f>
        <v>241.89285821136434</v>
      </c>
      <c r="AE5" s="706">
        <f>Price!AE7-'COST (Baht)'!AE5</f>
        <v>250.61602110234787</v>
      </c>
      <c r="AF5" s="706">
        <f>Price!AF7-'COST (Baht)'!AF5</f>
        <v>263.38438797536799</v>
      </c>
      <c r="AH5" t="s">
        <v>214</v>
      </c>
      <c r="AI5" s="720">
        <f t="shared" ref="AI5:AT5" si="3">E69</f>
        <v>289696649.68567669</v>
      </c>
      <c r="AJ5" s="720">
        <f t="shared" si="3"/>
        <v>305953423.06119841</v>
      </c>
      <c r="AK5" s="720">
        <f t="shared" si="3"/>
        <v>292836594.51600069</v>
      </c>
      <c r="AL5" s="720">
        <f t="shared" si="3"/>
        <v>281200062.05707645</v>
      </c>
      <c r="AM5" s="720">
        <f t="shared" si="3"/>
        <v>399255657.87182921</v>
      </c>
      <c r="AN5" s="720">
        <f t="shared" si="3"/>
        <v>418435390.44001901</v>
      </c>
      <c r="AO5" s="720">
        <f t="shared" si="3"/>
        <v>623493542.2450608</v>
      </c>
      <c r="AP5" s="720">
        <f t="shared" si="3"/>
        <v>313912279.23623872</v>
      </c>
      <c r="AQ5" s="720">
        <f t="shared" si="3"/>
        <v>306208775.6852845</v>
      </c>
      <c r="AR5" s="720">
        <f t="shared" si="3"/>
        <v>266875552.60743403</v>
      </c>
      <c r="AS5" s="720">
        <f t="shared" si="3"/>
        <v>270665302.79053575</v>
      </c>
      <c r="AT5" s="720">
        <f t="shared" si="3"/>
        <v>89069495.560456276</v>
      </c>
      <c r="AY5" t="s">
        <v>217</v>
      </c>
      <c r="BA5" s="735">
        <f>'Revenue (Baht)'!V39-'COST (Baht)'!AM39</f>
        <v>8976547.7765854076</v>
      </c>
      <c r="BB5" s="735">
        <f>'Revenue (Baht)'!W39-'COST (Baht)'!AN39</f>
        <v>3958540.7659192607</v>
      </c>
      <c r="BC5" s="735">
        <f>'Revenue (Baht)'!X39-'COST (Baht)'!AO39</f>
        <v>9342286.9157131016</v>
      </c>
      <c r="BD5" s="735">
        <f>'Revenue (Baht)'!Y39-'COST (Baht)'!AP39</f>
        <v>-575966.57349486649</v>
      </c>
      <c r="BE5" s="735">
        <f>'Revenue (Baht)'!Z39-'COST (Baht)'!AQ39</f>
        <v>-8583331.5948711336</v>
      </c>
      <c r="BF5" s="735">
        <f>'Revenue (Baht)'!AA39-'COST (Baht)'!AR39</f>
        <v>2221249.4629556686</v>
      </c>
      <c r="BG5" s="735">
        <f>'Revenue (Baht)'!AB39-'COST (Baht)'!AS39</f>
        <v>1319354204.5352728</v>
      </c>
      <c r="BH5" s="735">
        <f>'Revenue (Baht)'!AC39-'COST (Baht)'!AT39</f>
        <v>669761826.85645175</v>
      </c>
      <c r="BI5" s="735">
        <f>'Revenue (Baht)'!AD39-'COST (Baht)'!AU39</f>
        <v>656826067.71070385</v>
      </c>
      <c r="BJ5" s="735">
        <f>'Revenue (Baht)'!AE39-'COST (Baht)'!AV39</f>
        <v>639713213.83112216</v>
      </c>
      <c r="BK5" s="735">
        <f>'Revenue (Baht)'!AF39-'COST (Baht)'!AW39</f>
        <v>635711267.50653732</v>
      </c>
      <c r="BL5" s="735">
        <f>'Revenue (Baht)'!AG39-'COST (Baht)'!AX39</f>
        <v>670511052.88904524</v>
      </c>
      <c r="BM5" s="720">
        <f>SUM(BA5:BL5)</f>
        <v>4607216960.0819416</v>
      </c>
    </row>
    <row r="6" spans="2:65" ht="14.25" customHeight="1">
      <c r="B6" s="1370"/>
      <c r="C6" s="53" t="s">
        <v>144</v>
      </c>
      <c r="D6" s="28"/>
      <c r="E6" s="714">
        <f>'Revenue (Baht)'!E6</f>
        <v>1102893369.2481</v>
      </c>
      <c r="F6" s="714">
        <f>'Revenue (Baht)'!F6</f>
        <v>935601331.93900013</v>
      </c>
      <c r="G6" s="714">
        <f>'Revenue (Baht)'!G6</f>
        <v>1056142826.9104</v>
      </c>
      <c r="H6" s="714">
        <f>'Revenue (Baht)'!H6</f>
        <v>720573794.39740014</v>
      </c>
      <c r="I6" s="714">
        <f>'Revenue (Baht)'!I6</f>
        <v>681905569.61600006</v>
      </c>
      <c r="J6" s="714">
        <f>'Revenue (Baht)'!J6</f>
        <v>996979998.5237999</v>
      </c>
      <c r="K6" s="714">
        <f>'Revenue (Baht)'!K6</f>
        <v>0</v>
      </c>
      <c r="L6" s="714">
        <f>'Revenue (Baht)'!L6</f>
        <v>0</v>
      </c>
      <c r="M6" s="714">
        <f>'Revenue (Baht)'!M6</f>
        <v>0</v>
      </c>
      <c r="N6" s="714">
        <f>'Revenue (Baht)'!N6</f>
        <v>0</v>
      </c>
      <c r="O6" s="714">
        <f>'Revenue (Baht)'!O6</f>
        <v>0</v>
      </c>
      <c r="P6" s="714">
        <f>'Revenue (Baht)'!P6</f>
        <v>0</v>
      </c>
      <c r="Q6" s="715">
        <f t="shared" si="1"/>
        <v>5494096890.6347008</v>
      </c>
      <c r="T6" t="s">
        <v>215</v>
      </c>
      <c r="U6" s="706">
        <f>Price!U8-'COST (Baht)'!U6</f>
        <v>11.053817788981462</v>
      </c>
      <c r="V6" s="706">
        <f>Price!V8-'COST (Baht)'!V6</f>
        <v>-74.047225703684148</v>
      </c>
      <c r="W6" s="706">
        <f>Price!W8-'COST (Baht)'!W6</f>
        <v>-87.23540648817783</v>
      </c>
      <c r="X6" s="706">
        <f>Price!X8-'COST (Baht)'!X6</f>
        <v>-40.344538069255407</v>
      </c>
      <c r="Y6" s="706">
        <f>Price!Y8-'COST (Baht)'!Y6</f>
        <v>3.0927644831468797</v>
      </c>
      <c r="Z6" s="706">
        <f>Price!Z8-'COST (Baht)'!Z6</f>
        <v>-20.435498174220811</v>
      </c>
      <c r="AA6" s="706">
        <f>Price!AA8-'COST (Baht)'!AA6</f>
        <v>-32.62868153180284</v>
      </c>
      <c r="AB6" s="706">
        <f>Price!AB8-'COST (Baht)'!AB6</f>
        <v>-31.376420668639412</v>
      </c>
      <c r="AC6" s="706">
        <f>Price!AC8-'COST (Baht)'!AC6</f>
        <v>-20.673238709497639</v>
      </c>
      <c r="AD6" s="706">
        <f>Price!AD8-'COST (Baht)'!AD6</f>
        <v>45.639374288765339</v>
      </c>
      <c r="AE6" s="706">
        <f>Price!AE8-'COST (Baht)'!AE6</f>
        <v>-18.039813930143737</v>
      </c>
      <c r="AF6" s="706">
        <f>Price!AF8-'COST (Baht)'!AF6</f>
        <v>-18.173761570747445</v>
      </c>
      <c r="AH6" t="s">
        <v>215</v>
      </c>
      <c r="AI6" s="720">
        <f t="shared" ref="AI6:AT6" si="4">E95+SUM(E4:E6)</f>
        <v>406507596.10332668</v>
      </c>
      <c r="AJ6" s="720">
        <f t="shared" si="4"/>
        <v>324467230.70383513</v>
      </c>
      <c r="AK6" s="720">
        <f t="shared" si="4"/>
        <v>136295752.7939778</v>
      </c>
      <c r="AL6" s="720">
        <f>H95+SUM(H4:H6)</f>
        <v>212298750.89775729</v>
      </c>
      <c r="AM6" s="720">
        <f t="shared" si="4"/>
        <v>243526307.86803496</v>
      </c>
      <c r="AN6" s="720">
        <f t="shared" si="4"/>
        <v>126478161.22823492</v>
      </c>
      <c r="AO6" s="720">
        <f t="shared" si="4"/>
        <v>-66417721.091954388</v>
      </c>
      <c r="AP6" s="720">
        <f t="shared" si="4"/>
        <v>-42870979.712228298</v>
      </c>
      <c r="AQ6" s="720">
        <f t="shared" si="4"/>
        <v>-4802797.1880734032</v>
      </c>
      <c r="AR6" s="720">
        <f t="shared" si="4"/>
        <v>310232651.71561062</v>
      </c>
      <c r="AS6" s="720">
        <f t="shared" si="4"/>
        <v>-5673697.1983429408</v>
      </c>
      <c r="AT6" s="720">
        <f t="shared" si="4"/>
        <v>-6591128.3658338152</v>
      </c>
      <c r="AY6" t="s">
        <v>218</v>
      </c>
      <c r="BA6" s="735">
        <f>'Revenue (Baht)'!V40-'COST (Baht)'!AM40</f>
        <v>112412988.77260584</v>
      </c>
      <c r="BB6" s="735">
        <f>'Revenue (Baht)'!W40-'COST (Baht)'!AN40</f>
        <v>39468681.769278705</v>
      </c>
      <c r="BC6" s="735">
        <f>'Revenue (Baht)'!X40-'COST (Baht)'!AO40</f>
        <v>26174353.389208674</v>
      </c>
      <c r="BD6" s="735">
        <f>'Revenue (Baht)'!Y40-'COST (Baht)'!AP40</f>
        <v>-5184447.8589773774</v>
      </c>
      <c r="BE6" s="735">
        <f>'Revenue (Baht)'!Z40-'COST (Baht)'!AQ40</f>
        <v>-26855140.759756565</v>
      </c>
      <c r="BF6" s="735">
        <f>'Revenue (Baht)'!AA40-'COST (Baht)'!AR40</f>
        <v>19152433.294029951</v>
      </c>
      <c r="BG6" s="735">
        <f>'Revenue (Baht)'!AB40-'COST (Baht)'!AS40</f>
        <v>0</v>
      </c>
      <c r="BH6" s="735">
        <f>'Revenue (Baht)'!AC40-'COST (Baht)'!AT40</f>
        <v>0</v>
      </c>
      <c r="BI6" s="735">
        <f>'Revenue (Baht)'!AD40-'COST (Baht)'!AU40</f>
        <v>0</v>
      </c>
      <c r="BJ6" s="735">
        <f>'Revenue (Baht)'!AE40-'COST (Baht)'!AV40</f>
        <v>0</v>
      </c>
      <c r="BK6" s="735">
        <f>'Revenue (Baht)'!AF40-'COST (Baht)'!AW40</f>
        <v>0</v>
      </c>
      <c r="BL6" s="735">
        <f>'Revenue (Baht)'!AG40-'COST (Baht)'!AX40</f>
        <v>0</v>
      </c>
      <c r="BM6" s="720">
        <f t="shared" ref="BM6:BM33" si="5">SUM(BA6:BL6)</f>
        <v>165168868.60638922</v>
      </c>
    </row>
    <row r="7" spans="2:65" ht="14.25" customHeight="1">
      <c r="B7" s="1370"/>
      <c r="C7" s="51" t="s">
        <v>193</v>
      </c>
      <c r="D7" s="28"/>
      <c r="E7" s="714">
        <f>E3+SUM(E4:E6)</f>
        <v>-198115048.26451004</v>
      </c>
      <c r="F7" s="714">
        <f t="shared" ref="F7:P7" si="6">F3+SUM(F4:F6)</f>
        <v>-156391496.62817901</v>
      </c>
      <c r="G7" s="714">
        <f>G3+SUM(G4:G6)</f>
        <v>-190837004.16525656</v>
      </c>
      <c r="H7" s="714">
        <f t="shared" si="6"/>
        <v>-141996255.79351199</v>
      </c>
      <c r="I7" s="714">
        <f t="shared" si="6"/>
        <v>-109674511.14335294</v>
      </c>
      <c r="J7" s="714">
        <f t="shared" si="6"/>
        <v>-119321181.48607516</v>
      </c>
      <c r="K7" s="714">
        <f t="shared" si="6"/>
        <v>1057.0451043548846</v>
      </c>
      <c r="L7" s="714">
        <f t="shared" si="6"/>
        <v>1708.989688677003</v>
      </c>
      <c r="M7" s="714">
        <f t="shared" si="6"/>
        <v>1614.0151891159239</v>
      </c>
      <c r="N7" s="714">
        <f t="shared" si="6"/>
        <v>1202.3661404409841</v>
      </c>
      <c r="O7" s="714">
        <f t="shared" si="6"/>
        <v>1487.4066585575574</v>
      </c>
      <c r="P7" s="714">
        <f t="shared" si="6"/>
        <v>1460.4818791670714</v>
      </c>
      <c r="Q7" s="715">
        <f t="shared" si="1"/>
        <v>-916326967.17622542</v>
      </c>
      <c r="T7" t="s">
        <v>71</v>
      </c>
      <c r="U7" s="706">
        <f>Price!U9-'COST (Baht)'!U7</f>
        <v>234.84554401419155</v>
      </c>
      <c r="V7" s="706">
        <f>Price!V9-'COST (Baht)'!V7</f>
        <v>301.96790006761307</v>
      </c>
      <c r="W7" s="706">
        <f>Price!W9-'COST (Baht)'!W7</f>
        <v>283.84120908939877</v>
      </c>
      <c r="X7" s="706">
        <f>Price!X9-'COST (Baht)'!X7</f>
        <v>291.15104949093831</v>
      </c>
      <c r="Y7" s="706">
        <f>Price!Y9-'COST (Baht)'!Y7</f>
        <v>309.71750686736402</v>
      </c>
      <c r="Z7" s="706">
        <f>Price!Z9-'COST (Baht)'!Z7</f>
        <v>229.59613752663842</v>
      </c>
      <c r="AA7" s="706">
        <f>Price!AA9-'COST (Baht)'!AA7</f>
        <v>267.83893217327125</v>
      </c>
      <c r="AB7" s="706">
        <f>Price!AB9-'COST (Baht)'!AB7</f>
        <v>256.4919901069868</v>
      </c>
      <c r="AC7" s="706">
        <f>Price!AC9-'COST (Baht)'!AC7</f>
        <v>247.95582105142535</v>
      </c>
      <c r="AD7" s="706">
        <f>Price!AD9-'COST (Baht)'!AD7</f>
        <v>230.61102389783292</v>
      </c>
      <c r="AE7" s="706">
        <f>Price!AE9-'COST (Baht)'!AE7</f>
        <v>223.84168400157779</v>
      </c>
      <c r="AF7" s="706">
        <f>Price!AF9-'COST (Baht)'!AF7</f>
        <v>222.21540396051955</v>
      </c>
      <c r="AH7" t="s">
        <v>71</v>
      </c>
      <c r="AI7" s="720">
        <f t="shared" ref="AI7:AT7" si="7">E144</f>
        <v>392385318.67367923</v>
      </c>
      <c r="AJ7" s="720">
        <f t="shared" si="7"/>
        <v>475120765.00358105</v>
      </c>
      <c r="AK7" s="720">
        <f t="shared" si="7"/>
        <v>484710658.89075607</v>
      </c>
      <c r="AL7" s="720">
        <f t="shared" si="7"/>
        <v>447312268.31740338</v>
      </c>
      <c r="AM7" s="720">
        <f t="shared" si="7"/>
        <v>549638177.82966948</v>
      </c>
      <c r="AN7" s="720">
        <f t="shared" si="7"/>
        <v>405279836.81901729</v>
      </c>
      <c r="AO7" s="720">
        <f t="shared" si="7"/>
        <v>332020954.8831557</v>
      </c>
      <c r="AP7" s="720">
        <f t="shared" si="7"/>
        <v>414690184.74401236</v>
      </c>
      <c r="AQ7" s="720">
        <f t="shared" si="7"/>
        <v>362928116.87122673</v>
      </c>
      <c r="AR7" s="720">
        <f t="shared" si="7"/>
        <v>318910152.85648149</v>
      </c>
      <c r="AS7" s="720">
        <f t="shared" si="7"/>
        <v>338495150.92257202</v>
      </c>
      <c r="AT7" s="720">
        <f t="shared" si="7"/>
        <v>353751987.37586403</v>
      </c>
      <c r="AY7" t="s">
        <v>220</v>
      </c>
      <c r="BA7" s="735">
        <f>'Revenue (Baht)'!V41-'COST (Baht)'!AM41</f>
        <v>0</v>
      </c>
      <c r="BB7" s="735">
        <f>'Revenue (Baht)'!W41-'COST (Baht)'!AN41</f>
        <v>-59348482.668015182</v>
      </c>
      <c r="BC7" s="735">
        <f>'Revenue (Baht)'!X41-'COST (Baht)'!AO41</f>
        <v>-13414950.061886311</v>
      </c>
      <c r="BD7" s="735">
        <f>'Revenue (Baht)'!Y41-'COST (Baht)'!AP41</f>
        <v>-94386150.775726259</v>
      </c>
      <c r="BE7" s="735">
        <f>'Revenue (Baht)'!Z41-'COST (Baht)'!AQ41</f>
        <v>-38476031.534701526</v>
      </c>
      <c r="BF7" s="735">
        <f>'Revenue (Baht)'!AA41-'COST (Baht)'!AR41</f>
        <v>-1503059.0445116758</v>
      </c>
      <c r="BG7" s="735">
        <f>'Revenue (Baht)'!AB41-'COST (Baht)'!AS41</f>
        <v>48600000</v>
      </c>
      <c r="BH7" s="735">
        <f>'Revenue (Baht)'!AC41-'COST (Baht)'!AT41</f>
        <v>47925000</v>
      </c>
      <c r="BI7" s="735">
        <f>'Revenue (Baht)'!AD41-'COST (Baht)'!AU41</f>
        <v>47025000</v>
      </c>
      <c r="BJ7" s="735">
        <f>'Revenue (Baht)'!AE41-'COST (Baht)'!AV41</f>
        <v>44550000</v>
      </c>
      <c r="BK7" s="735">
        <f>'Revenue (Baht)'!AF41-'COST (Baht)'!AW41</f>
        <v>45000000</v>
      </c>
      <c r="BL7" s="735">
        <f>'Revenue (Baht)'!AG41-'COST (Baht)'!AX41</f>
        <v>45675000</v>
      </c>
      <c r="BM7" s="720">
        <f t="shared" si="5"/>
        <v>71646325.915159047</v>
      </c>
    </row>
    <row r="8" spans="2:65">
      <c r="B8" s="1371"/>
      <c r="C8" s="232" t="s">
        <v>145</v>
      </c>
      <c r="D8" s="28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5">
        <f t="shared" si="1"/>
        <v>0</v>
      </c>
      <c r="T8" t="s">
        <v>79</v>
      </c>
      <c r="U8" s="706">
        <f>Price!U10-'COST (Baht)'!U8</f>
        <v>84.507413131370924</v>
      </c>
      <c r="V8" s="706">
        <f>Price!V10-'COST (Baht)'!V8</f>
        <v>144.53523425073547</v>
      </c>
      <c r="W8" s="706">
        <f>Price!W10-'COST (Baht)'!W8</f>
        <v>131.93029764413455</v>
      </c>
      <c r="X8" s="706">
        <f>Price!X10-'COST (Baht)'!X8</f>
        <v>128.67621121961599</v>
      </c>
      <c r="Y8" s="706">
        <f>Price!Y10-'COST (Baht)'!Y8</f>
        <v>162.75692968464062</v>
      </c>
      <c r="Z8" s="706">
        <f>Price!Z10-'COST (Baht)'!Z8</f>
        <v>190.99244938986214</v>
      </c>
      <c r="AA8" s="706">
        <f>Price!AA10-'COST (Baht)'!AA8</f>
        <v>184.62730639083651</v>
      </c>
      <c r="AB8" s="706">
        <f>Price!AB10-'COST (Baht)'!AB8</f>
        <v>174.1501282662162</v>
      </c>
      <c r="AC8" s="706">
        <f>Price!AC10-'COST (Baht)'!AC8</f>
        <v>164.16966306719013</v>
      </c>
      <c r="AD8" s="706">
        <f>Price!AD10-'COST (Baht)'!AD8</f>
        <v>149.19609575420287</v>
      </c>
      <c r="AE8" s="706">
        <f>Price!AE10-'COST (Baht)'!AE8</f>
        <v>139.94482455986736</v>
      </c>
      <c r="AF8" s="706">
        <f>Price!AF10-'COST (Baht)'!AF8</f>
        <v>139.97092869064079</v>
      </c>
      <c r="AH8" t="s">
        <v>79</v>
      </c>
      <c r="AI8" s="720">
        <f t="shared" ref="AI8:AT8" si="8">E148</f>
        <v>5658977.5632821359</v>
      </c>
      <c r="AJ8" s="720">
        <f t="shared" si="8"/>
        <v>17495479.24735599</v>
      </c>
      <c r="AK8" s="720">
        <f t="shared" si="8"/>
        <v>18234983.846570574</v>
      </c>
      <c r="AL8" s="720">
        <f t="shared" si="8"/>
        <v>16775455.483938262</v>
      </c>
      <c r="AM8" s="720">
        <f t="shared" si="8"/>
        <v>20281413.054128259</v>
      </c>
      <c r="AN8" s="720">
        <f t="shared" si="8"/>
        <v>22756269.073162667</v>
      </c>
      <c r="AO8" s="720">
        <f t="shared" si="8"/>
        <v>24725288.871860817</v>
      </c>
      <c r="AP8" s="720">
        <f t="shared" si="8"/>
        <v>23322185.177411675</v>
      </c>
      <c r="AQ8" s="720">
        <f t="shared" si="8"/>
        <v>21276388.333507836</v>
      </c>
      <c r="AR8" s="720">
        <f t="shared" si="8"/>
        <v>19980341.143402852</v>
      </c>
      <c r="AS8" s="720">
        <f t="shared" si="8"/>
        <v>18136849.262958817</v>
      </c>
      <c r="AT8" s="720">
        <f t="shared" si="8"/>
        <v>18744906.770250611</v>
      </c>
      <c r="AY8" t="s">
        <v>177</v>
      </c>
      <c r="BA8" s="736">
        <f t="shared" ref="BA8:BL8" si="9">SUM(BA5:BA7)</f>
        <v>121389536.54919124</v>
      </c>
      <c r="BB8" s="736">
        <f t="shared" si="9"/>
        <v>-15921260.132817216</v>
      </c>
      <c r="BC8" s="736">
        <f t="shared" si="9"/>
        <v>22101690.243035465</v>
      </c>
      <c r="BD8" s="736">
        <f t="shared" si="9"/>
        <v>-100146565.2081985</v>
      </c>
      <c r="BE8" s="736">
        <f t="shared" si="9"/>
        <v>-73914503.889329225</v>
      </c>
      <c r="BF8" s="736">
        <f t="shared" si="9"/>
        <v>19870623.712473944</v>
      </c>
      <c r="BG8" s="736">
        <f t="shared" si="9"/>
        <v>1367954204.5352728</v>
      </c>
      <c r="BH8" s="736">
        <f t="shared" si="9"/>
        <v>717686826.85645175</v>
      </c>
      <c r="BI8" s="736">
        <f t="shared" si="9"/>
        <v>703851067.71070385</v>
      </c>
      <c r="BJ8" s="736">
        <f t="shared" si="9"/>
        <v>684263213.83112216</v>
      </c>
      <c r="BK8" s="736">
        <f t="shared" si="9"/>
        <v>680711267.50653732</v>
      </c>
      <c r="BL8" s="736">
        <f t="shared" si="9"/>
        <v>716186052.88904524</v>
      </c>
      <c r="BM8" s="720">
        <f t="shared" si="5"/>
        <v>4844032154.6034889</v>
      </c>
    </row>
    <row r="9" spans="2:65" ht="18" customHeight="1">
      <c r="B9" s="1372" t="s">
        <v>191</v>
      </c>
      <c r="C9" s="136" t="s">
        <v>192</v>
      </c>
      <c r="D9" s="28"/>
      <c r="E9" s="716">
        <f t="shared" ref="E9:P9" si="10">E3+E117+E124</f>
        <v>131360844.46797644</v>
      </c>
      <c r="F9" s="716">
        <f t="shared" si="10"/>
        <v>510482493.70994067</v>
      </c>
      <c r="G9" s="716">
        <f t="shared" si="10"/>
        <v>562873610.54046571</v>
      </c>
      <c r="H9" s="716">
        <f t="shared" si="10"/>
        <v>503177441.95983839</v>
      </c>
      <c r="I9" s="716">
        <f t="shared" si="10"/>
        <v>444131171.2839523</v>
      </c>
      <c r="J9" s="716">
        <f t="shared" si="10"/>
        <v>481123280.27258134</v>
      </c>
      <c r="K9" s="716">
        <f t="shared" si="10"/>
        <v>1536619773.4453375</v>
      </c>
      <c r="L9" s="716">
        <f t="shared" si="10"/>
        <v>822933289.29169524</v>
      </c>
      <c r="M9" s="716">
        <f t="shared" si="10"/>
        <v>1450430793.6913054</v>
      </c>
      <c r="N9" s="716">
        <f t="shared" si="10"/>
        <v>1424733279.8088195</v>
      </c>
      <c r="O9" s="716">
        <f t="shared" si="10"/>
        <v>604104213.1084702</v>
      </c>
      <c r="P9" s="716">
        <f t="shared" si="10"/>
        <v>1051991106.0052463</v>
      </c>
      <c r="Q9" s="715">
        <f t="shared" si="1"/>
        <v>9523961297.5856285</v>
      </c>
      <c r="AH9" s="135" t="s">
        <v>177</v>
      </c>
      <c r="AI9" s="231">
        <f>SUM(AI3:AI8)</f>
        <v>2182437815.8022666</v>
      </c>
      <c r="AJ9">
        <f t="shared" ref="AJ9:AT9" si="11">SUM(AJ3:AJ8)</f>
        <v>2364943445.9086924</v>
      </c>
      <c r="AK9">
        <f t="shared" si="11"/>
        <v>2086902540.2184637</v>
      </c>
      <c r="AL9">
        <f t="shared" si="11"/>
        <v>2189706002.6354542</v>
      </c>
      <c r="AM9">
        <f t="shared" si="11"/>
        <v>2733973362.8946829</v>
      </c>
      <c r="AN9">
        <f t="shared" si="11"/>
        <v>2199961961.494628</v>
      </c>
      <c r="AO9">
        <f t="shared" si="11"/>
        <v>1878255142.1994526</v>
      </c>
      <c r="AP9">
        <f t="shared" si="11"/>
        <v>1604036581.5203004</v>
      </c>
      <c r="AQ9">
        <f t="shared" si="11"/>
        <v>1432526284.2189045</v>
      </c>
      <c r="AR9">
        <f t="shared" si="11"/>
        <v>1335447706.438556</v>
      </c>
      <c r="AS9">
        <f t="shared" si="11"/>
        <v>1308318820.410809</v>
      </c>
      <c r="AT9">
        <f t="shared" si="11"/>
        <v>1308661593.0366681</v>
      </c>
      <c r="AY9" s="44" t="s">
        <v>215</v>
      </c>
      <c r="AZ9" s="747" t="s">
        <v>554</v>
      </c>
      <c r="BA9" s="43">
        <v>23377</v>
      </c>
      <c r="BB9" s="43">
        <v>23408</v>
      </c>
      <c r="BC9" s="43">
        <v>23437</v>
      </c>
      <c r="BD9" s="43">
        <v>23468</v>
      </c>
      <c r="BE9" s="43">
        <v>23498</v>
      </c>
      <c r="BF9" s="43">
        <v>23529</v>
      </c>
      <c r="BG9" s="43">
        <v>23559</v>
      </c>
      <c r="BH9" s="43">
        <v>23590</v>
      </c>
      <c r="BI9" s="43">
        <v>23621</v>
      </c>
      <c r="BJ9" s="43">
        <v>23651</v>
      </c>
      <c r="BK9" s="43">
        <v>23682</v>
      </c>
      <c r="BL9" s="43">
        <v>23712</v>
      </c>
      <c r="BM9" s="43" t="s">
        <v>177</v>
      </c>
    </row>
    <row r="10" spans="2:65" ht="26.25" customHeight="1">
      <c r="B10" s="1373"/>
      <c r="C10" s="137" t="s">
        <v>193</v>
      </c>
      <c r="D10" s="28"/>
      <c r="E10" s="716">
        <f t="shared" ref="E10:P10" si="12">E7+E117+E124</f>
        <v>-66755670.893223658</v>
      </c>
      <c r="F10" s="716">
        <f t="shared" si="12"/>
        <v>354089331.74714065</v>
      </c>
      <c r="G10" s="716">
        <f t="shared" si="12"/>
        <v>372035009.61246592</v>
      </c>
      <c r="H10" s="716">
        <f t="shared" si="12"/>
        <v>361179627.1378386</v>
      </c>
      <c r="I10" s="716">
        <f t="shared" si="12"/>
        <v>334454333.90355235</v>
      </c>
      <c r="J10" s="716">
        <f t="shared" si="12"/>
        <v>361800197.18518138</v>
      </c>
      <c r="K10" s="716">
        <f t="shared" si="12"/>
        <v>1536619773.4453375</v>
      </c>
      <c r="L10" s="716">
        <f t="shared" si="12"/>
        <v>822933289.29169524</v>
      </c>
      <c r="M10" s="716">
        <f t="shared" si="12"/>
        <v>1450430793.6913054</v>
      </c>
      <c r="N10" s="716">
        <f t="shared" si="12"/>
        <v>1424733279.8088195</v>
      </c>
      <c r="O10" s="716">
        <f t="shared" si="12"/>
        <v>604104213.1084702</v>
      </c>
      <c r="P10" s="716">
        <f t="shared" si="12"/>
        <v>1051991106.0052463</v>
      </c>
      <c r="Q10" s="715">
        <f t="shared" si="1"/>
        <v>8607615284.043829</v>
      </c>
      <c r="AH10" t="s">
        <v>235</v>
      </c>
      <c r="AI10" s="43">
        <v>23377</v>
      </c>
      <c r="AJ10" s="43">
        <v>23408</v>
      </c>
      <c r="AK10" s="43">
        <v>23437</v>
      </c>
      <c r="AL10" s="43">
        <v>23468</v>
      </c>
      <c r="AM10" s="43">
        <v>23498</v>
      </c>
      <c r="AN10" s="43">
        <v>23529</v>
      </c>
      <c r="AO10" s="43">
        <v>23559</v>
      </c>
      <c r="AP10" s="43">
        <v>23590</v>
      </c>
      <c r="AQ10" s="43">
        <v>23621</v>
      </c>
      <c r="AR10" s="43">
        <v>23651</v>
      </c>
      <c r="AS10" s="43">
        <v>23682</v>
      </c>
      <c r="AT10" s="43">
        <v>23712</v>
      </c>
      <c r="AY10" t="s">
        <v>225</v>
      </c>
      <c r="AZ10" s="744" t="s">
        <v>536</v>
      </c>
      <c r="BA10" s="745">
        <f>'Revenue (Baht)'!V44-'COST (Baht)'!AM44</f>
        <v>-4082219.9522291399</v>
      </c>
      <c r="BB10" s="745">
        <f>'Revenue (Baht)'!W44-'COST (Baht)'!AN44</f>
        <v>-3799592.2926906045</v>
      </c>
      <c r="BC10" s="745">
        <f>'Revenue (Baht)'!X44-'COST (Baht)'!AO44</f>
        <v>-5204968.7541799983</v>
      </c>
      <c r="BD10" s="745">
        <f>'Revenue (Baht)'!Y44-'COST (Baht)'!AP44</f>
        <v>-3738987.3548088321</v>
      </c>
      <c r="BE10" s="745">
        <f>'Revenue (Baht)'!Z44-'COST (Baht)'!AQ44</f>
        <v>-7745340.8871686719</v>
      </c>
      <c r="BF10" s="745">
        <f>'Revenue (Baht)'!AA44-'COST (Baht)'!AR44</f>
        <v>-8281578.5028738352</v>
      </c>
      <c r="BG10" s="745">
        <f>'Revenue (Baht)'!AB44-'COST (Baht)'!AS44</f>
        <v>-9092423.7693943214</v>
      </c>
      <c r="BH10" s="745">
        <f>'Revenue (Baht)'!AC44-'COST (Baht)'!AT44</f>
        <v>-10438687.904768944</v>
      </c>
      <c r="BI10" s="745">
        <f>'Revenue (Baht)'!AD44-'COST (Baht)'!AU44</f>
        <v>-9172901.0105235763</v>
      </c>
      <c r="BJ10" s="745">
        <f>'Revenue (Baht)'!AE44-'COST (Baht)'!AV44</f>
        <v>-9451816.1392356306</v>
      </c>
      <c r="BK10" s="745">
        <f>'Revenue (Baht)'!AF44-'COST (Baht)'!AW44</f>
        <v>-8300002.8593057739</v>
      </c>
      <c r="BL10" s="745">
        <f>'Revenue (Baht)'!AG44-'COST (Baht)'!AX44</f>
        <v>-7715609.6942558847</v>
      </c>
      <c r="BM10" s="720">
        <f t="shared" si="5"/>
        <v>-87024129.12143521</v>
      </c>
    </row>
    <row r="11" spans="2:65">
      <c r="AH11" t="s">
        <v>208</v>
      </c>
      <c r="AI11" s="150">
        <f>AI3/AI9</f>
        <v>0.22182284316877765</v>
      </c>
      <c r="AJ11" s="150">
        <f t="shared" ref="AJ11:AT11" si="13">AJ3/AJ9</f>
        <v>0.20721266516452042</v>
      </c>
      <c r="AK11" s="150">
        <f t="shared" si="13"/>
        <v>0.16896057716914109</v>
      </c>
      <c r="AL11" s="150">
        <f t="shared" si="13"/>
        <v>0.34249571656849331</v>
      </c>
      <c r="AM11" s="150">
        <f t="shared" si="13"/>
        <v>0.32993364335602393</v>
      </c>
      <c r="AN11" s="150">
        <f t="shared" si="13"/>
        <v>0.2374246527354959</v>
      </c>
      <c r="AO11" s="150">
        <f t="shared" si="13"/>
        <v>0.17171590409486992</v>
      </c>
      <c r="AP11" s="150">
        <f t="shared" si="13"/>
        <v>0.20731764606297773</v>
      </c>
      <c r="AQ11" s="150">
        <f t="shared" si="13"/>
        <v>0.19732516470796554</v>
      </c>
      <c r="AR11" s="150">
        <f t="shared" si="13"/>
        <v>0.12396798758691951</v>
      </c>
      <c r="AS11" s="150">
        <f t="shared" si="13"/>
        <v>0.16033721870401615</v>
      </c>
      <c r="AT11" s="150">
        <f t="shared" si="13"/>
        <v>0.207856533888541</v>
      </c>
      <c r="AZ11" s="744" t="s">
        <v>76</v>
      </c>
      <c r="BA11" s="745">
        <f>'Revenue (Baht)'!V45-'COST (Baht)'!AM45</f>
        <v>-126776187.40627304</v>
      </c>
      <c r="BB11" s="745">
        <f>'Revenue (Baht)'!W45-'COST (Baht)'!AN45</f>
        <v>-91189766.131428167</v>
      </c>
      <c r="BC11" s="745">
        <f>'Revenue (Baht)'!X45-'COST (Baht)'!AO45</f>
        <v>-209242120.34673125</v>
      </c>
      <c r="BD11" s="745">
        <f>'Revenue (Baht)'!Y45-'COST (Baht)'!AP45</f>
        <v>-184517401.64380026</v>
      </c>
      <c r="BE11" s="745">
        <f>'Revenue (Baht)'!Z45-'COST (Baht)'!AQ45</f>
        <v>-208505015.11560565</v>
      </c>
      <c r="BF11" s="745">
        <f>'Revenue (Baht)'!AA45-'COST (Baht)'!AR45</f>
        <v>-143136708.0534777</v>
      </c>
      <c r="BG11" s="745">
        <f>'Revenue (Baht)'!AB45-'COST (Baht)'!AS45</f>
        <v>-137203843.28769168</v>
      </c>
      <c r="BH11" s="745">
        <f>'Revenue (Baht)'!AC45-'COST (Baht)'!AT45</f>
        <v>-155088085.37934569</v>
      </c>
      <c r="BI11" s="745">
        <f>'Revenue (Baht)'!AD45-'COST (Baht)'!AU45</f>
        <v>-173562948.41406971</v>
      </c>
      <c r="BJ11" s="745">
        <f>'Revenue (Baht)'!AE45-'COST (Baht)'!AV45</f>
        <v>-179853728.31095836</v>
      </c>
      <c r="BK11" s="745">
        <f>'Revenue (Baht)'!AF45-'COST (Baht)'!AW45</f>
        <v>-174128871.37564614</v>
      </c>
      <c r="BL11" s="745">
        <f>'Revenue (Baht)'!AG45-'COST (Baht)'!AX45</f>
        <v>-176082429.88918078</v>
      </c>
      <c r="BM11" s="720">
        <f t="shared" si="5"/>
        <v>-1959287105.3542085</v>
      </c>
    </row>
    <row r="12" spans="2:65">
      <c r="AH12" t="s">
        <v>38</v>
      </c>
      <c r="AI12" s="150">
        <f>AI4/AI9</f>
        <v>0.27678896876790393</v>
      </c>
      <c r="AJ12" s="150">
        <f t="shared" ref="AJ12:AT12" si="14">AJ4/AJ9</f>
        <v>0.31791894000819382</v>
      </c>
      <c r="AK12" s="150">
        <f t="shared" si="14"/>
        <v>0.38440716661168151</v>
      </c>
      <c r="AL12" s="150">
        <f t="shared" si="14"/>
        <v>0.220191449834824</v>
      </c>
      <c r="AM12" s="150">
        <f t="shared" si="14"/>
        <v>0.22649891992993482</v>
      </c>
      <c r="AN12" s="150">
        <f t="shared" si="14"/>
        <v>0.32031785618523873</v>
      </c>
      <c r="AO12" s="150">
        <f t="shared" si="14"/>
        <v>0.34175697593247856</v>
      </c>
      <c r="AP12" s="150">
        <f t="shared" si="14"/>
        <v>0.35063902549036308</v>
      </c>
      <c r="AQ12" s="150">
        <f t="shared" si="14"/>
        <v>0.32407245901816401</v>
      </c>
      <c r="AR12" s="150">
        <f t="shared" si="14"/>
        <v>0.19012069300562595</v>
      </c>
      <c r="AS12" s="150">
        <f t="shared" si="14"/>
        <v>0.36453118792600148</v>
      </c>
      <c r="AT12" s="150">
        <f t="shared" si="14"/>
        <v>0.44447890274256291</v>
      </c>
      <c r="AZ12" t="s">
        <v>537</v>
      </c>
      <c r="BA12" s="745">
        <f>'Revenue (Baht)'!V46-'COST (Baht)'!AM46</f>
        <v>-919516265.00039566</v>
      </c>
      <c r="BB12" s="745">
        <f>'Revenue (Baht)'!W46-'COST (Baht)'!AN46</f>
        <v>-1014647079.9916039</v>
      </c>
      <c r="BC12" s="745">
        <f>'Revenue (Baht)'!X46-'COST (Baht)'!AO46</f>
        <v>-1165789942.068048</v>
      </c>
      <c r="BD12" s="745">
        <f>'Revenue (Baht)'!Y46-'COST (Baht)'!AP46</f>
        <v>-983466727.52140796</v>
      </c>
      <c r="BE12" s="745">
        <f>'Revenue (Baht)'!Z46-'COST (Baht)'!AQ46</f>
        <v>-944101989.56458497</v>
      </c>
      <c r="BF12" s="745">
        <f>'Revenue (Baht)'!AA46-'COST (Baht)'!AR46</f>
        <v>-961965469.189749</v>
      </c>
      <c r="BG12" s="745">
        <f>'Revenue (Baht)'!AB46-'COST (Baht)'!AS46</f>
        <v>734.35942019479376</v>
      </c>
      <c r="BH12" s="745">
        <f>'Revenue (Baht)'!AC46-'COST (Baht)'!AT46</f>
        <v>751.16012872380941</v>
      </c>
      <c r="BI12" s="745">
        <f>'Revenue (Baht)'!AD46-'COST (Baht)'!AU46</f>
        <v>737.27765287767465</v>
      </c>
      <c r="BJ12" s="745">
        <f>'Revenue (Baht)'!AE46-'COST (Baht)'!AV46</f>
        <v>755.88182720552925</v>
      </c>
      <c r="BK12" s="745">
        <f>'Revenue (Baht)'!AF46-'COST (Baht)'!AW46</f>
        <v>753.5930654305613</v>
      </c>
      <c r="BL12" s="745">
        <f>'Revenue (Baht)'!AG46-'COST (Baht)'!AX46</f>
        <v>774.90089864940251</v>
      </c>
      <c r="BM12" s="720">
        <f t="shared" si="5"/>
        <v>-5989482966.162797</v>
      </c>
    </row>
    <row r="13" spans="2:65">
      <c r="AH13" t="s">
        <v>214</v>
      </c>
      <c r="AI13" s="150">
        <f>AI5/AI9</f>
        <v>0.13273993310970186</v>
      </c>
      <c r="AJ13" s="150">
        <f t="shared" ref="AJ13:AT13" si="15">AJ5/AJ9</f>
        <v>0.129370291535086</v>
      </c>
      <c r="AK13" s="150">
        <f t="shared" si="15"/>
        <v>0.14032116443988113</v>
      </c>
      <c r="AL13" s="150">
        <f t="shared" si="15"/>
        <v>0.12841909448968666</v>
      </c>
      <c r="AM13" s="150">
        <f t="shared" si="15"/>
        <v>0.14603494799565434</v>
      </c>
      <c r="AN13" s="150">
        <f t="shared" si="15"/>
        <v>0.19020119336778851</v>
      </c>
      <c r="AO13" s="150">
        <f t="shared" si="15"/>
        <v>0.33195359258537399</v>
      </c>
      <c r="AP13" s="150">
        <f t="shared" si="15"/>
        <v>0.19570144649613522</v>
      </c>
      <c r="AQ13" s="150">
        <f t="shared" si="15"/>
        <v>0.21375438556245904</v>
      </c>
      <c r="AR13" s="150">
        <f t="shared" si="15"/>
        <v>0.19983976259104311</v>
      </c>
      <c r="AS13" s="150">
        <f t="shared" si="15"/>
        <v>0.20688023329477709</v>
      </c>
      <c r="AT13" s="150">
        <f t="shared" si="15"/>
        <v>6.8061518756561079E-2</v>
      </c>
      <c r="AZ13" t="s">
        <v>276</v>
      </c>
      <c r="BA13" s="745">
        <f>'Revenue (Baht)'!V47-'COST (Baht)'!AM47</f>
        <v>-720286473.99662197</v>
      </c>
      <c r="BB13" s="745">
        <f>'Revenue (Baht)'!W47-'COST (Baht)'!AN47</f>
        <v>-320277082.61923259</v>
      </c>
      <c r="BC13" s="745">
        <f>'Revenue (Baht)'!X47-'COST (Baht)'!AO47</f>
        <v>-373212695.86504632</v>
      </c>
      <c r="BD13" s="745">
        <f>'Revenue (Baht)'!Y47-'COST (Baht)'!AP47</f>
        <v>-283782767.27867007</v>
      </c>
      <c r="BE13" s="745">
        <f>'Revenue (Baht)'!Z47-'COST (Baht)'!AQ47</f>
        <v>-551662977.74906385</v>
      </c>
      <c r="BF13" s="745">
        <f>'Revenue (Baht)'!AA47-'COST (Baht)'!AR47</f>
        <v>-552712015.78915679</v>
      </c>
      <c r="BG13" s="745">
        <f>'Revenue (Baht)'!AB47-'COST (Baht)'!AS47</f>
        <v>782.98079329215193</v>
      </c>
      <c r="BH13" s="745">
        <f>'Revenue (Baht)'!AC47-'COST (Baht)'!AT47</f>
        <v>740.88671146860747</v>
      </c>
      <c r="BI13" s="745">
        <f>'Revenue (Baht)'!AD47-'COST (Baht)'!AU47</f>
        <v>725.09010879594871</v>
      </c>
      <c r="BJ13" s="745">
        <f>'Revenue (Baht)'!AE47-'COST (Baht)'!AV47</f>
        <v>724.0789205669397</v>
      </c>
      <c r="BK13" s="745">
        <f>'Revenue (Baht)'!AF47-'COST (Baht)'!AW47</f>
        <v>742.52684073577734</v>
      </c>
      <c r="BL13" s="745">
        <f>'Revenue (Baht)'!AG47-'COST (Baht)'!AX47</f>
        <v>746.98781095554762</v>
      </c>
      <c r="BM13" s="720">
        <f t="shared" si="5"/>
        <v>-2801929550.7466054</v>
      </c>
    </row>
    <row r="14" spans="2:65">
      <c r="AH14" t="s">
        <v>215</v>
      </c>
      <c r="AI14" s="150">
        <f>AI6/AI9</f>
        <v>0.18626308303491984</v>
      </c>
      <c r="AJ14" s="150">
        <f t="shared" ref="AJ14:AT14" si="16">AJ6/AJ9</f>
        <v>0.13719872721064741</v>
      </c>
      <c r="AK14" s="150">
        <f t="shared" si="16"/>
        <v>6.5310070866898232E-2</v>
      </c>
      <c r="AL14" s="150">
        <f>AL6/AL9</f>
        <v>9.6953084405962203E-2</v>
      </c>
      <c r="AM14" s="150">
        <f t="shared" si="16"/>
        <v>8.907413333763925E-2</v>
      </c>
      <c r="AN14" s="150">
        <f t="shared" si="16"/>
        <v>5.7491067319321812E-2</v>
      </c>
      <c r="AO14" s="150">
        <f t="shared" si="16"/>
        <v>-3.5361394519691648E-2</v>
      </c>
      <c r="AP14" s="150">
        <f t="shared" si="16"/>
        <v>-2.672693391543186E-2</v>
      </c>
      <c r="AQ14" s="150">
        <f t="shared" si="16"/>
        <v>-3.3526764855781781E-3</v>
      </c>
      <c r="AR14" s="150">
        <f t="shared" si="16"/>
        <v>0.23230610245530003</v>
      </c>
      <c r="AS14" s="150">
        <f t="shared" si="16"/>
        <v>-4.3366319507361466E-3</v>
      </c>
      <c r="AT14" s="150">
        <f t="shared" si="16"/>
        <v>-5.0365414564811292E-3</v>
      </c>
      <c r="AZ14" t="s">
        <v>538</v>
      </c>
      <c r="BA14" s="745">
        <f>'Revenue (Baht)'!V48-'COST (Baht)'!AM48</f>
        <v>-59844719.000161164</v>
      </c>
      <c r="BB14" s="745">
        <f>'Revenue (Baht)'!W48-'COST (Baht)'!AN48</f>
        <v>-230645190.79255635</v>
      </c>
      <c r="BC14" s="745">
        <f>'Revenue (Baht)'!X48-'COST (Baht)'!AO48</f>
        <v>-378376580.53068727</v>
      </c>
      <c r="BD14" s="745">
        <f>'Revenue (Baht)'!Y48-'COST (Baht)'!AP48</f>
        <v>-321403175.34684724</v>
      </c>
      <c r="BE14" s="745">
        <f>'Revenue (Baht)'!Z48-'COST (Baht)'!AQ48</f>
        <v>-303740728.42163622</v>
      </c>
      <c r="BF14" s="745">
        <f>'Revenue (Baht)'!AA48-'COST (Baht)'!AR48</f>
        <v>-353672803.90290999</v>
      </c>
      <c r="BG14" s="745">
        <f>'Revenue (Baht)'!AB48-'COST (Baht)'!AS48</f>
        <v>184.92252832372571</v>
      </c>
      <c r="BH14" s="745">
        <f>'Revenue (Baht)'!AC48-'COST (Baht)'!AT48</f>
        <v>186.58194443775767</v>
      </c>
      <c r="BI14" s="745">
        <f>'Revenue (Baht)'!AD48-'COST (Baht)'!AU48</f>
        <v>188.12345398824445</v>
      </c>
      <c r="BJ14" s="745">
        <f>'Revenue (Baht)'!AE48-'COST (Baht)'!AV48</f>
        <v>189.56916737143939</v>
      </c>
      <c r="BK14" s="745">
        <f>'Revenue (Baht)'!AF48-'COST (Baht)'!AW48</f>
        <v>191.25773390110123</v>
      </c>
      <c r="BL14" s="745">
        <f>'Revenue (Baht)'!AG48-'COST (Baht)'!AX48</f>
        <v>191.25773390110123</v>
      </c>
      <c r="BM14" s="720">
        <f t="shared" si="5"/>
        <v>-1647682066.2822366</v>
      </c>
    </row>
    <row r="15" spans="2:65">
      <c r="AH15" t="s">
        <v>71</v>
      </c>
      <c r="AI15" s="150">
        <f>AI7/AI9</f>
        <v>0.17979221026714015</v>
      </c>
      <c r="AJ15" s="150">
        <f t="shared" ref="AJ15:AT15" si="17">AJ7/AJ9</f>
        <v>0.20090153353372192</v>
      </c>
      <c r="AK15" s="150">
        <f t="shared" si="17"/>
        <v>0.23226319847213134</v>
      </c>
      <c r="AL15" s="150">
        <f t="shared" si="17"/>
        <v>0.20427960090488578</v>
      </c>
      <c r="AM15" s="150">
        <f t="shared" si="17"/>
        <v>0.2010400632607928</v>
      </c>
      <c r="AN15" s="150">
        <f t="shared" si="17"/>
        <v>0.18422129287347996</v>
      </c>
      <c r="AO15" s="150">
        <f t="shared" si="17"/>
        <v>0.17677095482052366</v>
      </c>
      <c r="AP15" s="150">
        <f t="shared" si="17"/>
        <v>0.25852913176766229</v>
      </c>
      <c r="AQ15" s="150">
        <f t="shared" si="17"/>
        <v>0.25334831260643564</v>
      </c>
      <c r="AR15" s="150">
        <f t="shared" si="17"/>
        <v>0.23880392419630439</v>
      </c>
      <c r="AS15" s="150">
        <f t="shared" si="17"/>
        <v>0.25872527830508879</v>
      </c>
      <c r="AT15" s="150">
        <f t="shared" si="17"/>
        <v>0.27031586260203794</v>
      </c>
      <c r="AY15" t="s">
        <v>226</v>
      </c>
      <c r="AZ15" t="s">
        <v>276</v>
      </c>
      <c r="BA15" s="745">
        <f>'Revenue (Baht)'!V49-'COST (Baht)'!AM49</f>
        <v>-382354056.18912089</v>
      </c>
      <c r="BB15" s="745">
        <f>'Revenue (Baht)'!W49-'COST (Baht)'!AN49</f>
        <v>-449847012.36025864</v>
      </c>
      <c r="BC15" s="745">
        <f>'Revenue (Baht)'!X49-'COST (Baht)'!AO49</f>
        <v>-474395204.4286235</v>
      </c>
      <c r="BD15" s="745">
        <f>'Revenue (Baht)'!Y49-'COST (Baht)'!AP49</f>
        <v>-433319569.04364246</v>
      </c>
      <c r="BE15" s="745">
        <f>'Revenue (Baht)'!Z49-'COST (Baht)'!AQ49</f>
        <v>-258474865.5727689</v>
      </c>
      <c r="BF15" s="745">
        <f>'Revenue (Baht)'!AA49-'COST (Baht)'!AR49</f>
        <v>-204745571.65947628</v>
      </c>
      <c r="BG15" s="745">
        <f>'Revenue (Baht)'!AB49-'COST (Baht)'!AS49</f>
        <v>329.53786142287072</v>
      </c>
      <c r="BH15" s="745">
        <f>'Revenue (Baht)'!AC49-'COST (Baht)'!AT49</f>
        <v>0</v>
      </c>
      <c r="BI15" s="745">
        <f>'Revenue (Baht)'!AD49-'COST (Baht)'!AU49</f>
        <v>0</v>
      </c>
      <c r="BJ15" s="745">
        <f>'Revenue (Baht)'!AE49-'COST (Baht)'!AV49</f>
        <v>0</v>
      </c>
      <c r="BK15" s="745">
        <f>'Revenue (Baht)'!AF49-'COST (Baht)'!AW49</f>
        <v>0</v>
      </c>
      <c r="BL15" s="745">
        <f>'Revenue (Baht)'!AG49-'COST (Baht)'!AX49</f>
        <v>0</v>
      </c>
      <c r="BM15" s="720">
        <f t="shared" si="5"/>
        <v>-2203135949.7160296</v>
      </c>
    </row>
    <row r="16" spans="2:65">
      <c r="AH16" t="s">
        <v>79</v>
      </c>
      <c r="AI16" s="150">
        <f>AI8/AI9</f>
        <v>2.5929616515565595E-3</v>
      </c>
      <c r="AJ16" s="150">
        <f t="shared" ref="AJ16:AT16" si="18">AJ8/AJ9</f>
        <v>7.3978425478304103E-3</v>
      </c>
      <c r="AK16" s="150">
        <f t="shared" si="18"/>
        <v>8.7378224402667494E-3</v>
      </c>
      <c r="AL16" s="150">
        <f t="shared" si="18"/>
        <v>7.6610537961479333E-3</v>
      </c>
      <c r="AM16" s="150">
        <f t="shared" si="18"/>
        <v>7.4182921199549131E-3</v>
      </c>
      <c r="AN16" s="150">
        <f t="shared" si="18"/>
        <v>1.0343937518675246E-2</v>
      </c>
      <c r="AO16" s="150">
        <f t="shared" si="18"/>
        <v>1.3163967086445611E-2</v>
      </c>
      <c r="AP16" s="150">
        <f t="shared" si="18"/>
        <v>1.4539684098293437E-2</v>
      </c>
      <c r="AQ16" s="150">
        <f t="shared" si="18"/>
        <v>1.4852354590553948E-2</v>
      </c>
      <c r="AR16" s="150">
        <f t="shared" si="18"/>
        <v>1.4961530164807056E-2</v>
      </c>
      <c r="AS16" s="150">
        <f t="shared" si="18"/>
        <v>1.3862713720852758E-2</v>
      </c>
      <c r="AT16" s="150">
        <f t="shared" si="18"/>
        <v>1.432372346677816E-2</v>
      </c>
      <c r="AZ16" t="s">
        <v>538</v>
      </c>
      <c r="BA16" s="745">
        <f>'Revenue (Baht)'!V50-'COST (Baht)'!AM50</f>
        <v>0</v>
      </c>
      <c r="BB16" s="745">
        <f>'Revenue (Baht)'!W50-'COST (Baht)'!AN50</f>
        <v>0</v>
      </c>
      <c r="BC16" s="745">
        <f>'Revenue (Baht)'!X50-'COST (Baht)'!AO50</f>
        <v>0</v>
      </c>
      <c r="BD16" s="745">
        <f>'Revenue (Baht)'!Y50-'COST (Baht)'!AP50</f>
        <v>0</v>
      </c>
      <c r="BE16" s="745">
        <f>'Revenue (Baht)'!Z50-'COST (Baht)'!AQ50</f>
        <v>0</v>
      </c>
      <c r="BF16" s="745">
        <f>'Revenue (Baht)'!AA50-'COST (Baht)'!AR50</f>
        <v>0</v>
      </c>
      <c r="BG16" s="745">
        <f>'Revenue (Baht)'!AB50-'COST (Baht)'!AS50</f>
        <v>0</v>
      </c>
      <c r="BH16" s="745">
        <f>'Revenue (Baht)'!AC50-'COST (Baht)'!AT50</f>
        <v>0</v>
      </c>
      <c r="BI16" s="745">
        <f>'Revenue (Baht)'!AD50-'COST (Baht)'!AU50</f>
        <v>0</v>
      </c>
      <c r="BJ16" s="745">
        <f>'Revenue (Baht)'!AE50-'COST (Baht)'!AV50</f>
        <v>0</v>
      </c>
      <c r="BK16" s="745">
        <f>'Revenue (Baht)'!AF50-'COST (Baht)'!AW50</f>
        <v>0</v>
      </c>
      <c r="BL16" s="745">
        <f>'Revenue (Baht)'!AG50-'COST (Baht)'!AX50</f>
        <v>0</v>
      </c>
      <c r="BM16" s="720">
        <f t="shared" si="5"/>
        <v>0</v>
      </c>
    </row>
    <row r="17" spans="1:65">
      <c r="AH17" t="s">
        <v>177</v>
      </c>
      <c r="AI17" s="150">
        <f>SUM(AI11:AI16)</f>
        <v>1</v>
      </c>
      <c r="AJ17" s="150">
        <f t="shared" ref="AJ17:AT17" si="19">SUM(AJ11:AJ16)</f>
        <v>0.99999999999999989</v>
      </c>
      <c r="AK17" s="150">
        <f t="shared" si="19"/>
        <v>1.0000000000000002</v>
      </c>
      <c r="AL17" s="150">
        <f>SUM(AL11:AL16)</f>
        <v>0.99999999999999978</v>
      </c>
      <c r="AM17" s="150">
        <f t="shared" si="19"/>
        <v>1</v>
      </c>
      <c r="AN17" s="150">
        <f t="shared" si="19"/>
        <v>1.0000000000000002</v>
      </c>
      <c r="AO17" s="150">
        <f t="shared" si="19"/>
        <v>1</v>
      </c>
      <c r="AP17" s="150">
        <f t="shared" si="19"/>
        <v>0.99999999999999978</v>
      </c>
      <c r="AQ17" s="150">
        <f t="shared" si="19"/>
        <v>1</v>
      </c>
      <c r="AR17" s="150">
        <f t="shared" si="19"/>
        <v>1</v>
      </c>
      <c r="AS17" s="150">
        <f t="shared" si="19"/>
        <v>1</v>
      </c>
      <c r="AT17" s="150">
        <f t="shared" si="19"/>
        <v>1</v>
      </c>
      <c r="AY17" t="s">
        <v>227</v>
      </c>
      <c r="AZ17" t="s">
        <v>276</v>
      </c>
      <c r="BA17" s="745">
        <f>'Revenue (Baht)'!V51-'COST (Baht)'!AM51</f>
        <v>-229094620.41629264</v>
      </c>
      <c r="BB17" s="745">
        <f>'Revenue (Baht)'!W51-'COST (Baht)'!AN51</f>
        <v>-265239017.16956264</v>
      </c>
      <c r="BC17" s="745">
        <f>'Revenue (Baht)'!X51-'COST (Baht)'!AO51</f>
        <v>-313164533.62635916</v>
      </c>
      <c r="BD17" s="745">
        <f>'Revenue (Baht)'!Y51-'COST (Baht)'!AP51</f>
        <v>-236927865.50701264</v>
      </c>
      <c r="BE17" s="745">
        <f>'Revenue (Baht)'!Z51-'COST (Baht)'!AQ51</f>
        <v>-158149514.20406193</v>
      </c>
      <c r="BF17" s="745">
        <f>'Revenue (Baht)'!AA51-'COST (Baht)'!AR51</f>
        <v>-239289606.2189948</v>
      </c>
      <c r="BG17" s="745">
        <f>'Revenue (Baht)'!AB51-'COST (Baht)'!AS51</f>
        <v>93.163806370777991</v>
      </c>
      <c r="BH17" s="745">
        <f>'Revenue (Baht)'!AC51-'COST (Baht)'!AT51</f>
        <v>0</v>
      </c>
      <c r="BI17" s="745">
        <f>'Revenue (Baht)'!AD51-'COST (Baht)'!AU51</f>
        <v>0</v>
      </c>
      <c r="BJ17" s="745">
        <f>'Revenue (Baht)'!AE51-'COST (Baht)'!AV51</f>
        <v>0</v>
      </c>
      <c r="BK17" s="745">
        <f>'Revenue (Baht)'!AF51-'COST (Baht)'!AW51</f>
        <v>0</v>
      </c>
      <c r="BL17" s="745">
        <f>'Revenue (Baht)'!AG51-'COST (Baht)'!AX51</f>
        <v>0</v>
      </c>
      <c r="BM17" s="720">
        <f t="shared" si="5"/>
        <v>-1441865063.9784775</v>
      </c>
    </row>
    <row r="18" spans="1:65">
      <c r="AZ18" t="s">
        <v>538</v>
      </c>
      <c r="BA18" s="745">
        <f>'Revenue (Baht)'!V52-'COST (Baht)'!AM52</f>
        <v>0</v>
      </c>
      <c r="BB18" s="745">
        <f>'Revenue (Baht)'!W52-'COST (Baht)'!AN52</f>
        <v>0</v>
      </c>
      <c r="BC18" s="745">
        <f>'Revenue (Baht)'!X52-'COST (Baht)'!AO52</f>
        <v>0</v>
      </c>
      <c r="BD18" s="745">
        <f>'Revenue (Baht)'!Y52-'COST (Baht)'!AP52</f>
        <v>0</v>
      </c>
      <c r="BE18" s="745">
        <f>'Revenue (Baht)'!Z52-'COST (Baht)'!AQ52</f>
        <v>0</v>
      </c>
      <c r="BF18" s="745">
        <f>'Revenue (Baht)'!AA52-'COST (Baht)'!AR52</f>
        <v>0</v>
      </c>
      <c r="BG18" s="745">
        <f>'Revenue (Baht)'!AB52-'COST (Baht)'!AS52</f>
        <v>0</v>
      </c>
      <c r="BH18" s="745">
        <f>'Revenue (Baht)'!AC52-'COST (Baht)'!AT52</f>
        <v>0</v>
      </c>
      <c r="BI18" s="745">
        <f>'Revenue (Baht)'!AD52-'COST (Baht)'!AU52</f>
        <v>0</v>
      </c>
      <c r="BJ18" s="745">
        <f>'Revenue (Baht)'!AE52-'COST (Baht)'!AV52</f>
        <v>0</v>
      </c>
      <c r="BK18" s="745">
        <f>'Revenue (Baht)'!AF52-'COST (Baht)'!AW52</f>
        <v>0</v>
      </c>
      <c r="BL18" s="745">
        <f>'Revenue (Baht)'!AG52-'COST (Baht)'!AX52</f>
        <v>0</v>
      </c>
      <c r="BM18" s="720">
        <f t="shared" si="5"/>
        <v>0</v>
      </c>
    </row>
    <row r="19" spans="1:65">
      <c r="BA19" s="745"/>
      <c r="BB19" s="745"/>
      <c r="BC19" s="745"/>
      <c r="BD19" s="745"/>
      <c r="BE19" s="745"/>
      <c r="BF19" s="745"/>
      <c r="BG19" s="745"/>
      <c r="BH19" s="745"/>
      <c r="BI19" s="745"/>
      <c r="BJ19" s="745"/>
      <c r="BK19" s="745"/>
      <c r="BL19" s="745"/>
      <c r="BM19" s="720"/>
    </row>
    <row r="20" spans="1:65">
      <c r="BA20" s="745"/>
      <c r="BB20" s="745"/>
      <c r="BC20" s="745"/>
      <c r="BD20" s="745"/>
      <c r="BE20" s="745"/>
      <c r="BF20" s="745"/>
      <c r="BG20" s="745"/>
      <c r="BH20" s="745"/>
      <c r="BI20" s="745"/>
      <c r="BJ20" s="745"/>
      <c r="BK20" s="745"/>
      <c r="BL20" s="745"/>
      <c r="BM20" s="720"/>
    </row>
    <row r="21" spans="1:65">
      <c r="AY21" t="s">
        <v>228</v>
      </c>
      <c r="AZ21" t="s">
        <v>276</v>
      </c>
      <c r="BA21" s="745">
        <f>'Revenue (Baht)'!V53-'COST (Baht)'!AM53</f>
        <v>0</v>
      </c>
      <c r="BB21" s="745">
        <f>'Revenue (Baht)'!W53-'COST (Baht)'!AN53</f>
        <v>0</v>
      </c>
      <c r="BC21" s="745">
        <f>'Revenue (Baht)'!X53-'COST (Baht)'!AO53</f>
        <v>0</v>
      </c>
      <c r="BD21" s="745">
        <f>'Revenue (Baht)'!Y53-'COST (Baht)'!AP53</f>
        <v>0</v>
      </c>
      <c r="BE21" s="745">
        <f>'Revenue (Baht)'!Z53-'COST (Baht)'!AQ53</f>
        <v>0</v>
      </c>
      <c r="BF21" s="745">
        <f>'Revenue (Baht)'!AA53-'COST (Baht)'!AR53</f>
        <v>0</v>
      </c>
      <c r="BG21" s="745">
        <f>'Revenue (Baht)'!AB53-'COST (Baht)'!AS53</f>
        <v>0</v>
      </c>
      <c r="BH21" s="745">
        <f>'Revenue (Baht)'!AC53-'COST (Baht)'!AT53</f>
        <v>0</v>
      </c>
      <c r="BI21" s="745">
        <f>'Revenue (Baht)'!AD53-'COST (Baht)'!AU53</f>
        <v>0</v>
      </c>
      <c r="BJ21" s="745">
        <f>'Revenue (Baht)'!AE53-'COST (Baht)'!AV53</f>
        <v>0</v>
      </c>
      <c r="BK21" s="745">
        <f>'Revenue (Baht)'!AF53-'COST (Baht)'!AW53</f>
        <v>0</v>
      </c>
      <c r="BL21" s="745">
        <f>'Revenue (Baht)'!AG53-'COST (Baht)'!AX53</f>
        <v>0</v>
      </c>
      <c r="BM21" s="720">
        <f t="shared" si="5"/>
        <v>0</v>
      </c>
    </row>
    <row r="22" spans="1:65">
      <c r="AZ22" t="s">
        <v>538</v>
      </c>
      <c r="BA22" s="745">
        <f>'Revenue (Baht)'!V54-'COST (Baht)'!AM54</f>
        <v>-28580474.066535324</v>
      </c>
      <c r="BB22" s="745">
        <f>'Revenue (Baht)'!W54-'COST (Baht)'!AN54</f>
        <v>0</v>
      </c>
      <c r="BC22" s="745">
        <f>'Revenue (Baht)'!X54-'COST (Baht)'!AO54</f>
        <v>-193406804.25061768</v>
      </c>
      <c r="BD22" s="745">
        <f>'Revenue (Baht)'!Y54-'COST (Baht)'!AP54</f>
        <v>-112938380.85768916</v>
      </c>
      <c r="BE22" s="745">
        <f>'Revenue (Baht)'!Z54-'COST (Baht)'!AQ54</f>
        <v>-135193848.71454427</v>
      </c>
      <c r="BF22" s="745">
        <f>'Revenue (Baht)'!AA54-'COST (Baht)'!AR54</f>
        <v>-212362205.71190992</v>
      </c>
      <c r="BG22" s="745">
        <f>'Revenue (Baht)'!AB54-'COST (Baht)'!AS54</f>
        <v>131.14178921537655</v>
      </c>
      <c r="BH22" s="745">
        <f>'Revenue (Baht)'!AC54-'COST (Baht)'!AT54</f>
        <v>132.30344795394478</v>
      </c>
      <c r="BI22" s="745">
        <f>'Revenue (Baht)'!AD54-'COST (Baht)'!AU54</f>
        <v>133.39651743179755</v>
      </c>
      <c r="BJ22" s="745">
        <f>'Revenue (Baht)'!AE54-'COST (Baht)'!AV54</f>
        <v>134.42165877613414</v>
      </c>
      <c r="BK22" s="745">
        <f>'Revenue (Baht)'!AF54-'COST (Baht)'!AW54</f>
        <v>135.60692354018062</v>
      </c>
      <c r="BL22" s="745">
        <f>'Revenue (Baht)'!AG54-'COST (Baht)'!AX54</f>
        <v>135.60692354018062</v>
      </c>
      <c r="BM22" s="720">
        <f t="shared" si="5"/>
        <v>-682480911.12403584</v>
      </c>
    </row>
    <row r="23" spans="1:65">
      <c r="AY23" t="s">
        <v>229</v>
      </c>
      <c r="AZ23" t="s">
        <v>276</v>
      </c>
      <c r="BA23" s="745">
        <f>'Revenue (Baht)'!V55-'COST (Baht)'!AM55</f>
        <v>0</v>
      </c>
      <c r="BB23" s="745">
        <f>'Revenue (Baht)'!W55-'COST (Baht)'!AN55</f>
        <v>0</v>
      </c>
      <c r="BC23" s="745">
        <f>'Revenue (Baht)'!X55-'COST (Baht)'!AO55</f>
        <v>0</v>
      </c>
      <c r="BD23" s="745">
        <f>'Revenue (Baht)'!Y55-'COST (Baht)'!AP55</f>
        <v>0</v>
      </c>
      <c r="BE23" s="745">
        <f>'Revenue (Baht)'!Z55-'COST (Baht)'!AQ55</f>
        <v>0</v>
      </c>
      <c r="BF23" s="745">
        <f>'Revenue (Baht)'!AA55-'COST (Baht)'!AR55</f>
        <v>0</v>
      </c>
      <c r="BG23" s="745">
        <f>'Revenue (Baht)'!AB55-'COST (Baht)'!AS55</f>
        <v>0</v>
      </c>
      <c r="BH23" s="745">
        <f>'Revenue (Baht)'!AC55-'COST (Baht)'!AT55</f>
        <v>0</v>
      </c>
      <c r="BI23" s="745">
        <f>'Revenue (Baht)'!AD55-'COST (Baht)'!AU55</f>
        <v>0</v>
      </c>
      <c r="BJ23" s="745">
        <f>'Revenue (Baht)'!AE55-'COST (Baht)'!AV55</f>
        <v>0</v>
      </c>
      <c r="BK23" s="745">
        <f>'Revenue (Baht)'!AF55-'COST (Baht)'!AW55</f>
        <v>0</v>
      </c>
      <c r="BL23" s="745">
        <f>'Revenue (Baht)'!AG55-'COST (Baht)'!AX55</f>
        <v>0</v>
      </c>
      <c r="BM23" s="720">
        <f t="shared" si="5"/>
        <v>0</v>
      </c>
    </row>
    <row r="24" spans="1:65" ht="23.5">
      <c r="B24" s="737"/>
      <c r="AH24" s="44" t="s">
        <v>208</v>
      </c>
      <c r="AI24" s="702"/>
      <c r="AZ24" t="s">
        <v>538</v>
      </c>
      <c r="BA24" s="745">
        <f>'Revenue (Baht)'!V56-'COST (Baht)'!AM56</f>
        <v>-23442346.680414941</v>
      </c>
      <c r="BB24" s="745">
        <f>'Revenue (Baht)'!W56-'COST (Baht)'!AN56</f>
        <v>-49189613.664713666</v>
      </c>
      <c r="BC24" s="745">
        <f>'Revenue (Baht)'!X56-'COST (Baht)'!AO56</f>
        <v>-80164031.720834777</v>
      </c>
      <c r="BD24" s="745">
        <f>'Revenue (Baht)'!Y56-'COST (Baht)'!AP56</f>
        <v>-78615082.863008589</v>
      </c>
      <c r="BE24" s="745">
        <f>'Revenue (Baht)'!Z56-'COST (Baht)'!AQ56</f>
        <v>-63543918.574973494</v>
      </c>
      <c r="BF24" s="745">
        <f>'Revenue (Baht)'!AA56-'COST (Baht)'!AR56</f>
        <v>-75622912.215811446</v>
      </c>
      <c r="BG24" s="745">
        <f>'Revenue (Baht)'!AB56-'COST (Baht)'!AS56</f>
        <v>51.278503789554023</v>
      </c>
      <c r="BH24" s="745">
        <f>'Revenue (Baht)'!AC56-'COST (Baht)'!AT56</f>
        <v>51.725401639726762</v>
      </c>
      <c r="BI24" s="745">
        <f>'Revenue (Baht)'!AD56-'COST (Baht)'!AU56</f>
        <v>52.152748459756275</v>
      </c>
      <c r="BJ24" s="745">
        <f>'Revenue (Baht)'!AE56-'COST (Baht)'!AV56</f>
        <v>52.553538073279874</v>
      </c>
      <c r="BK24" s="745">
        <f>'Revenue (Baht)'!AF56-'COST (Baht)'!AW56</f>
        <v>53.011085132930177</v>
      </c>
      <c r="BL24" s="745">
        <f>'Revenue (Baht)'!AG56-'COST (Baht)'!AX56</f>
        <v>53.011085132930177</v>
      </c>
      <c r="BM24" s="720">
        <f t="shared" si="5"/>
        <v>-370577591.98739463</v>
      </c>
    </row>
    <row r="25" spans="1:65" ht="19.5" customHeight="1">
      <c r="A25" s="869" t="s">
        <v>0</v>
      </c>
      <c r="B25" s="841" t="s">
        <v>23</v>
      </c>
      <c r="C25" s="841" t="s">
        <v>22</v>
      </c>
      <c r="D25" s="842" t="s">
        <v>578</v>
      </c>
      <c r="E25" s="842" t="s">
        <v>579</v>
      </c>
      <c r="F25" s="842" t="s">
        <v>580</v>
      </c>
      <c r="G25" s="842" t="s">
        <v>581</v>
      </c>
      <c r="H25" s="842" t="s">
        <v>582</v>
      </c>
      <c r="I25" s="842" t="s">
        <v>583</v>
      </c>
      <c r="J25" s="842" t="s">
        <v>584</v>
      </c>
      <c r="K25" s="842" t="s">
        <v>585</v>
      </c>
      <c r="L25" s="842" t="s">
        <v>586</v>
      </c>
      <c r="M25" s="842" t="s">
        <v>587</v>
      </c>
      <c r="N25" s="842" t="s">
        <v>588</v>
      </c>
      <c r="O25" s="842" t="s">
        <v>589</v>
      </c>
      <c r="P25" s="842" t="s">
        <v>590</v>
      </c>
      <c r="Q25" s="876" t="s">
        <v>177</v>
      </c>
      <c r="AJ25" s="43">
        <v>23377</v>
      </c>
      <c r="AK25" s="43">
        <v>23408</v>
      </c>
      <c r="AL25" s="43">
        <v>23437</v>
      </c>
      <c r="AM25" s="43">
        <v>23468</v>
      </c>
      <c r="AN25" s="43">
        <v>23498</v>
      </c>
      <c r="AO25" s="43">
        <v>23529</v>
      </c>
      <c r="AP25" s="43">
        <v>23559</v>
      </c>
      <c r="AQ25" s="43">
        <v>23590</v>
      </c>
      <c r="AR25" s="43">
        <v>23621</v>
      </c>
      <c r="AS25" s="43">
        <v>23651</v>
      </c>
      <c r="AT25" s="43">
        <v>23682</v>
      </c>
      <c r="AU25" s="43">
        <v>23712</v>
      </c>
      <c r="AV25" s="526" t="s">
        <v>177</v>
      </c>
      <c r="AY25" t="s">
        <v>133</v>
      </c>
      <c r="AZ25" t="s">
        <v>276</v>
      </c>
      <c r="BA25" s="745">
        <f>'Revenue (Baht)'!V57-'COST (Baht)'!AM57</f>
        <v>0</v>
      </c>
      <c r="BB25" s="745">
        <f>'Revenue (Baht)'!W57-'COST (Baht)'!AN57</f>
        <v>0</v>
      </c>
      <c r="BC25" s="745">
        <f>'Revenue (Baht)'!X57-'COST (Baht)'!AO57</f>
        <v>0</v>
      </c>
      <c r="BD25" s="745">
        <f>'Revenue (Baht)'!Y57-'COST (Baht)'!AP57</f>
        <v>0</v>
      </c>
      <c r="BE25" s="745">
        <f>'Revenue (Baht)'!Z57-'COST (Baht)'!AQ57</f>
        <v>0</v>
      </c>
      <c r="BF25" s="745">
        <f>'Revenue (Baht)'!AA57-'COST (Baht)'!AR57</f>
        <v>0</v>
      </c>
      <c r="BG25" s="745">
        <f>'Revenue (Baht)'!AB57-'COST (Baht)'!AS57</f>
        <v>0</v>
      </c>
      <c r="BH25" s="745">
        <f>'Revenue (Baht)'!AC57-'COST (Baht)'!AT57</f>
        <v>0</v>
      </c>
      <c r="BI25" s="745">
        <f>'Revenue (Baht)'!AD57-'COST (Baht)'!AU57</f>
        <v>0</v>
      </c>
      <c r="BJ25" s="745">
        <f>'Revenue (Baht)'!AE57-'COST (Baht)'!AV57</f>
        <v>0</v>
      </c>
      <c r="BK25" s="745">
        <f>'Revenue (Baht)'!AF57-'COST (Baht)'!AW57</f>
        <v>0</v>
      </c>
      <c r="BL25" s="745">
        <f>'Revenue (Baht)'!AG57-'COST (Baht)'!AX57</f>
        <v>0</v>
      </c>
      <c r="BM25" s="720">
        <f t="shared" si="5"/>
        <v>0</v>
      </c>
    </row>
    <row r="26" spans="1:65" ht="21" customHeight="1">
      <c r="A26" s="866" t="str">
        <f>Table3[[#This Row],[Product]]</f>
        <v>Ethane</v>
      </c>
      <c r="B26" s="28" t="s">
        <v>25</v>
      </c>
      <c r="C26" s="27" t="s">
        <v>86</v>
      </c>
      <c r="D26" s="28"/>
      <c r="E26" s="714">
        <f>Table2[[#This Row],[ม.ค.-64]]-Table5[[#This Row],[ม.ค.-64]]</f>
        <v>97083392.057857633</v>
      </c>
      <c r="F26" s="714">
        <f>'Revenue (Baht)'!F26-'COST (Baht)'!F26</f>
        <v>90282051.44908613</v>
      </c>
      <c r="G26" s="714">
        <f>'Revenue (Baht)'!G26-'COST (Baht)'!G26</f>
        <v>55371039.946593583</v>
      </c>
      <c r="H26" s="714">
        <f>'Revenue (Baht)'!H26-'COST (Baht)'!H26</f>
        <v>132000915.36008513</v>
      </c>
      <c r="I26" s="714">
        <f>'Revenue (Baht)'!I26-'COST (Baht)'!I26</f>
        <v>152432806.2741906</v>
      </c>
      <c r="J26" s="714">
        <f>'Revenue (Baht)'!J26-'COST (Baht)'!J26</f>
        <v>82624227.131095111</v>
      </c>
      <c r="K26" s="714">
        <f>'Revenue (Baht)'!K26-'COST (Baht)'!K26</f>
        <v>71825470.772618949</v>
      </c>
      <c r="L26" s="714">
        <f>'Revenue (Baht)'!L26-'COST (Baht)'!L26</f>
        <v>48916336.228057444</v>
      </c>
      <c r="M26" s="714">
        <f>'Revenue (Baht)'!M26-'COST (Baht)'!M26</f>
        <v>41605053.897947192</v>
      </c>
      <c r="N26" s="714">
        <f>'Revenue (Baht)'!N26-'COST (Baht)'!N26</f>
        <v>18165944.952760994</v>
      </c>
      <c r="O26" s="714">
        <f>'Revenue (Baht)'!O26-'COST (Baht)'!O26</f>
        <v>23139443.016320527</v>
      </c>
      <c r="P26" s="714">
        <f>'Revenue (Baht)'!P26-'COST (Baht)'!P26</f>
        <v>36404980.883940876</v>
      </c>
      <c r="Q26" s="872">
        <f>SUM(E26:P26)</f>
        <v>849851661.97055411</v>
      </c>
      <c r="AH26" t="s">
        <v>217</v>
      </c>
      <c r="AJ26" s="705">
        <f t="shared" ref="AJ26:AU27" si="20">SUM(E26)</f>
        <v>97083392.057857633</v>
      </c>
      <c r="AK26" s="705">
        <f t="shared" si="20"/>
        <v>90282051.44908613</v>
      </c>
      <c r="AL26" s="705">
        <f t="shared" si="20"/>
        <v>55371039.946593583</v>
      </c>
      <c r="AM26" s="705">
        <f t="shared" si="20"/>
        <v>132000915.36008513</v>
      </c>
      <c r="AN26" s="705">
        <f t="shared" si="20"/>
        <v>152432806.2741906</v>
      </c>
      <c r="AO26" s="705">
        <f t="shared" si="20"/>
        <v>82624227.131095111</v>
      </c>
      <c r="AP26" s="705">
        <f t="shared" si="20"/>
        <v>71825470.772618949</v>
      </c>
      <c r="AQ26" s="705">
        <f t="shared" si="20"/>
        <v>48916336.228057444</v>
      </c>
      <c r="AR26" s="705">
        <f t="shared" si="20"/>
        <v>41605053.897947192</v>
      </c>
      <c r="AS26" s="705">
        <f t="shared" si="20"/>
        <v>18165944.952760994</v>
      </c>
      <c r="AT26" s="705">
        <f t="shared" si="20"/>
        <v>23139443.016320527</v>
      </c>
      <c r="AU26" s="705">
        <f t="shared" si="20"/>
        <v>36404980.883940876</v>
      </c>
      <c r="AV26" s="705">
        <f>SUM(AJ26:AU26)</f>
        <v>849851661.97055411</v>
      </c>
      <c r="AZ26" t="s">
        <v>538</v>
      </c>
      <c r="BA26" s="745">
        <f>'Revenue (Baht)'!V58-'COST (Baht)'!AM58</f>
        <v>0</v>
      </c>
      <c r="BB26" s="745">
        <f>'Revenue (Baht)'!W58-'COST (Baht)'!AN58</f>
        <v>0</v>
      </c>
      <c r="BC26" s="745">
        <f>'Revenue (Baht)'!X58-'COST (Baht)'!AO58</f>
        <v>0</v>
      </c>
      <c r="BD26" s="745">
        <f>'Revenue (Baht)'!Y58-'COST (Baht)'!AP58</f>
        <v>0</v>
      </c>
      <c r="BE26" s="745">
        <f>'Revenue (Baht)'!Z58-'COST (Baht)'!AQ58</f>
        <v>0</v>
      </c>
      <c r="BF26" s="745">
        <f>'Revenue (Baht)'!AA58-'COST (Baht)'!AR58</f>
        <v>0</v>
      </c>
      <c r="BG26" s="745">
        <f>'Revenue (Baht)'!AB58-'COST (Baht)'!AS58</f>
        <v>0</v>
      </c>
      <c r="BH26" s="745">
        <f>'Revenue (Baht)'!AC58-'COST (Baht)'!AT58</f>
        <v>0</v>
      </c>
      <c r="BI26" s="745">
        <f>'Revenue (Baht)'!AD58-'COST (Baht)'!AU58</f>
        <v>0</v>
      </c>
      <c r="BJ26" s="745">
        <f>'Revenue (Baht)'!AE58-'COST (Baht)'!AV58</f>
        <v>0</v>
      </c>
      <c r="BK26" s="745">
        <f>'Revenue (Baht)'!AF58-'COST (Baht)'!AW58</f>
        <v>0</v>
      </c>
      <c r="BL26" s="745">
        <f>'Revenue (Baht)'!AG58-'COST (Baht)'!AX58</f>
        <v>0</v>
      </c>
      <c r="BM26" s="720">
        <f t="shared" si="5"/>
        <v>0</v>
      </c>
    </row>
    <row r="27" spans="1:65" ht="19.5" customHeight="1">
      <c r="A27" s="866" t="str">
        <f>Table3[[#This Row],[Product]]</f>
        <v>Ethane</v>
      </c>
      <c r="B27" s="28" t="s">
        <v>25</v>
      </c>
      <c r="C27" s="27" t="s">
        <v>26</v>
      </c>
      <c r="D27" s="28"/>
      <c r="E27" s="714">
        <f>Table2[[#This Row],[ม.ค.-64]]-Table5[[#This Row],[ม.ค.-64]]</f>
        <v>88086573.047271729</v>
      </c>
      <c r="F27" s="714">
        <f>'Revenue (Baht)'!F27-'COST (Baht)'!F27</f>
        <v>89788231.14495343</v>
      </c>
      <c r="G27" s="714">
        <f>'Revenue (Baht)'!G27-'COST (Baht)'!G27</f>
        <v>66338554.68078202</v>
      </c>
      <c r="H27" s="714">
        <f>'Revenue (Baht)'!H27-'COST (Baht)'!H27</f>
        <v>153956606.4098568</v>
      </c>
      <c r="I27" s="714">
        <f>'Revenue (Baht)'!I27-'COST (Baht)'!I27</f>
        <v>134934521.62421727</v>
      </c>
      <c r="J27" s="714">
        <f>'Revenue (Baht)'!J27-'COST (Baht)'!J27</f>
        <v>92767716.486436069</v>
      </c>
      <c r="K27" s="714">
        <f>'Revenue (Baht)'!K27-'COST (Baht)'!K27</f>
        <v>98797094.815540671</v>
      </c>
      <c r="L27" s="714">
        <f>'Revenue (Baht)'!L27-'COST (Baht)'!L27</f>
        <v>76117271.205958784</v>
      </c>
      <c r="M27" s="714">
        <f>'Revenue (Baht)'!M27-'COST (Baht)'!M27</f>
        <v>71589804.036498547</v>
      </c>
      <c r="N27" s="714">
        <f>'Revenue (Baht)'!N27-'COST (Baht)'!N27</f>
        <v>48664423.408310831</v>
      </c>
      <c r="O27" s="714">
        <f>'Revenue (Baht)'!O27-'COST (Baht)'!O27</f>
        <v>51744556.586495221</v>
      </c>
      <c r="P27" s="714">
        <f>'Revenue (Baht)'!P27-'COST (Baht)'!P27</f>
        <v>65549225.054607034</v>
      </c>
      <c r="Q27" s="872">
        <f>SUM(E27:P27)</f>
        <v>1038334578.5009283</v>
      </c>
      <c r="AH27" t="s">
        <v>218</v>
      </c>
      <c r="AJ27" s="705">
        <f t="shared" si="20"/>
        <v>88086573.047271729</v>
      </c>
      <c r="AK27" s="705">
        <f t="shared" si="20"/>
        <v>89788231.14495343</v>
      </c>
      <c r="AL27" s="705">
        <f t="shared" si="20"/>
        <v>66338554.68078202</v>
      </c>
      <c r="AM27" s="705">
        <f t="shared" si="20"/>
        <v>153956606.4098568</v>
      </c>
      <c r="AN27" s="705">
        <f t="shared" si="20"/>
        <v>134934521.62421727</v>
      </c>
      <c r="AO27" s="705">
        <f t="shared" si="20"/>
        <v>92767716.486436069</v>
      </c>
      <c r="AP27" s="705">
        <f t="shared" si="20"/>
        <v>98797094.815540671</v>
      </c>
      <c r="AQ27" s="705">
        <f t="shared" si="20"/>
        <v>76117271.205958784</v>
      </c>
      <c r="AR27" s="705">
        <f t="shared" si="20"/>
        <v>71589804.036498547</v>
      </c>
      <c r="AS27" s="705">
        <f t="shared" si="20"/>
        <v>48664423.408310831</v>
      </c>
      <c r="AT27" s="705">
        <f t="shared" si="20"/>
        <v>51744556.586495221</v>
      </c>
      <c r="AU27" s="705">
        <f t="shared" si="20"/>
        <v>65549225.054607034</v>
      </c>
      <c r="AV27" s="705">
        <f t="shared" ref="AV27:AV40" si="21">SUM(AJ27:AU27)</f>
        <v>1038334578.5009283</v>
      </c>
      <c r="AY27" t="s">
        <v>230</v>
      </c>
      <c r="AZ27" t="s">
        <v>276</v>
      </c>
      <c r="BA27" s="745">
        <f>'Revenue (Baht)'!V59-'COST (Baht)'!AM59</f>
        <v>0</v>
      </c>
      <c r="BB27" s="745">
        <f>'Revenue (Baht)'!W59-'COST (Baht)'!AN59</f>
        <v>0</v>
      </c>
      <c r="BC27" s="745">
        <f>'Revenue (Baht)'!X59-'COST (Baht)'!AO59</f>
        <v>0</v>
      </c>
      <c r="BD27" s="745">
        <f>'Revenue (Baht)'!Y59-'COST (Baht)'!AP59</f>
        <v>0</v>
      </c>
      <c r="BE27" s="745">
        <f>'Revenue (Baht)'!Z59-'COST (Baht)'!AQ59</f>
        <v>0</v>
      </c>
      <c r="BF27" s="745">
        <f>'Revenue (Baht)'!AA59-'COST (Baht)'!AR59</f>
        <v>0</v>
      </c>
      <c r="BG27" s="745">
        <f>'Revenue (Baht)'!AB59-'COST (Baht)'!AS59</f>
        <v>0</v>
      </c>
      <c r="BH27" s="745">
        <f>'Revenue (Baht)'!AC59-'COST (Baht)'!AT59</f>
        <v>0</v>
      </c>
      <c r="BI27" s="745">
        <f>'Revenue (Baht)'!AD59-'COST (Baht)'!AU59</f>
        <v>0</v>
      </c>
      <c r="BJ27" s="745">
        <f>'Revenue (Baht)'!AE59-'COST (Baht)'!AV59</f>
        <v>0</v>
      </c>
      <c r="BK27" s="745">
        <f>'Revenue (Baht)'!AF59-'COST (Baht)'!AW59</f>
        <v>0</v>
      </c>
      <c r="BL27" s="745">
        <f>'Revenue (Baht)'!AG59-'COST (Baht)'!AX59</f>
        <v>0</v>
      </c>
      <c r="BM27" s="720">
        <f t="shared" si="5"/>
        <v>0</v>
      </c>
    </row>
    <row r="28" spans="1:65" ht="19.5" customHeight="1">
      <c r="A28" s="866" t="str">
        <f>Table3[[#This Row],[Product]]</f>
        <v>Ethane</v>
      </c>
      <c r="B28" s="28" t="s">
        <v>25</v>
      </c>
      <c r="C28" s="221" t="s">
        <v>27</v>
      </c>
      <c r="D28" s="28"/>
      <c r="E28" s="714">
        <f>Table2[[#This Row],[ม.ค.-64]]-Table5[[#This Row],[ม.ค.-64]]</f>
        <v>245964302.9750092</v>
      </c>
      <c r="F28" s="714">
        <f>'Revenue (Baht)'!F28-'COST (Baht)'!F28</f>
        <v>257904231.50952232</v>
      </c>
      <c r="G28" s="714">
        <f>'Revenue (Baht)'!G28-'COST (Baht)'!G28</f>
        <v>186589549.08906174</v>
      </c>
      <c r="H28" s="714">
        <f>'Revenue (Baht)'!H28-'COST (Baht)'!H28</f>
        <v>391989169.14563394</v>
      </c>
      <c r="I28" s="714">
        <f>'Revenue (Baht)'!I28-'COST (Baht)'!I28</f>
        <v>491402447.95988536</v>
      </c>
      <c r="J28" s="714">
        <f>'Revenue (Baht)'!J28-'COST (Baht)'!J28</f>
        <v>264586381.94443488</v>
      </c>
      <c r="K28" s="714">
        <f>'Revenue (Baht)'!K28-'COST (Baht)'!K28</f>
        <v>100241135.30876315</v>
      </c>
      <c r="L28" s="714">
        <f>'Revenue (Baht)'!L28-'COST (Baht)'!L28</f>
        <v>139468026.39390779</v>
      </c>
      <c r="M28" s="714">
        <f>'Revenue (Baht)'!M28-'COST (Baht)'!M28</f>
        <v>109957909.33134484</v>
      </c>
      <c r="N28" s="714">
        <f>'Revenue (Baht)'!N28-'COST (Baht)'!N28</f>
        <v>50819007.691026211</v>
      </c>
      <c r="O28" s="714">
        <f>'Revenue (Baht)'!O28-'COST (Baht)'!O28</f>
        <v>81017008.522616625</v>
      </c>
      <c r="P28" s="714">
        <f>'Revenue (Baht)'!P28-'COST (Baht)'!P28</f>
        <v>114133415.00251365</v>
      </c>
      <c r="Q28" s="872">
        <f t="shared" ref="Q28:Q37" si="22">SUM(E28:P28)</f>
        <v>2434072584.8737202</v>
      </c>
      <c r="AH28" t="s">
        <v>219</v>
      </c>
      <c r="AJ28" s="705">
        <f t="shared" ref="AJ28:AU28" si="23">SUM(E28:E31)</f>
        <v>298944596.23518646</v>
      </c>
      <c r="AK28" s="705">
        <f t="shared" si="23"/>
        <v>309975951.79606539</v>
      </c>
      <c r="AL28" s="705">
        <f t="shared" si="23"/>
        <v>219216408.0003742</v>
      </c>
      <c r="AM28" s="705">
        <f t="shared" si="23"/>
        <v>441081835.02239186</v>
      </c>
      <c r="AN28" s="705">
        <f t="shared" si="23"/>
        <v>559581736.32223749</v>
      </c>
      <c r="AO28" s="705">
        <f t="shared" si="23"/>
        <v>305626306.8975485</v>
      </c>
      <c r="AP28" s="705">
        <f t="shared" si="23"/>
        <v>114582965.02434713</v>
      </c>
      <c r="AQ28" s="705">
        <f t="shared" si="23"/>
        <v>152287062.33342996</v>
      </c>
      <c r="AR28" s="705">
        <f t="shared" si="23"/>
        <v>122077399.51422822</v>
      </c>
      <c r="AS28" s="705">
        <f t="shared" si="23"/>
        <v>61781388.027686737</v>
      </c>
      <c r="AT28" s="705">
        <f t="shared" si="23"/>
        <v>91818459.716431171</v>
      </c>
      <c r="AU28" s="705">
        <f t="shared" si="23"/>
        <v>126207670.00533652</v>
      </c>
      <c r="AV28" s="705">
        <f t="shared" si="21"/>
        <v>2803181778.8952637</v>
      </c>
      <c r="AZ28" t="s">
        <v>538</v>
      </c>
      <c r="BA28" s="745">
        <f>'Revenue (Baht)'!V60-'COST (Baht)'!AM60</f>
        <v>0</v>
      </c>
      <c r="BB28" s="745">
        <f>'Revenue (Baht)'!W60-'COST (Baht)'!AN60</f>
        <v>0</v>
      </c>
      <c r="BC28" s="745">
        <f>'Revenue (Baht)'!X60-'COST (Baht)'!AO60</f>
        <v>0</v>
      </c>
      <c r="BD28" s="745">
        <f>'Revenue (Baht)'!Y60-'COST (Baht)'!AP60</f>
        <v>0</v>
      </c>
      <c r="BE28" s="745">
        <f>'Revenue (Baht)'!Z60-'COST (Baht)'!AQ60</f>
        <v>0</v>
      </c>
      <c r="BF28" s="745">
        <f>'Revenue (Baht)'!AA60-'COST (Baht)'!AR60</f>
        <v>0</v>
      </c>
      <c r="BG28" s="745">
        <f>'Revenue (Baht)'!AB60-'COST (Baht)'!AS60</f>
        <v>0</v>
      </c>
      <c r="BH28" s="745">
        <f>'Revenue (Baht)'!AC60-'COST (Baht)'!AT60</f>
        <v>0</v>
      </c>
      <c r="BI28" s="745">
        <f>'Revenue (Baht)'!AD60-'COST (Baht)'!AU60</f>
        <v>0</v>
      </c>
      <c r="BJ28" s="745">
        <f>'Revenue (Baht)'!AE60-'COST (Baht)'!AV60</f>
        <v>0</v>
      </c>
      <c r="BK28" s="745">
        <f>'Revenue (Baht)'!AF60-'COST (Baht)'!AW60</f>
        <v>0</v>
      </c>
      <c r="BL28" s="745">
        <f>'Revenue (Baht)'!AG60-'COST (Baht)'!AX60</f>
        <v>0</v>
      </c>
      <c r="BM28" s="720">
        <f t="shared" si="5"/>
        <v>0</v>
      </c>
    </row>
    <row r="29" spans="1:65" ht="29">
      <c r="A29" s="866" t="str">
        <f>Table3[[#This Row],[Product]]</f>
        <v>Ethane</v>
      </c>
      <c r="B29" s="28" t="s">
        <v>25</v>
      </c>
      <c r="C29" s="228" t="s">
        <v>28</v>
      </c>
      <c r="D29" s="28"/>
      <c r="E29" s="714">
        <f>Table2[[#This Row],[ม.ค.-64]]-Table5[[#This Row],[ม.ค.-64]]</f>
        <v>1154349.0595794194</v>
      </c>
      <c r="F29" s="714">
        <f>'Revenue (Baht)'!F29-'COST (Baht)'!F29</f>
        <v>1812909.0092520509</v>
      </c>
      <c r="G29" s="714">
        <f>'Revenue (Baht)'!G29-'COST (Baht)'!G29</f>
        <v>138609.08583473787</v>
      </c>
      <c r="H29" s="714">
        <f>'Revenue (Baht)'!H29-'COST (Baht)'!H29</f>
        <v>1881868.0696809213</v>
      </c>
      <c r="I29" s="714">
        <f>'Revenue (Baht)'!I29-'COST (Baht)'!I29</f>
        <v>0</v>
      </c>
      <c r="J29" s="714">
        <f>'Revenue (Baht)'!J29-'COST (Baht)'!J29</f>
        <v>0</v>
      </c>
      <c r="K29" s="714">
        <f>'Revenue (Baht)'!K29-'COST (Baht)'!K29</f>
        <v>0</v>
      </c>
      <c r="L29" s="714">
        <f>'Revenue (Baht)'!L29-'COST (Baht)'!L29</f>
        <v>0</v>
      </c>
      <c r="M29" s="714">
        <f>'Revenue (Baht)'!M29-'COST (Baht)'!M29</f>
        <v>0</v>
      </c>
      <c r="N29" s="714">
        <f>'Revenue (Baht)'!N29-'COST (Baht)'!N29</f>
        <v>0</v>
      </c>
      <c r="O29" s="714">
        <f>'Revenue (Baht)'!O29-'COST (Baht)'!O29</f>
        <v>0</v>
      </c>
      <c r="P29" s="714">
        <f>'Revenue (Baht)'!P29-'COST (Baht)'!P29</f>
        <v>0</v>
      </c>
      <c r="Q29" s="872">
        <f>SUM(E29:P29)</f>
        <v>4987735.2243471295</v>
      </c>
      <c r="AH29" s="148" t="s">
        <v>220</v>
      </c>
      <c r="AI29" s="148"/>
      <c r="AJ29" s="705">
        <f t="shared" ref="AJ29:AU29" si="24">SUM(E32:E34)</f>
        <v>0</v>
      </c>
      <c r="AK29" s="705">
        <f t="shared" si="24"/>
        <v>0</v>
      </c>
      <c r="AL29" s="705">
        <f t="shared" si="24"/>
        <v>11678255.063308463</v>
      </c>
      <c r="AM29" s="705">
        <f t="shared" si="24"/>
        <v>22925569.654627249</v>
      </c>
      <c r="AN29" s="705">
        <f t="shared" si="24"/>
        <v>55080728.237518266</v>
      </c>
      <c r="AO29" s="705">
        <f t="shared" si="24"/>
        <v>41306954.224082738</v>
      </c>
      <c r="AP29" s="705">
        <f t="shared" si="24"/>
        <v>37320749.251110747</v>
      </c>
      <c r="AQ29" s="705">
        <f t="shared" si="24"/>
        <v>55224418.512248218</v>
      </c>
      <c r="AR29" s="705">
        <f t="shared" si="24"/>
        <v>47401227.533311263</v>
      </c>
      <c r="AS29" s="705">
        <f t="shared" si="24"/>
        <v>36941008.305996478</v>
      </c>
      <c r="AT29" s="705">
        <f t="shared" si="24"/>
        <v>43069741.523541421</v>
      </c>
      <c r="AU29" s="705">
        <f t="shared" si="24"/>
        <v>43851986.817773819</v>
      </c>
      <c r="AV29" s="705">
        <f t="shared" si="21"/>
        <v>394800639.12351871</v>
      </c>
      <c r="AY29" t="s">
        <v>231</v>
      </c>
      <c r="AZ29" t="s">
        <v>276</v>
      </c>
      <c r="BA29" s="745">
        <f>'Revenue (Baht)'!V61-'COST (Baht)'!AM61</f>
        <v>0</v>
      </c>
      <c r="BB29" s="745">
        <f>'Revenue (Baht)'!W61-'COST (Baht)'!AN61</f>
        <v>0</v>
      </c>
      <c r="BC29" s="745">
        <f>'Revenue (Baht)'!X61-'COST (Baht)'!AO61</f>
        <v>0</v>
      </c>
      <c r="BD29" s="745">
        <f>'Revenue (Baht)'!Y61-'COST (Baht)'!AP61</f>
        <v>0</v>
      </c>
      <c r="BE29" s="745">
        <f>'Revenue (Baht)'!Z61-'COST (Baht)'!AQ61</f>
        <v>0</v>
      </c>
      <c r="BF29" s="745">
        <f>'Revenue (Baht)'!AA61-'COST (Baht)'!AR61</f>
        <v>0</v>
      </c>
      <c r="BG29" s="745">
        <f>'Revenue (Baht)'!AB61-'COST (Baht)'!AS61</f>
        <v>0</v>
      </c>
      <c r="BH29" s="745">
        <f>'Revenue (Baht)'!AC61-'COST (Baht)'!AT61</f>
        <v>0</v>
      </c>
      <c r="BI29" s="745">
        <f>'Revenue (Baht)'!AD61-'COST (Baht)'!AU61</f>
        <v>0</v>
      </c>
      <c r="BJ29" s="745">
        <f>'Revenue (Baht)'!AE61-'COST (Baht)'!AV61</f>
        <v>0</v>
      </c>
      <c r="BK29" s="745">
        <f>'Revenue (Baht)'!AF61-'COST (Baht)'!AW61</f>
        <v>0</v>
      </c>
      <c r="BL29" s="745">
        <f>'Revenue (Baht)'!AG61-'COST (Baht)'!AX61</f>
        <v>0</v>
      </c>
      <c r="BM29" s="720">
        <f t="shared" si="5"/>
        <v>0</v>
      </c>
    </row>
    <row r="30" spans="1:65" ht="29">
      <c r="A30" s="866" t="str">
        <f>Table3[[#This Row],[Product]]</f>
        <v>Ethane</v>
      </c>
      <c r="B30" s="28" t="s">
        <v>25</v>
      </c>
      <c r="C30" s="228" t="s">
        <v>29</v>
      </c>
      <c r="D30" s="28"/>
      <c r="E30" s="714">
        <f>Table2[[#This Row],[ม.ค.-64]]-Table5[[#This Row],[ม.ค.-64]]</f>
        <v>36093377.669839442</v>
      </c>
      <c r="F30" s="714">
        <f>'Revenue (Baht)'!F30-'COST (Baht)'!F30</f>
        <v>35369369.152957633</v>
      </c>
      <c r="G30" s="714">
        <f>'Revenue (Baht)'!G30-'COST (Baht)'!G30</f>
        <v>18534569.348633751</v>
      </c>
      <c r="H30" s="714">
        <f>'Revenue (Baht)'!H30-'COST (Baht)'!H30</f>
        <v>27317575.665992841</v>
      </c>
      <c r="I30" s="714">
        <f>'Revenue (Baht)'!I30-'COST (Baht)'!I30</f>
        <v>45965826.006735563</v>
      </c>
      <c r="J30" s="714">
        <f>'Revenue (Baht)'!J30-'COST (Baht)'!J30</f>
        <v>24933045.534049749</v>
      </c>
      <c r="K30" s="714">
        <f>'Revenue (Baht)'!K30-'COST (Baht)'!K30</f>
        <v>0</v>
      </c>
      <c r="L30" s="714">
        <f>'Revenue (Baht)'!L30-'COST (Baht)'!L30</f>
        <v>0</v>
      </c>
      <c r="M30" s="714">
        <f>'Revenue (Baht)'!M30-'COST (Baht)'!M30</f>
        <v>0</v>
      </c>
      <c r="N30" s="714">
        <f>'Revenue (Baht)'!N30-'COST (Baht)'!N30</f>
        <v>0</v>
      </c>
      <c r="O30" s="714">
        <f>'Revenue (Baht)'!O30-'COST (Baht)'!O30</f>
        <v>0</v>
      </c>
      <c r="P30" s="714">
        <f>'Revenue (Baht)'!P30-'COST (Baht)'!P30</f>
        <v>0</v>
      </c>
      <c r="Q30" s="872">
        <f t="shared" si="22"/>
        <v>188213763.37820899</v>
      </c>
      <c r="AH30" t="s">
        <v>177</v>
      </c>
      <c r="AJ30" s="705">
        <f>SUM(AJ26:AJ29)</f>
        <v>484114561.34031582</v>
      </c>
      <c r="AK30" s="705">
        <f t="shared" ref="AK30:AT30" si="25">SUM(AK26:AK29)</f>
        <v>490046234.39010495</v>
      </c>
      <c r="AL30" s="705">
        <f t="shared" si="25"/>
        <v>352604257.69105828</v>
      </c>
      <c r="AM30" s="705">
        <f t="shared" si="25"/>
        <v>749964926.44696105</v>
      </c>
      <c r="AN30" s="705">
        <f t="shared" si="25"/>
        <v>902029792.45816374</v>
      </c>
      <c r="AO30" s="705">
        <f t="shared" si="25"/>
        <v>522325204.73916245</v>
      </c>
      <c r="AP30" s="705">
        <f t="shared" si="25"/>
        <v>322526279.86361748</v>
      </c>
      <c r="AQ30" s="705">
        <f t="shared" si="25"/>
        <v>332545088.27969438</v>
      </c>
      <c r="AR30" s="705">
        <f t="shared" si="25"/>
        <v>282673484.98198521</v>
      </c>
      <c r="AS30" s="705">
        <f t="shared" si="25"/>
        <v>165552764.69475505</v>
      </c>
      <c r="AT30" s="705">
        <f t="shared" si="25"/>
        <v>209772200.84278834</v>
      </c>
      <c r="AU30" s="705">
        <f>SUM(AU26:AU29)</f>
        <v>272013862.76165825</v>
      </c>
      <c r="AV30" s="705">
        <f t="shared" si="21"/>
        <v>5086168658.4902658</v>
      </c>
      <c r="AZ30" t="s">
        <v>538</v>
      </c>
      <c r="BA30" s="745">
        <f>'Revenue (Baht)'!V62-'COST (Baht)'!AM62</f>
        <v>0</v>
      </c>
      <c r="BB30" s="745">
        <f>'Revenue (Baht)'!W62-'COST (Baht)'!AN62</f>
        <v>0</v>
      </c>
      <c r="BC30" s="745">
        <f>'Revenue (Baht)'!X62-'COST (Baht)'!AO62</f>
        <v>0</v>
      </c>
      <c r="BD30" s="745">
        <f>'Revenue (Baht)'!Y62-'COST (Baht)'!AP62</f>
        <v>0</v>
      </c>
      <c r="BE30" s="745">
        <f>'Revenue (Baht)'!Z62-'COST (Baht)'!AQ62</f>
        <v>0</v>
      </c>
      <c r="BF30" s="745">
        <f>'Revenue (Baht)'!AA62-'COST (Baht)'!AR62</f>
        <v>0</v>
      </c>
      <c r="BG30" s="745">
        <f>'Revenue (Baht)'!AB62-'COST (Baht)'!AS62</f>
        <v>0</v>
      </c>
      <c r="BH30" s="745">
        <f>'Revenue (Baht)'!AC62-'COST (Baht)'!AT62</f>
        <v>0</v>
      </c>
      <c r="BI30" s="745">
        <f>'Revenue (Baht)'!AD62-'COST (Baht)'!AU62</f>
        <v>0</v>
      </c>
      <c r="BJ30" s="745">
        <f>'Revenue (Baht)'!AE62-'COST (Baht)'!AV62</f>
        <v>0</v>
      </c>
      <c r="BK30" s="745">
        <f>'Revenue (Baht)'!AF62-'COST (Baht)'!AW62</f>
        <v>0</v>
      </c>
      <c r="BL30" s="745">
        <f>'Revenue (Baht)'!AG62-'COST (Baht)'!AX62</f>
        <v>0</v>
      </c>
      <c r="BM30" s="720">
        <f t="shared" si="5"/>
        <v>0</v>
      </c>
    </row>
    <row r="31" spans="1:65" ht="29">
      <c r="A31" s="866" t="str">
        <f>Table3[[#This Row],[Product]]</f>
        <v>Ethane</v>
      </c>
      <c r="B31" s="28" t="s">
        <v>25</v>
      </c>
      <c r="C31" s="228" t="s">
        <v>30</v>
      </c>
      <c r="D31" s="28"/>
      <c r="E31" s="714">
        <f>Table2[[#This Row],[ม.ค.-64]]-Table5[[#This Row],[ม.ค.-64]]</f>
        <v>15732566.530758359</v>
      </c>
      <c r="F31" s="714">
        <f>'Revenue (Baht)'!F31-'COST (Baht)'!F31</f>
        <v>14889442.124333389</v>
      </c>
      <c r="G31" s="714">
        <f>'Revenue (Baht)'!G31-'COST (Baht)'!G31</f>
        <v>13953680.476843961</v>
      </c>
      <c r="H31" s="714">
        <f>'Revenue (Baht)'!H31-'COST (Baht)'!H31</f>
        <v>19893222.141084123</v>
      </c>
      <c r="I31" s="714">
        <f>'Revenue (Baht)'!I31-'COST (Baht)'!I31</f>
        <v>22213462.355616551</v>
      </c>
      <c r="J31" s="714">
        <f>'Revenue (Baht)'!J31-'COST (Baht)'!J31</f>
        <v>16106879.419063866</v>
      </c>
      <c r="K31" s="714">
        <f>'Revenue (Baht)'!K31-'COST (Baht)'!K31</f>
        <v>14341829.71558398</v>
      </c>
      <c r="L31" s="714">
        <f>'Revenue (Baht)'!L31-'COST (Baht)'!L31</f>
        <v>12819035.939522177</v>
      </c>
      <c r="M31" s="714">
        <f>'Revenue (Baht)'!M31-'COST (Baht)'!M31</f>
        <v>12119490.182883374</v>
      </c>
      <c r="N31" s="714">
        <f>'Revenue (Baht)'!N31-'COST (Baht)'!N31</f>
        <v>10962380.336660527</v>
      </c>
      <c r="O31" s="714">
        <f>'Revenue (Baht)'!O31-'COST (Baht)'!O31</f>
        <v>10801451.193814538</v>
      </c>
      <c r="P31" s="714">
        <f>'Revenue (Baht)'!P31-'COST (Baht)'!P31</f>
        <v>12074255.002822869</v>
      </c>
      <c r="Q31" s="872">
        <f t="shared" si="22"/>
        <v>175907695.41898775</v>
      </c>
      <c r="AH31" s="44" t="s">
        <v>38</v>
      </c>
      <c r="AI31" s="702"/>
      <c r="AJ31" s="705"/>
      <c r="AK31" s="705"/>
      <c r="AL31" s="705"/>
      <c r="AM31" s="705"/>
      <c r="AN31" s="705"/>
      <c r="AO31" s="705"/>
      <c r="AP31" s="705"/>
      <c r="AQ31" s="705"/>
      <c r="AR31" s="705"/>
      <c r="AS31" s="705"/>
      <c r="AT31" s="705"/>
      <c r="AU31" s="705"/>
      <c r="AV31" s="705"/>
      <c r="AY31" t="s">
        <v>232</v>
      </c>
      <c r="AZ31" t="s">
        <v>276</v>
      </c>
      <c r="BA31" s="745">
        <f>'Revenue (Baht)'!V63-'COST (Baht)'!AM63</f>
        <v>0</v>
      </c>
      <c r="BB31" s="745">
        <f>'Revenue (Baht)'!W63-'COST (Baht)'!AN63</f>
        <v>0</v>
      </c>
      <c r="BC31" s="745">
        <f>'Revenue (Baht)'!X63-'COST (Baht)'!AO63</f>
        <v>0</v>
      </c>
      <c r="BD31" s="745">
        <f>'Revenue (Baht)'!Y63-'COST (Baht)'!AP63</f>
        <v>0</v>
      </c>
      <c r="BE31" s="745">
        <f>'Revenue (Baht)'!Z63-'COST (Baht)'!AQ63</f>
        <v>0</v>
      </c>
      <c r="BF31" s="745">
        <f>'Revenue (Baht)'!AA63-'COST (Baht)'!AR63</f>
        <v>0</v>
      </c>
      <c r="BG31" s="745">
        <f>'Revenue (Baht)'!AB63-'COST (Baht)'!AS63</f>
        <v>0</v>
      </c>
      <c r="BH31" s="745">
        <f>'Revenue (Baht)'!AC63-'COST (Baht)'!AT63</f>
        <v>0</v>
      </c>
      <c r="BI31" s="745">
        <f>'Revenue (Baht)'!AD63-'COST (Baht)'!AU63</f>
        <v>0</v>
      </c>
      <c r="BJ31" s="745">
        <f>'Revenue (Baht)'!AE63-'COST (Baht)'!AV63</f>
        <v>0</v>
      </c>
      <c r="BK31" s="745">
        <f>'Revenue (Baht)'!AF63-'COST (Baht)'!AW63</f>
        <v>0</v>
      </c>
      <c r="BL31" s="745">
        <f>'Revenue (Baht)'!AG63-'COST (Baht)'!AX63</f>
        <v>0</v>
      </c>
      <c r="BM31" s="720">
        <f t="shared" si="5"/>
        <v>0</v>
      </c>
    </row>
    <row r="32" spans="1:65" ht="15.5">
      <c r="A32" s="866" t="str">
        <f>Table3[[#This Row],[Product]]</f>
        <v>Ethane</v>
      </c>
      <c r="B32" s="28" t="s">
        <v>25</v>
      </c>
      <c r="C32" s="227" t="s">
        <v>31</v>
      </c>
      <c r="D32" s="28"/>
      <c r="E32" s="714">
        <f>Table2[[#This Row],[ม.ค.-64]]-Table5[[#This Row],[ม.ค.-64]]</f>
        <v>0</v>
      </c>
      <c r="F32" s="714">
        <f>'Revenue (Baht)'!F32-'COST (Baht)'!F32</f>
        <v>0</v>
      </c>
      <c r="G32" s="714">
        <f>'Revenue (Baht)'!G32-'COST (Baht)'!G32</f>
        <v>11678255.063308463</v>
      </c>
      <c r="H32" s="714">
        <f>'Revenue (Baht)'!H32-'COST (Baht)'!H32</f>
        <v>22925569.654627249</v>
      </c>
      <c r="I32" s="714">
        <f>'Revenue (Baht)'!I32-'COST (Baht)'!I32</f>
        <v>55080728.237518266</v>
      </c>
      <c r="J32" s="714">
        <f>'Revenue (Baht)'!J32-'COST (Baht)'!J32</f>
        <v>41306954.224082738</v>
      </c>
      <c r="K32" s="714">
        <f>'Revenue (Baht)'!K32-'COST (Baht)'!K32</f>
        <v>37320749.251110747</v>
      </c>
      <c r="L32" s="714">
        <f>'Revenue (Baht)'!L32-'COST (Baht)'!L32</f>
        <v>55224418.512248218</v>
      </c>
      <c r="M32" s="714">
        <f>'Revenue (Baht)'!M32-'COST (Baht)'!M32</f>
        <v>47401227.533311263</v>
      </c>
      <c r="N32" s="714">
        <f>'Revenue (Baht)'!N32-'COST (Baht)'!N32</f>
        <v>36941008.305996478</v>
      </c>
      <c r="O32" s="714">
        <f>'Revenue (Baht)'!O32-'COST (Baht)'!O32</f>
        <v>43069741.523541421</v>
      </c>
      <c r="P32" s="714">
        <f>'Revenue (Baht)'!P32-'COST (Baht)'!P32</f>
        <v>43851986.817773819</v>
      </c>
      <c r="Q32" s="872">
        <f t="shared" si="22"/>
        <v>394800639.12351871</v>
      </c>
      <c r="AH32" t="s">
        <v>217</v>
      </c>
      <c r="AJ32" s="705">
        <f t="shared" ref="AJ32:AU32" si="26">SUM(E38:E40)</f>
        <v>203502445.40210477</v>
      </c>
      <c r="AK32" s="705">
        <f t="shared" si="26"/>
        <v>208631159.70156866</v>
      </c>
      <c r="AL32" s="705">
        <f t="shared" si="26"/>
        <v>171733271.42117405</v>
      </c>
      <c r="AM32" s="705">
        <f t="shared" si="26"/>
        <v>93167669.592348695</v>
      </c>
      <c r="AN32" s="705">
        <f t="shared" si="26"/>
        <v>152913113.67127791</v>
      </c>
      <c r="AO32" s="705">
        <f t="shared" si="26"/>
        <v>132726038.01448011</v>
      </c>
      <c r="AP32" s="705">
        <f t="shared" si="26"/>
        <v>200555668.47795454</v>
      </c>
      <c r="AQ32" s="705">
        <f t="shared" si="26"/>
        <v>190980343.7653504</v>
      </c>
      <c r="AR32" s="705">
        <f t="shared" si="26"/>
        <v>175616135.91487682</v>
      </c>
      <c r="AS32" s="705">
        <f t="shared" si="26"/>
        <v>164776896.98972064</v>
      </c>
      <c r="AT32" s="705">
        <f t="shared" si="26"/>
        <v>165507880.82600415</v>
      </c>
      <c r="AU32" s="705">
        <f t="shared" si="26"/>
        <v>179658207.90522549</v>
      </c>
      <c r="AV32" s="705">
        <f t="shared" si="21"/>
        <v>2039768831.6820862</v>
      </c>
      <c r="AZ32" t="s">
        <v>538</v>
      </c>
      <c r="BA32" s="745">
        <f>'Revenue (Baht)'!V64-'COST (Baht)'!AM64</f>
        <v>0</v>
      </c>
      <c r="BB32" s="745">
        <f>'Revenue (Baht)'!W64-'COST (Baht)'!AN64</f>
        <v>0</v>
      </c>
      <c r="BC32" s="745">
        <f>'Revenue (Baht)'!X64-'COST (Baht)'!AO64</f>
        <v>0</v>
      </c>
      <c r="BD32" s="745">
        <f>'Revenue (Baht)'!Y64-'COST (Baht)'!AP64</f>
        <v>0</v>
      </c>
      <c r="BE32" s="745">
        <f>'Revenue (Baht)'!Z64-'COST (Baht)'!AQ64</f>
        <v>0</v>
      </c>
      <c r="BF32" s="745">
        <f>'Revenue (Baht)'!AA64-'COST (Baht)'!AR64</f>
        <v>0</v>
      </c>
      <c r="BG32" s="745">
        <f>'Revenue (Baht)'!AB64-'COST (Baht)'!AS64</f>
        <v>0</v>
      </c>
      <c r="BH32" s="745">
        <f>'Revenue (Baht)'!AC64-'COST (Baht)'!AT64</f>
        <v>0</v>
      </c>
      <c r="BI32" s="745">
        <f>'Revenue (Baht)'!AD64-'COST (Baht)'!AU64</f>
        <v>0</v>
      </c>
      <c r="BJ32" s="745">
        <f>'Revenue (Baht)'!AE64-'COST (Baht)'!AV64</f>
        <v>0</v>
      </c>
      <c r="BK32" s="745">
        <f>'Revenue (Baht)'!AF64-'COST (Baht)'!AW64</f>
        <v>0</v>
      </c>
      <c r="BL32" s="745">
        <f>'Revenue (Baht)'!AG64-'COST (Baht)'!AX64</f>
        <v>0</v>
      </c>
      <c r="BM32" s="720">
        <f t="shared" si="5"/>
        <v>0</v>
      </c>
    </row>
    <row r="33" spans="1:65" ht="14.25" customHeight="1">
      <c r="A33" s="866" t="str">
        <f>Table3[[#This Row],[Product]]</f>
        <v>Ethane</v>
      </c>
      <c r="B33" s="28" t="s">
        <v>25</v>
      </c>
      <c r="C33" s="227" t="s">
        <v>32</v>
      </c>
      <c r="D33" s="28"/>
      <c r="E33" s="714">
        <f>Table2[[#This Row],[ม.ค.-64]]-Table5[[#This Row],[ม.ค.-64]]</f>
        <v>0</v>
      </c>
      <c r="F33" s="714">
        <f>'Revenue (Baht)'!F33-'COST (Baht)'!F33</f>
        <v>0</v>
      </c>
      <c r="G33" s="714">
        <f>'Revenue (Baht)'!G33-'COST (Baht)'!G33</f>
        <v>0</v>
      </c>
      <c r="H33" s="714">
        <f>'Revenue (Baht)'!H33-'COST (Baht)'!H33</f>
        <v>0</v>
      </c>
      <c r="I33" s="714">
        <f>'Revenue (Baht)'!I33-'COST (Baht)'!I33</f>
        <v>0</v>
      </c>
      <c r="J33" s="714">
        <f>'Revenue (Baht)'!J33-'COST (Baht)'!J33</f>
        <v>0</v>
      </c>
      <c r="K33" s="714">
        <f>'Revenue (Baht)'!K33-'COST (Baht)'!K33</f>
        <v>0</v>
      </c>
      <c r="L33" s="714">
        <f>'Revenue (Baht)'!L33-'COST (Baht)'!L33</f>
        <v>0</v>
      </c>
      <c r="M33" s="714">
        <f>'Revenue (Baht)'!M33-'COST (Baht)'!M33</f>
        <v>0</v>
      </c>
      <c r="N33" s="714">
        <f>'Revenue (Baht)'!N33-'COST (Baht)'!N33</f>
        <v>0</v>
      </c>
      <c r="O33" s="714">
        <f>'Revenue (Baht)'!O33-'COST (Baht)'!O33</f>
        <v>0</v>
      </c>
      <c r="P33" s="714">
        <f>'Revenue (Baht)'!P33-'COST (Baht)'!P33</f>
        <v>0</v>
      </c>
      <c r="Q33" s="872">
        <f t="shared" si="22"/>
        <v>0</v>
      </c>
      <c r="AH33" t="s">
        <v>223</v>
      </c>
      <c r="AJ33" s="705">
        <f t="shared" ref="AJ33:AU33" si="27">SUM(E41:E42)</f>
        <v>311968030.36402774</v>
      </c>
      <c r="AK33" s="705">
        <f t="shared" si="27"/>
        <v>321255998.67555523</v>
      </c>
      <c r="AL33" s="705">
        <f t="shared" si="27"/>
        <v>310280179.76210535</v>
      </c>
      <c r="AM33" s="705">
        <f t="shared" si="27"/>
        <v>201856342.60226804</v>
      </c>
      <c r="AN33" s="705">
        <f t="shared" si="27"/>
        <v>180596409.80387437</v>
      </c>
      <c r="AO33" s="705">
        <f t="shared" si="27"/>
        <v>224084980.87026674</v>
      </c>
      <c r="AP33" s="705">
        <f t="shared" si="27"/>
        <v>232680371.43682295</v>
      </c>
      <c r="AQ33" s="705">
        <f t="shared" si="27"/>
        <v>292357349.90995061</v>
      </c>
      <c r="AR33" s="705">
        <f t="shared" si="27"/>
        <v>203864871.80403659</v>
      </c>
      <c r="AS33" s="705">
        <f t="shared" si="27"/>
        <v>0</v>
      </c>
      <c r="AT33" s="705">
        <f t="shared" si="27"/>
        <v>255031635.77089483</v>
      </c>
      <c r="AU33" s="705">
        <f t="shared" si="27"/>
        <v>276003153.667548</v>
      </c>
      <c r="AV33" s="705">
        <f t="shared" si="21"/>
        <v>2809979324.6673508</v>
      </c>
      <c r="AY33" t="s">
        <v>545</v>
      </c>
      <c r="BA33" s="736">
        <f t="shared" ref="BA33:BL33" si="28">SUM(BA12:BA32)</f>
        <v>-2363118955.3495431</v>
      </c>
      <c r="BB33" s="736">
        <f t="shared" si="28"/>
        <v>-2329844996.597928</v>
      </c>
      <c r="BC33" s="736">
        <f t="shared" si="28"/>
        <v>-2978509792.4902163</v>
      </c>
      <c r="BD33" s="736">
        <f t="shared" si="28"/>
        <v>-2450453568.4182782</v>
      </c>
      <c r="BE33" s="736">
        <f t="shared" si="28"/>
        <v>-2414867842.8016334</v>
      </c>
      <c r="BF33" s="736">
        <f t="shared" si="28"/>
        <v>-2600370584.6880078</v>
      </c>
      <c r="BG33" s="736">
        <f t="shared" si="28"/>
        <v>2307.3847026092503</v>
      </c>
      <c r="BH33" s="736">
        <f t="shared" si="28"/>
        <v>1862.6576342238457</v>
      </c>
      <c r="BI33" s="736">
        <f t="shared" si="28"/>
        <v>1836.0404815534216</v>
      </c>
      <c r="BJ33" s="736">
        <f t="shared" si="28"/>
        <v>1856.5051119933223</v>
      </c>
      <c r="BK33" s="736">
        <f t="shared" si="28"/>
        <v>1875.9956487405509</v>
      </c>
      <c r="BL33" s="736">
        <f t="shared" si="28"/>
        <v>1901.7644521791624</v>
      </c>
      <c r="BM33" s="720">
        <f t="shared" si="5"/>
        <v>-15137154099.997576</v>
      </c>
    </row>
    <row r="34" spans="1:65" ht="14.25" customHeight="1">
      <c r="A34" s="866" t="str">
        <f>Table3[[#This Row],[Product]]</f>
        <v>Ethane</v>
      </c>
      <c r="B34" s="32" t="s">
        <v>34</v>
      </c>
      <c r="C34" s="227" t="s">
        <v>33</v>
      </c>
      <c r="D34" s="28"/>
      <c r="E34" s="714">
        <f>Table2[[#This Row],[ม.ค.-64]]-Table5[[#This Row],[ม.ค.-64]]</f>
        <v>0</v>
      </c>
      <c r="F34" s="714">
        <f>'Revenue (Baht)'!F34-'COST (Baht)'!F34</f>
        <v>0</v>
      </c>
      <c r="G34" s="714">
        <f>'Revenue (Baht)'!G34-'COST (Baht)'!G34</f>
        <v>0</v>
      </c>
      <c r="H34" s="714">
        <f>'Revenue (Baht)'!H34-'COST (Baht)'!H34</f>
        <v>0</v>
      </c>
      <c r="I34" s="714">
        <f>'Revenue (Baht)'!I34-'COST (Baht)'!I34</f>
        <v>0</v>
      </c>
      <c r="J34" s="714">
        <f>'Revenue (Baht)'!J34-'COST (Baht)'!J34</f>
        <v>0</v>
      </c>
      <c r="K34" s="714">
        <f>'Revenue (Baht)'!K34-'COST (Baht)'!K34</f>
        <v>0</v>
      </c>
      <c r="L34" s="714">
        <f>'Revenue (Baht)'!L34-'COST (Baht)'!L34</f>
        <v>0</v>
      </c>
      <c r="M34" s="714">
        <f>'Revenue (Baht)'!M34-'COST (Baht)'!M34</f>
        <v>0</v>
      </c>
      <c r="N34" s="714">
        <f>'Revenue (Baht)'!N34-'COST (Baht)'!N34</f>
        <v>0</v>
      </c>
      <c r="O34" s="714">
        <f>'Revenue (Baht)'!O34-'COST (Baht)'!O34</f>
        <v>0</v>
      </c>
      <c r="P34" s="714">
        <f>'Revenue (Baht)'!P34-'COST (Baht)'!P34</f>
        <v>0</v>
      </c>
      <c r="Q34" s="872">
        <f t="shared" si="22"/>
        <v>0</v>
      </c>
      <c r="AH34" t="s">
        <v>224</v>
      </c>
      <c r="AJ34" s="705">
        <f t="shared" ref="AJ34:AU34" si="29">SUM(E43:E44)</f>
        <v>85977124.647576749</v>
      </c>
      <c r="AK34" s="705">
        <f t="shared" si="29"/>
        <v>120968611.95369986</v>
      </c>
      <c r="AL34" s="705">
        <f t="shared" si="29"/>
        <v>141997864.60445863</v>
      </c>
      <c r="AM34" s="705">
        <f t="shared" si="29"/>
        <v>105342408.04983994</v>
      </c>
      <c r="AN34" s="705">
        <f t="shared" si="29"/>
        <v>103002118.44287172</v>
      </c>
      <c r="AO34" s="705">
        <f t="shared" si="29"/>
        <v>115462702.29775944</v>
      </c>
      <c r="AP34" s="705">
        <f t="shared" si="29"/>
        <v>2101693.3527077958</v>
      </c>
      <c r="AQ34" s="705">
        <f t="shared" si="29"/>
        <v>35712766.282132357</v>
      </c>
      <c r="AR34" s="705">
        <f t="shared" si="29"/>
        <v>34595787.120743796</v>
      </c>
      <c r="AS34" s="705">
        <f t="shared" si="29"/>
        <v>15274085.206365719</v>
      </c>
      <c r="AT34" s="705">
        <f t="shared" si="29"/>
        <v>17259673.48598358</v>
      </c>
      <c r="AU34" s="705">
        <f t="shared" si="29"/>
        <v>25549175.416612588</v>
      </c>
      <c r="AV34" s="705">
        <f t="shared" si="21"/>
        <v>803244010.86075211</v>
      </c>
      <c r="BM34" s="746"/>
    </row>
    <row r="35" spans="1:65" ht="19.5" customHeight="1" thickBot="1">
      <c r="A35" s="866" t="str">
        <f>Table3[[#This Row],[Product]]</f>
        <v>Ethane</v>
      </c>
      <c r="B35" s="32"/>
      <c r="C35" s="33" t="s">
        <v>35</v>
      </c>
      <c r="D35" s="822">
        <f>SUM(D26:D31)</f>
        <v>0</v>
      </c>
      <c r="E35" s="822">
        <f>SUM(E26:E31)</f>
        <v>484114561.34031582</v>
      </c>
      <c r="F35" s="822">
        <f t="shared" ref="F35:P35" si="30">SUM(F26:F31)</f>
        <v>490046234.39010495</v>
      </c>
      <c r="G35" s="822">
        <f t="shared" si="30"/>
        <v>340926002.6277498</v>
      </c>
      <c r="H35" s="822">
        <f t="shared" si="30"/>
        <v>727039356.79233372</v>
      </c>
      <c r="I35" s="822">
        <f t="shared" si="30"/>
        <v>846949064.22064543</v>
      </c>
      <c r="J35" s="822">
        <f t="shared" si="30"/>
        <v>481018250.51507968</v>
      </c>
      <c r="K35" s="822">
        <f t="shared" si="30"/>
        <v>285205530.61250675</v>
      </c>
      <c r="L35" s="822">
        <f t="shared" si="30"/>
        <v>277320669.76744616</v>
      </c>
      <c r="M35" s="822">
        <f t="shared" si="30"/>
        <v>235272257.44867396</v>
      </c>
      <c r="N35" s="822">
        <f t="shared" si="30"/>
        <v>128611756.38875857</v>
      </c>
      <c r="O35" s="822">
        <f t="shared" si="30"/>
        <v>166702459.31924692</v>
      </c>
      <c r="P35" s="822">
        <f t="shared" si="30"/>
        <v>228161875.94388443</v>
      </c>
      <c r="Q35" s="932">
        <f t="shared" si="22"/>
        <v>4691368019.3667469</v>
      </c>
      <c r="AH35" t="s">
        <v>220</v>
      </c>
      <c r="AJ35" s="705">
        <f t="shared" ref="AJ35:AU35" si="31">SUM(E45:E48)</f>
        <v>0</v>
      </c>
      <c r="AK35" s="705">
        <f t="shared" si="31"/>
        <v>97998637.126464128</v>
      </c>
      <c r="AL35" s="705">
        <f t="shared" si="31"/>
        <v>175801543.80533278</v>
      </c>
      <c r="AM35" s="705">
        <f t="shared" si="31"/>
        <v>79818084.958272636</v>
      </c>
      <c r="AN35" s="705">
        <f t="shared" si="31"/>
        <v>180136424.52779666</v>
      </c>
      <c r="AO35" s="705">
        <f t="shared" si="31"/>
        <v>230465438.29134089</v>
      </c>
      <c r="AP35" s="705">
        <f t="shared" si="31"/>
        <v>205219378.13292918</v>
      </c>
      <c r="AQ35" s="705">
        <f t="shared" si="31"/>
        <v>42096807.232123382</v>
      </c>
      <c r="AR35" s="705">
        <f t="shared" si="31"/>
        <v>48785775.7187154</v>
      </c>
      <c r="AS35" s="705">
        <f t="shared" si="31"/>
        <v>72657807.505304232</v>
      </c>
      <c r="AT35" s="705">
        <f t="shared" si="31"/>
        <v>37897512.666431554</v>
      </c>
      <c r="AU35" s="705">
        <f t="shared" si="31"/>
        <v>99243001.520076856</v>
      </c>
      <c r="AV35" s="705">
        <f t="shared" si="21"/>
        <v>1270120411.4847877</v>
      </c>
      <c r="BM35" s="746"/>
    </row>
    <row r="36" spans="1:65" ht="24" thickBot="1">
      <c r="A36" s="866" t="str">
        <f>Table3[[#This Row],[Product]]</f>
        <v>Ethane</v>
      </c>
      <c r="B36" s="32"/>
      <c r="C36" s="33" t="s">
        <v>36</v>
      </c>
      <c r="D36" s="822">
        <f>SUM(D32:D34)</f>
        <v>0</v>
      </c>
      <c r="E36" s="822">
        <f t="shared" ref="E36:P36" si="32">SUM(E32:E34)</f>
        <v>0</v>
      </c>
      <c r="F36" s="822">
        <f t="shared" si="32"/>
        <v>0</v>
      </c>
      <c r="G36" s="822">
        <f t="shared" si="32"/>
        <v>11678255.063308463</v>
      </c>
      <c r="H36" s="822">
        <f t="shared" si="32"/>
        <v>22925569.654627249</v>
      </c>
      <c r="I36" s="822">
        <f t="shared" si="32"/>
        <v>55080728.237518266</v>
      </c>
      <c r="J36" s="822">
        <f t="shared" si="32"/>
        <v>41306954.224082738</v>
      </c>
      <c r="K36" s="822">
        <f t="shared" si="32"/>
        <v>37320749.251110747</v>
      </c>
      <c r="L36" s="822">
        <f t="shared" si="32"/>
        <v>55224418.512248218</v>
      </c>
      <c r="M36" s="822">
        <f t="shared" si="32"/>
        <v>47401227.533311263</v>
      </c>
      <c r="N36" s="822">
        <f t="shared" si="32"/>
        <v>36941008.305996478</v>
      </c>
      <c r="O36" s="822">
        <f t="shared" si="32"/>
        <v>43069741.523541421</v>
      </c>
      <c r="P36" s="822">
        <f t="shared" si="32"/>
        <v>43851986.817773819</v>
      </c>
      <c r="Q36" s="932">
        <f t="shared" si="22"/>
        <v>394800639.12351871</v>
      </c>
      <c r="AH36" t="s">
        <v>225</v>
      </c>
      <c r="AJ36" s="705">
        <f t="shared" ref="AJ36:AU36" si="33">SUM(E49)</f>
        <v>2627112.022276992</v>
      </c>
      <c r="AK36" s="705">
        <f t="shared" si="33"/>
        <v>3005906.0453289375</v>
      </c>
      <c r="AL36" s="705">
        <f t="shared" si="33"/>
        <v>2407432.8870295603</v>
      </c>
      <c r="AM36" s="705">
        <f t="shared" si="33"/>
        <v>1970034.2295882571</v>
      </c>
      <c r="AN36" s="705">
        <f t="shared" si="33"/>
        <v>2593947.3670366546</v>
      </c>
      <c r="AO36" s="705">
        <f t="shared" si="33"/>
        <v>1947939.7211847696</v>
      </c>
      <c r="AP36" s="705">
        <f t="shared" si="33"/>
        <v>1349686.0272979476</v>
      </c>
      <c r="AQ36" s="705">
        <f t="shared" si="33"/>
        <v>1290556.6056147832</v>
      </c>
      <c r="AR36" s="705">
        <f t="shared" si="33"/>
        <v>1379744.9766010428</v>
      </c>
      <c r="AS36" s="705">
        <f t="shared" si="33"/>
        <v>1187453.7194814142</v>
      </c>
      <c r="AT36" s="705">
        <f t="shared" si="33"/>
        <v>1226311.0409831172</v>
      </c>
      <c r="AU36" s="705">
        <f t="shared" si="33"/>
        <v>1218930.4248098508</v>
      </c>
      <c r="AV36" s="705">
        <f t="shared" si="21"/>
        <v>22205055.067233324</v>
      </c>
      <c r="AY36" s="1366" t="s">
        <v>569</v>
      </c>
      <c r="AZ36" s="1367"/>
      <c r="BA36" s="1367"/>
      <c r="BB36" s="1367"/>
      <c r="BC36" s="1367"/>
      <c r="BD36" s="1367"/>
      <c r="BE36" s="1367"/>
      <c r="BF36" s="1367"/>
      <c r="BG36" s="1367"/>
      <c r="BH36" s="1367"/>
      <c r="BI36" s="1367"/>
      <c r="BJ36" s="1367"/>
      <c r="BK36" s="1367"/>
      <c r="BL36" s="1367"/>
      <c r="BM36" s="1368"/>
    </row>
    <row r="37" spans="1:65" ht="15.5">
      <c r="A37" s="866" t="str">
        <f>Table3[[#This Row],[Product]]</f>
        <v>Ethane</v>
      </c>
      <c r="B37" s="28"/>
      <c r="C37" s="34" t="s">
        <v>37</v>
      </c>
      <c r="D37" s="822">
        <f>Table2[[#This Row],[ม.ค.-64]]-Table5[[#This Row],[ม.ค.-64]]</f>
        <v>484114561.34031582</v>
      </c>
      <c r="E37" s="949">
        <f t="shared" ref="E37:P37" si="34">SUM(E26:E34)</f>
        <v>484114561.34031582</v>
      </c>
      <c r="F37" s="822">
        <f t="shared" si="34"/>
        <v>490046234.39010495</v>
      </c>
      <c r="G37" s="822">
        <f t="shared" si="34"/>
        <v>352604257.69105828</v>
      </c>
      <c r="H37" s="822">
        <f t="shared" si="34"/>
        <v>749964926.44696093</v>
      </c>
      <c r="I37" s="822">
        <f t="shared" si="34"/>
        <v>902029792.45816374</v>
      </c>
      <c r="J37" s="822">
        <f t="shared" si="34"/>
        <v>522325204.73916245</v>
      </c>
      <c r="K37" s="822">
        <f t="shared" si="34"/>
        <v>322526279.86361748</v>
      </c>
      <c r="L37" s="822">
        <f t="shared" si="34"/>
        <v>332545088.27969438</v>
      </c>
      <c r="M37" s="822">
        <f t="shared" si="34"/>
        <v>282673484.98198521</v>
      </c>
      <c r="N37" s="822">
        <f t="shared" si="34"/>
        <v>165552764.69475505</v>
      </c>
      <c r="O37" s="822">
        <f t="shared" si="34"/>
        <v>209772200.84278834</v>
      </c>
      <c r="P37" s="822">
        <f t="shared" si="34"/>
        <v>272013862.76165825</v>
      </c>
      <c r="Q37" s="932">
        <f t="shared" si="22"/>
        <v>5086168658.4902658</v>
      </c>
      <c r="AH37" t="s">
        <v>177</v>
      </c>
      <c r="AJ37" s="705">
        <f>SUM(AJ32:AJ36)</f>
        <v>604074712.43598616</v>
      </c>
      <c r="AK37" s="705">
        <f t="shared" ref="AK37:AU37" si="35">SUM(AK32:AK36)</f>
        <v>751860313.50261688</v>
      </c>
      <c r="AL37" s="705">
        <f t="shared" si="35"/>
        <v>802220292.48010039</v>
      </c>
      <c r="AM37" s="705">
        <f t="shared" si="35"/>
        <v>482154539.43231755</v>
      </c>
      <c r="AN37" s="705">
        <f t="shared" si="35"/>
        <v>619242013.81285727</v>
      </c>
      <c r="AO37" s="705">
        <f t="shared" si="35"/>
        <v>704687099.19503188</v>
      </c>
      <c r="AP37" s="705">
        <f t="shared" si="35"/>
        <v>641906797.42771244</v>
      </c>
      <c r="AQ37" s="705">
        <f t="shared" si="35"/>
        <v>562437823.7951715</v>
      </c>
      <c r="AR37" s="705">
        <f t="shared" si="35"/>
        <v>464242315.53497368</v>
      </c>
      <c r="AS37" s="705">
        <f t="shared" si="35"/>
        <v>253896243.42087197</v>
      </c>
      <c r="AT37" s="705">
        <f t="shared" si="35"/>
        <v>476923013.79029721</v>
      </c>
      <c r="AU37" s="705">
        <f t="shared" si="35"/>
        <v>581672468.93427265</v>
      </c>
      <c r="AV37" s="705">
        <f t="shared" si="21"/>
        <v>6945317633.7622099</v>
      </c>
    </row>
    <row r="38" spans="1:65" ht="23.5">
      <c r="A38" s="867" t="str">
        <f>Table3[[#This Row],[Product]]</f>
        <v>Propane</v>
      </c>
      <c r="B38" s="28" t="s">
        <v>25</v>
      </c>
      <c r="C38" s="35" t="s">
        <v>39</v>
      </c>
      <c r="D38" s="822"/>
      <c r="E38" s="714">
        <f>Table2[[#This Row],[ม.ค.-64]]-Table5[[#This Row],[ม.ค.-64]]</f>
        <v>203502445.40210477</v>
      </c>
      <c r="F38" s="714">
        <f>'Revenue (Baht)'!F38-'COST (Baht)'!F38</f>
        <v>208631159.70156866</v>
      </c>
      <c r="G38" s="714">
        <f>'Revenue (Baht)'!G38-'COST (Baht)'!G38</f>
        <v>171733271.42117405</v>
      </c>
      <c r="H38" s="714">
        <f>'Revenue (Baht)'!H38-'COST (Baht)'!H38</f>
        <v>93167669.592348695</v>
      </c>
      <c r="I38" s="714">
        <f>'Revenue (Baht)'!I38-'COST (Baht)'!I38</f>
        <v>152913113.67127791</v>
      </c>
      <c r="J38" s="714">
        <f>'Revenue (Baht)'!J38-'COST (Baht)'!J38</f>
        <v>132726038.01448011</v>
      </c>
      <c r="K38" s="714">
        <f>'Revenue (Baht)'!K38-'COST (Baht)'!K38</f>
        <v>200555668.47795454</v>
      </c>
      <c r="L38" s="714">
        <f>'Revenue (Baht)'!L38-'COST (Baht)'!L38</f>
        <v>190980343.7653504</v>
      </c>
      <c r="M38" s="714">
        <f>'Revenue (Baht)'!M38-'COST (Baht)'!M38</f>
        <v>175616135.91487682</v>
      </c>
      <c r="N38" s="714">
        <f>'Revenue (Baht)'!N38-'COST (Baht)'!N38</f>
        <v>164776896.98972064</v>
      </c>
      <c r="O38" s="714">
        <f>'Revenue (Baht)'!O38-'COST (Baht)'!O38</f>
        <v>165507880.82600415</v>
      </c>
      <c r="P38" s="714">
        <f>'Revenue (Baht)'!P38-'COST (Baht)'!P38</f>
        <v>179658207.90522549</v>
      </c>
      <c r="Q38" s="872">
        <f>SUM(E38:P38)</f>
        <v>2039768831.6820862</v>
      </c>
      <c r="AH38" s="44" t="s">
        <v>214</v>
      </c>
      <c r="AI38" s="702"/>
      <c r="AJ38" s="705"/>
      <c r="AK38" s="705"/>
      <c r="AL38" s="705"/>
      <c r="AM38" s="705"/>
      <c r="AN38" s="705"/>
      <c r="AO38" s="705"/>
      <c r="AP38" s="705"/>
      <c r="AQ38" s="705"/>
      <c r="AR38" s="705"/>
      <c r="AS38" s="705"/>
      <c r="AT38" s="705"/>
      <c r="AU38" s="705"/>
      <c r="AV38" s="705"/>
      <c r="AY38" s="44" t="s">
        <v>214</v>
      </c>
      <c r="AZ38" s="702"/>
      <c r="BA38" s="43">
        <v>23377</v>
      </c>
      <c r="BB38" s="43">
        <v>23408</v>
      </c>
      <c r="BC38" s="43">
        <v>23437</v>
      </c>
      <c r="BD38" s="43">
        <v>23468</v>
      </c>
      <c r="BE38" s="43">
        <v>23498</v>
      </c>
      <c r="BF38" s="43">
        <v>23529</v>
      </c>
      <c r="BG38" s="43">
        <v>23559</v>
      </c>
      <c r="BH38" s="43">
        <v>23590</v>
      </c>
      <c r="BI38" s="43">
        <v>23621</v>
      </c>
      <c r="BJ38" s="43">
        <v>23651</v>
      </c>
      <c r="BK38" s="43">
        <v>23682</v>
      </c>
      <c r="BL38" s="43">
        <v>23712</v>
      </c>
      <c r="BM38" s="43" t="s">
        <v>177</v>
      </c>
    </row>
    <row r="39" spans="1:65" ht="15.5">
      <c r="A39" s="867" t="str">
        <f>Table3[[#This Row],[Product]]</f>
        <v>Propane</v>
      </c>
      <c r="B39" s="28" t="s">
        <v>25</v>
      </c>
      <c r="C39" s="35" t="s">
        <v>40</v>
      </c>
      <c r="D39" s="822"/>
      <c r="E39" s="714">
        <f>Table2[[#This Row],[ม.ค.-64]]-Table5[[#This Row],[ม.ค.-64]]</f>
        <v>0</v>
      </c>
      <c r="F39" s="714">
        <f>'Revenue (Baht)'!F39-'COST (Baht)'!F39</f>
        <v>0</v>
      </c>
      <c r="G39" s="714">
        <f>'Revenue (Baht)'!G39-'COST (Baht)'!G39</f>
        <v>0</v>
      </c>
      <c r="H39" s="714">
        <f>'Revenue (Baht)'!H39-'COST (Baht)'!H39</f>
        <v>0</v>
      </c>
      <c r="I39" s="714">
        <f>'Revenue (Baht)'!I39-'COST (Baht)'!I39</f>
        <v>0</v>
      </c>
      <c r="J39" s="714">
        <f>'Revenue (Baht)'!J39-'COST (Baht)'!J39</f>
        <v>0</v>
      </c>
      <c r="K39" s="714">
        <f>'Revenue (Baht)'!K39-'COST (Baht)'!K39</f>
        <v>0</v>
      </c>
      <c r="L39" s="714">
        <f>'Revenue (Baht)'!L39-'COST (Baht)'!L39</f>
        <v>0</v>
      </c>
      <c r="M39" s="714">
        <f>'Revenue (Baht)'!M39-'COST (Baht)'!M39</f>
        <v>0</v>
      </c>
      <c r="N39" s="714">
        <f>'Revenue (Baht)'!N39-'COST (Baht)'!N39</f>
        <v>0</v>
      </c>
      <c r="O39" s="714">
        <f>'Revenue (Baht)'!O39-'COST (Baht)'!O39</f>
        <v>0</v>
      </c>
      <c r="P39" s="714">
        <f>'Revenue (Baht)'!P39-'COST (Baht)'!P39</f>
        <v>0</v>
      </c>
      <c r="Q39" s="872">
        <f t="shared" ref="Q39:Q52" si="36">SUM(E39:P39)</f>
        <v>0</v>
      </c>
      <c r="AH39" t="s">
        <v>217</v>
      </c>
      <c r="AJ39" s="705">
        <f t="shared" ref="AJ39:AU39" si="37">SUM(E53:E55)</f>
        <v>21422569.774507694</v>
      </c>
      <c r="AK39" s="705">
        <f t="shared" si="37"/>
        <v>19626888.94958169</v>
      </c>
      <c r="AL39" s="705">
        <f t="shared" si="37"/>
        <v>71767232.088635057</v>
      </c>
      <c r="AM39" s="705">
        <f t="shared" si="37"/>
        <v>15448376.42499451</v>
      </c>
      <c r="AN39" s="705">
        <f t="shared" si="37"/>
        <v>56069735.97027266</v>
      </c>
      <c r="AO39" s="705">
        <f t="shared" si="37"/>
        <v>30644188.438181408</v>
      </c>
      <c r="AP39" s="705">
        <f t="shared" si="37"/>
        <v>607207072.93072891</v>
      </c>
      <c r="AQ39" s="705">
        <f t="shared" si="37"/>
        <v>298885802.94239402</v>
      </c>
      <c r="AR39" s="705">
        <f t="shared" si="37"/>
        <v>291975410.3117519</v>
      </c>
      <c r="AS39" s="705">
        <f t="shared" si="37"/>
        <v>256373926.10294914</v>
      </c>
      <c r="AT39" s="705">
        <f t="shared" si="37"/>
        <v>259835799.85020256</v>
      </c>
      <c r="AU39" s="705">
        <f t="shared" si="37"/>
        <v>281679847.73079973</v>
      </c>
      <c r="AV39" s="705">
        <f t="shared" si="21"/>
        <v>2210936851.5149994</v>
      </c>
      <c r="AY39" t="s">
        <v>217</v>
      </c>
      <c r="BA39" s="735">
        <f t="shared" ref="BA39:BB41" si="38">BA5/10^6</f>
        <v>8.9765477765854076</v>
      </c>
      <c r="BB39" s="735">
        <f t="shared" si="38"/>
        <v>3.9585407659192606</v>
      </c>
      <c r="BC39" s="735">
        <f t="shared" ref="BC39:BM39" si="39">BC5/10^6</f>
        <v>9.3422869157131014</v>
      </c>
      <c r="BD39" s="735">
        <f t="shared" si="39"/>
        <v>-0.57596657349486646</v>
      </c>
      <c r="BE39" s="735">
        <f t="shared" si="39"/>
        <v>-8.5833315948711331</v>
      </c>
      <c r="BF39" s="735">
        <f t="shared" si="39"/>
        <v>2.2212494629556687</v>
      </c>
      <c r="BG39" s="735">
        <f t="shared" si="39"/>
        <v>1319.3542045352729</v>
      </c>
      <c r="BH39" s="735">
        <f t="shared" si="39"/>
        <v>669.76182685645176</v>
      </c>
      <c r="BI39" s="735">
        <f t="shared" si="39"/>
        <v>656.8260677107038</v>
      </c>
      <c r="BJ39" s="735">
        <f t="shared" si="39"/>
        <v>639.71321383112218</v>
      </c>
      <c r="BK39" s="735">
        <f t="shared" si="39"/>
        <v>635.7112675065373</v>
      </c>
      <c r="BL39" s="735">
        <f t="shared" si="39"/>
        <v>670.51105288904523</v>
      </c>
      <c r="BM39" s="735">
        <f t="shared" si="39"/>
        <v>4607.2169600819416</v>
      </c>
    </row>
    <row r="40" spans="1:65" ht="15.5">
      <c r="A40" s="867" t="str">
        <f>Table3[[#This Row],[Product]]</f>
        <v>Propane</v>
      </c>
      <c r="B40" s="32" t="s">
        <v>34</v>
      </c>
      <c r="C40" s="35" t="s">
        <v>41</v>
      </c>
      <c r="D40" s="822"/>
      <c r="E40" s="714">
        <f>Table2[[#This Row],[ม.ค.-64]]-Table5[[#This Row],[ม.ค.-64]]</f>
        <v>0</v>
      </c>
      <c r="F40" s="714">
        <f>'Revenue (Baht)'!F40-'COST (Baht)'!F40</f>
        <v>0</v>
      </c>
      <c r="G40" s="714">
        <f>'Revenue (Baht)'!G40-'COST (Baht)'!G40</f>
        <v>0</v>
      </c>
      <c r="H40" s="714">
        <f>'Revenue (Baht)'!H40-'COST (Baht)'!H40</f>
        <v>0</v>
      </c>
      <c r="I40" s="714">
        <f>'Revenue (Baht)'!I40-'COST (Baht)'!I40</f>
        <v>0</v>
      </c>
      <c r="J40" s="714">
        <f>'Revenue (Baht)'!J40-'COST (Baht)'!J40</f>
        <v>0</v>
      </c>
      <c r="K40" s="714">
        <f>'Revenue (Baht)'!K40-'COST (Baht)'!K40</f>
        <v>0</v>
      </c>
      <c r="L40" s="714">
        <f>'Revenue (Baht)'!L40-'COST (Baht)'!L40</f>
        <v>0</v>
      </c>
      <c r="M40" s="714">
        <f>'Revenue (Baht)'!M40-'COST (Baht)'!M40</f>
        <v>0</v>
      </c>
      <c r="N40" s="714">
        <f>'Revenue (Baht)'!N40-'COST (Baht)'!N40</f>
        <v>0</v>
      </c>
      <c r="O40" s="714">
        <f>'Revenue (Baht)'!O40-'COST (Baht)'!O40</f>
        <v>0</v>
      </c>
      <c r="P40" s="714">
        <f>'Revenue (Baht)'!P40-'COST (Baht)'!P40</f>
        <v>0</v>
      </c>
      <c r="Q40" s="872">
        <f t="shared" si="36"/>
        <v>0</v>
      </c>
      <c r="AH40" t="s">
        <v>218</v>
      </c>
      <c r="AJ40" s="705">
        <f t="shared" ref="AJ40:AU40" si="40">SUM(E56:E58)</f>
        <v>268274079.91116899</v>
      </c>
      <c r="AK40" s="705">
        <f t="shared" si="40"/>
        <v>195690149.44630036</v>
      </c>
      <c r="AL40" s="705">
        <f t="shared" si="40"/>
        <v>201070777.57308507</v>
      </c>
      <c r="AM40" s="705">
        <f t="shared" si="40"/>
        <v>139055469.13123524</v>
      </c>
      <c r="AN40" s="705">
        <f t="shared" si="40"/>
        <v>175428460.98871511</v>
      </c>
      <c r="AO40" s="705">
        <f t="shared" si="40"/>
        <v>264225511.22690469</v>
      </c>
      <c r="AP40" s="705">
        <f t="shared" si="40"/>
        <v>0</v>
      </c>
      <c r="AQ40" s="705">
        <f t="shared" si="40"/>
        <v>0</v>
      </c>
      <c r="AR40" s="705">
        <f t="shared" si="40"/>
        <v>0</v>
      </c>
      <c r="AS40" s="705">
        <f t="shared" si="40"/>
        <v>0</v>
      </c>
      <c r="AT40" s="705">
        <f t="shared" si="40"/>
        <v>0</v>
      </c>
      <c r="AU40" s="705">
        <f t="shared" si="40"/>
        <v>0</v>
      </c>
      <c r="AV40" s="705">
        <f t="shared" si="21"/>
        <v>1243744448.2774093</v>
      </c>
      <c r="AY40" t="s">
        <v>218</v>
      </c>
      <c r="BA40" s="735">
        <f t="shared" si="38"/>
        <v>112.41298877260584</v>
      </c>
      <c r="BB40" s="735">
        <f t="shared" si="38"/>
        <v>39.468681769278703</v>
      </c>
      <c r="BC40" s="735">
        <f t="shared" ref="BC40:BM40" si="41">BC6/10^6</f>
        <v>26.174353389208676</v>
      </c>
      <c r="BD40" s="735">
        <f t="shared" si="41"/>
        <v>-5.1844478589773777</v>
      </c>
      <c r="BE40" s="735">
        <f t="shared" si="41"/>
        <v>-26.855140759756566</v>
      </c>
      <c r="BF40" s="735">
        <f t="shared" si="41"/>
        <v>19.152433294029951</v>
      </c>
      <c r="BG40" s="735">
        <f t="shared" si="41"/>
        <v>0</v>
      </c>
      <c r="BH40" s="735">
        <f t="shared" si="41"/>
        <v>0</v>
      </c>
      <c r="BI40" s="735">
        <f t="shared" si="41"/>
        <v>0</v>
      </c>
      <c r="BJ40" s="735">
        <f t="shared" si="41"/>
        <v>0</v>
      </c>
      <c r="BK40" s="735">
        <f t="shared" si="41"/>
        <v>0</v>
      </c>
      <c r="BL40" s="735">
        <f t="shared" si="41"/>
        <v>0</v>
      </c>
      <c r="BM40" s="735">
        <f t="shared" si="41"/>
        <v>165.16886860638922</v>
      </c>
    </row>
    <row r="41" spans="1:65" ht="15.5">
      <c r="A41" s="867" t="str">
        <f>Table3[[#This Row],[Product]]</f>
        <v>Propane</v>
      </c>
      <c r="B41" s="28" t="s">
        <v>25</v>
      </c>
      <c r="C41" s="36" t="s">
        <v>42</v>
      </c>
      <c r="D41" s="822"/>
      <c r="E41" s="714">
        <f>Table2[[#This Row],[ม.ค.-64]]-Table5[[#This Row],[ม.ค.-64]]</f>
        <v>311968030.36402774</v>
      </c>
      <c r="F41" s="714">
        <f>'Revenue (Baht)'!F41-'COST (Baht)'!F41</f>
        <v>321255998.67555523</v>
      </c>
      <c r="G41" s="714">
        <f>'Revenue (Baht)'!G41-'COST (Baht)'!G41</f>
        <v>310280179.76210535</v>
      </c>
      <c r="H41" s="714">
        <f>'Revenue (Baht)'!H41-'COST (Baht)'!H41</f>
        <v>201856342.60226804</v>
      </c>
      <c r="I41" s="714">
        <f>'Revenue (Baht)'!I41-'COST (Baht)'!I41</f>
        <v>180596409.80387437</v>
      </c>
      <c r="J41" s="714">
        <f>'Revenue (Baht)'!J41-'COST (Baht)'!J41</f>
        <v>224084980.87026674</v>
      </c>
      <c r="K41" s="714">
        <f>'Revenue (Baht)'!K41-'COST (Baht)'!K41</f>
        <v>232680371.43682295</v>
      </c>
      <c r="L41" s="714">
        <f>'Revenue (Baht)'!L41-'COST (Baht)'!L41</f>
        <v>292357349.90995061</v>
      </c>
      <c r="M41" s="714">
        <f>'Revenue (Baht)'!M41-'COST (Baht)'!M41</f>
        <v>203864871.80403659</v>
      </c>
      <c r="N41" s="714">
        <f>'Revenue (Baht)'!N41-'COST (Baht)'!N41</f>
        <v>0</v>
      </c>
      <c r="O41" s="714">
        <f>'Revenue (Baht)'!O41-'COST (Baht)'!O41</f>
        <v>255031635.77089483</v>
      </c>
      <c r="P41" s="714">
        <f>'Revenue (Baht)'!P41-'COST (Baht)'!P41</f>
        <v>276003153.667548</v>
      </c>
      <c r="Q41" s="872">
        <f t="shared" si="36"/>
        <v>2809979324.6673508</v>
      </c>
      <c r="AH41" t="s">
        <v>220</v>
      </c>
      <c r="AJ41" s="705">
        <f t="shared" ref="AJ41:AU41" si="42">SUM(E59:E66)</f>
        <v>0</v>
      </c>
      <c r="AK41" s="705">
        <f t="shared" si="42"/>
        <v>90636384.665316373</v>
      </c>
      <c r="AL41" s="705">
        <f t="shared" si="42"/>
        <v>19998584.854280546</v>
      </c>
      <c r="AM41" s="705">
        <f t="shared" si="42"/>
        <v>126696216.50084674</v>
      </c>
      <c r="AN41" s="705">
        <f t="shared" si="42"/>
        <v>167757460.91284147</v>
      </c>
      <c r="AO41" s="705">
        <f t="shared" si="42"/>
        <v>123565690.77493292</v>
      </c>
      <c r="AP41" s="705">
        <f t="shared" si="42"/>
        <v>16286469.314331904</v>
      </c>
      <c r="AQ41" s="705">
        <f t="shared" si="42"/>
        <v>15026476.29384467</v>
      </c>
      <c r="AR41" s="705">
        <f t="shared" si="42"/>
        <v>14233365.373532586</v>
      </c>
      <c r="AS41" s="705">
        <f t="shared" si="42"/>
        <v>10501626.504484877</v>
      </c>
      <c r="AT41" s="705">
        <f t="shared" si="42"/>
        <v>10829502.940333202</v>
      </c>
      <c r="AU41" s="705">
        <f t="shared" si="42"/>
        <v>-192610352.17034346</v>
      </c>
      <c r="AV41" s="705">
        <f>SUM(AJ41:AU41)</f>
        <v>402921425.9644019</v>
      </c>
      <c r="AY41" t="s">
        <v>220</v>
      </c>
      <c r="BA41" s="735">
        <f t="shared" si="38"/>
        <v>0</v>
      </c>
      <c r="BB41" s="735">
        <f t="shared" si="38"/>
        <v>-59.34848266801518</v>
      </c>
      <c r="BC41" s="735">
        <f t="shared" ref="BC41:BM41" si="43">BC7/10^6</f>
        <v>-13.41495006188631</v>
      </c>
      <c r="BD41" s="735">
        <f t="shared" si="43"/>
        <v>-94.386150775726264</v>
      </c>
      <c r="BE41" s="735">
        <f t="shared" si="43"/>
        <v>-38.476031534701526</v>
      </c>
      <c r="BF41" s="735">
        <f t="shared" si="43"/>
        <v>-1.5030590445116758</v>
      </c>
      <c r="BG41" s="735">
        <f t="shared" si="43"/>
        <v>48.6</v>
      </c>
      <c r="BH41" s="735">
        <f t="shared" si="43"/>
        <v>47.924999999999997</v>
      </c>
      <c r="BI41" s="735">
        <f t="shared" si="43"/>
        <v>47.024999999999999</v>
      </c>
      <c r="BJ41" s="735">
        <f t="shared" si="43"/>
        <v>44.55</v>
      </c>
      <c r="BK41" s="735">
        <f t="shared" si="43"/>
        <v>45</v>
      </c>
      <c r="BL41" s="735">
        <f t="shared" si="43"/>
        <v>45.674999999999997</v>
      </c>
      <c r="BM41" s="735">
        <f t="shared" si="43"/>
        <v>71.646325915159053</v>
      </c>
    </row>
    <row r="42" spans="1:65" ht="16" thickBot="1">
      <c r="A42" s="867" t="str">
        <f>Table3[[#This Row],[Product]]</f>
        <v>Propane</v>
      </c>
      <c r="B42" s="32" t="s">
        <v>34</v>
      </c>
      <c r="C42" s="36" t="s">
        <v>43</v>
      </c>
      <c r="D42" s="822"/>
      <c r="E42" s="714">
        <f>Table2[[#This Row],[ม.ค.-64]]-Table5[[#This Row],[ม.ค.-64]]</f>
        <v>0</v>
      </c>
      <c r="F42" s="714">
        <f>'Revenue (Baht)'!F42-'COST (Baht)'!F42</f>
        <v>0</v>
      </c>
      <c r="G42" s="714">
        <f>'Revenue (Baht)'!G42-'COST (Baht)'!G42</f>
        <v>0</v>
      </c>
      <c r="H42" s="714">
        <f>'Revenue (Baht)'!H42-'COST (Baht)'!H42</f>
        <v>0</v>
      </c>
      <c r="I42" s="714">
        <f>'Revenue (Baht)'!I42-'COST (Baht)'!I42</f>
        <v>0</v>
      </c>
      <c r="J42" s="714">
        <f>'Revenue (Baht)'!J42-'COST (Baht)'!J42</f>
        <v>0</v>
      </c>
      <c r="K42" s="714">
        <f>'Revenue (Baht)'!K42-'COST (Baht)'!K42</f>
        <v>0</v>
      </c>
      <c r="L42" s="714">
        <f>'Revenue (Baht)'!L42-'COST (Baht)'!L42</f>
        <v>0</v>
      </c>
      <c r="M42" s="714">
        <f>'Revenue (Baht)'!M42-'COST (Baht)'!M42</f>
        <v>0</v>
      </c>
      <c r="N42" s="714">
        <f>'Revenue (Baht)'!N42-'COST (Baht)'!N42</f>
        <v>0</v>
      </c>
      <c r="O42" s="714">
        <f>'Revenue (Baht)'!O42-'COST (Baht)'!O42</f>
        <v>0</v>
      </c>
      <c r="P42" s="714">
        <f>'Revenue (Baht)'!P42-'COST (Baht)'!P42</f>
        <v>0</v>
      </c>
      <c r="Q42" s="872">
        <f t="shared" si="36"/>
        <v>0</v>
      </c>
      <c r="AH42" t="s">
        <v>177</v>
      </c>
      <c r="AJ42" s="705">
        <f>SUM(AJ39:AJ41)</f>
        <v>289696649.68567669</v>
      </c>
      <c r="AK42" s="705">
        <f t="shared" ref="AK42:AU42" si="44">SUM(AK39:AK41)</f>
        <v>305953423.06119841</v>
      </c>
      <c r="AL42" s="705">
        <f t="shared" si="44"/>
        <v>292836594.51600069</v>
      </c>
      <c r="AM42" s="705">
        <f t="shared" si="44"/>
        <v>281200062.05707645</v>
      </c>
      <c r="AN42" s="705">
        <f t="shared" si="44"/>
        <v>399255657.87182927</v>
      </c>
      <c r="AO42" s="705">
        <f t="shared" si="44"/>
        <v>418435390.44001901</v>
      </c>
      <c r="AP42" s="705">
        <f t="shared" si="44"/>
        <v>623493542.2450608</v>
      </c>
      <c r="AQ42" s="705">
        <f t="shared" si="44"/>
        <v>313912279.23623872</v>
      </c>
      <c r="AR42" s="705">
        <f t="shared" si="44"/>
        <v>306208775.6852845</v>
      </c>
      <c r="AS42" s="705">
        <f t="shared" si="44"/>
        <v>266875552.60743403</v>
      </c>
      <c r="AT42" s="705">
        <f t="shared" si="44"/>
        <v>270665302.79053575</v>
      </c>
      <c r="AU42" s="705">
        <f t="shared" si="44"/>
        <v>89069495.560456276</v>
      </c>
      <c r="AV42" s="705">
        <f>SUM(AJ42:AU42)</f>
        <v>3857602725.7568111</v>
      </c>
      <c r="AY42" t="s">
        <v>177</v>
      </c>
      <c r="BA42" s="736">
        <f t="shared" ref="BA42:BL42" si="45">SUM(BA39:BA41)</f>
        <v>121.38953654919125</v>
      </c>
      <c r="BB42" s="736">
        <f t="shared" si="45"/>
        <v>-15.921260132817217</v>
      </c>
      <c r="BC42" s="736">
        <f t="shared" si="45"/>
        <v>22.10169024303547</v>
      </c>
      <c r="BD42" s="736">
        <f t="shared" si="45"/>
        <v>-100.14656520819851</v>
      </c>
      <c r="BE42" s="736">
        <f t="shared" si="45"/>
        <v>-73.914503889329225</v>
      </c>
      <c r="BF42" s="736">
        <f t="shared" si="45"/>
        <v>19.870623712473943</v>
      </c>
      <c r="BG42" s="736">
        <f t="shared" si="45"/>
        <v>1367.9542045352728</v>
      </c>
      <c r="BH42" s="736">
        <f t="shared" si="45"/>
        <v>717.68682685645172</v>
      </c>
      <c r="BI42" s="736">
        <f t="shared" si="45"/>
        <v>703.85106771070377</v>
      </c>
      <c r="BJ42" s="736">
        <f t="shared" si="45"/>
        <v>684.26321383112213</v>
      </c>
      <c r="BK42" s="736">
        <f t="shared" si="45"/>
        <v>680.7112675065373</v>
      </c>
      <c r="BL42" s="736">
        <f t="shared" si="45"/>
        <v>716.18605288904519</v>
      </c>
      <c r="BM42" s="720">
        <f t="shared" ref="BM42:BM65" si="46">SUM(BA42:BL42)</f>
        <v>4844.0321546034884</v>
      </c>
    </row>
    <row r="43" spans="1:65" ht="24" thickBot="1">
      <c r="A43" s="867" t="str">
        <f>Table3[[#This Row],[Product]]</f>
        <v>Propane</v>
      </c>
      <c r="B43" s="28" t="s">
        <v>25</v>
      </c>
      <c r="C43" s="36" t="s">
        <v>44</v>
      </c>
      <c r="D43" s="822"/>
      <c r="E43" s="714">
        <f>Table2[[#This Row],[ม.ค.-64]]-Table5[[#This Row],[ม.ค.-64]]</f>
        <v>85977124.647576749</v>
      </c>
      <c r="F43" s="714">
        <f>'Revenue (Baht)'!F43-'COST (Baht)'!F43</f>
        <v>69186915.520843744</v>
      </c>
      <c r="G43" s="714">
        <f>'Revenue (Baht)'!G43-'COST (Baht)'!G43</f>
        <v>70821230.290703177</v>
      </c>
      <c r="H43" s="714">
        <f>'Revenue (Baht)'!H43-'COST (Baht)'!H43</f>
        <v>80060230.117878348</v>
      </c>
      <c r="I43" s="714">
        <f>'Revenue (Baht)'!I43-'COST (Baht)'!I43</f>
        <v>83165019.085569441</v>
      </c>
      <c r="J43" s="714">
        <f>'Revenue (Baht)'!J43-'COST (Baht)'!J43</f>
        <v>64739078.160047859</v>
      </c>
      <c r="K43" s="714">
        <f>'Revenue (Baht)'!K43-'COST (Baht)'!K43</f>
        <v>2101693.3527077958</v>
      </c>
      <c r="L43" s="714">
        <f>'Revenue (Baht)'!L43-'COST (Baht)'!L43</f>
        <v>35712766.282132357</v>
      </c>
      <c r="M43" s="714">
        <f>'Revenue (Baht)'!M43-'COST (Baht)'!M43</f>
        <v>29249505.692719728</v>
      </c>
      <c r="N43" s="714">
        <f>'Revenue (Baht)'!N43-'COST (Baht)'!N43</f>
        <v>12755479.351577073</v>
      </c>
      <c r="O43" s="714">
        <f>'Revenue (Baht)'!O43-'COST (Baht)'!O43</f>
        <v>14669977.92561245</v>
      </c>
      <c r="P43" s="714">
        <f>'Revenue (Baht)'!P43-'COST (Baht)'!P43</f>
        <v>21840483.964063227</v>
      </c>
      <c r="Q43" s="872">
        <f t="shared" si="36"/>
        <v>570279504.39143181</v>
      </c>
      <c r="AH43" s="44" t="s">
        <v>215</v>
      </c>
      <c r="AI43" s="702"/>
      <c r="AJ43" s="705"/>
      <c r="AK43" s="705"/>
      <c r="AL43" s="705"/>
      <c r="AM43" s="705"/>
      <c r="AN43" s="705"/>
      <c r="AO43" s="705"/>
      <c r="AP43" s="705"/>
      <c r="AQ43" s="705"/>
      <c r="AR43" s="705"/>
      <c r="AS43" s="705"/>
      <c r="AT43" s="705"/>
      <c r="AU43" s="705"/>
      <c r="AV43" s="705"/>
      <c r="AY43" s="784" t="s">
        <v>215</v>
      </c>
      <c r="AZ43" s="770" t="s">
        <v>554</v>
      </c>
      <c r="BA43" s="768">
        <v>23377</v>
      </c>
      <c r="BB43" s="752">
        <v>23408</v>
      </c>
      <c r="BC43" s="752">
        <v>23437</v>
      </c>
      <c r="BD43" s="752">
        <v>23468</v>
      </c>
      <c r="BE43" s="752">
        <v>23498</v>
      </c>
      <c r="BF43" s="752">
        <v>23529</v>
      </c>
      <c r="BG43" s="752">
        <v>23559</v>
      </c>
      <c r="BH43" s="752">
        <v>23590</v>
      </c>
      <c r="BI43" s="752">
        <v>23621</v>
      </c>
      <c r="BJ43" s="752">
        <v>23651</v>
      </c>
      <c r="BK43" s="752">
        <v>23682</v>
      </c>
      <c r="BL43" s="752">
        <v>23712</v>
      </c>
      <c r="BM43" s="758" t="s">
        <v>177</v>
      </c>
    </row>
    <row r="44" spans="1:65" ht="15.5">
      <c r="A44" s="867" t="str">
        <f>Table3[[#This Row],[Product]]</f>
        <v>Propane</v>
      </c>
      <c r="B44" s="32" t="s">
        <v>34</v>
      </c>
      <c r="C44" s="36" t="s">
        <v>45</v>
      </c>
      <c r="D44" s="822"/>
      <c r="E44" s="714">
        <f>Table2[[#This Row],[ม.ค.-64]]-Table5[[#This Row],[ม.ค.-64]]</f>
        <v>0</v>
      </c>
      <c r="F44" s="714">
        <f>'Revenue (Baht)'!F44-'COST (Baht)'!F44</f>
        <v>51781696.432856105</v>
      </c>
      <c r="G44" s="714">
        <f>'Revenue (Baht)'!G44-'COST (Baht)'!G44</f>
        <v>71176634.313755438</v>
      </c>
      <c r="H44" s="714">
        <f>'Revenue (Baht)'!H44-'COST (Baht)'!H44</f>
        <v>25282177.931961589</v>
      </c>
      <c r="I44" s="714">
        <f>'Revenue (Baht)'!I44-'COST (Baht)'!I44</f>
        <v>19837099.357302271</v>
      </c>
      <c r="J44" s="714">
        <f>'Revenue (Baht)'!J44-'COST (Baht)'!J44</f>
        <v>50723624.137711585</v>
      </c>
      <c r="K44" s="714">
        <f>'Revenue (Baht)'!K44-'COST (Baht)'!K44</f>
        <v>0</v>
      </c>
      <c r="L44" s="714">
        <f>'Revenue (Baht)'!L44-'COST (Baht)'!L44</f>
        <v>0</v>
      </c>
      <c r="M44" s="714">
        <f>'Revenue (Baht)'!M44-'COST (Baht)'!M44</f>
        <v>5346281.4280240685</v>
      </c>
      <c r="N44" s="714">
        <f>'Revenue (Baht)'!N44-'COST (Baht)'!N44</f>
        <v>2518605.8547886461</v>
      </c>
      <c r="O44" s="714">
        <f>'Revenue (Baht)'!O44-'COST (Baht)'!O44</f>
        <v>2589695.5603711307</v>
      </c>
      <c r="P44" s="714">
        <f>'Revenue (Baht)'!P44-'COST (Baht)'!P44</f>
        <v>3708691.4525493607</v>
      </c>
      <c r="Q44" s="872">
        <f t="shared" si="36"/>
        <v>232964506.46932024</v>
      </c>
      <c r="AH44" t="s">
        <v>225</v>
      </c>
      <c r="AI44" t="s">
        <v>536</v>
      </c>
      <c r="AJ44" s="705">
        <f t="shared" ref="AJ44:AU44" si="47">SUM(E70)</f>
        <v>2749434.5661095097</v>
      </c>
      <c r="AK44" s="705">
        <f t="shared" si="47"/>
        <v>2724754.2129563647</v>
      </c>
      <c r="AL44" s="705">
        <f t="shared" si="47"/>
        <v>2639232.7716106316</v>
      </c>
      <c r="AM44" s="705">
        <f t="shared" si="47"/>
        <v>2049743.7664542571</v>
      </c>
      <c r="AN44" s="705">
        <f t="shared" si="47"/>
        <v>4343457.5940207606</v>
      </c>
      <c r="AO44" s="705">
        <f t="shared" si="47"/>
        <v>4066600.7389345784</v>
      </c>
      <c r="AP44" s="705">
        <f t="shared" si="47"/>
        <v>2976466.0629251786</v>
      </c>
      <c r="AQ44" s="705">
        <f t="shared" si="47"/>
        <v>3228492.5707715712</v>
      </c>
      <c r="AR44" s="705">
        <f t="shared" si="47"/>
        <v>3076073.6458023936</v>
      </c>
      <c r="AS44" s="705">
        <f t="shared" si="47"/>
        <v>2891290.8871677741</v>
      </c>
      <c r="AT44" s="705">
        <f t="shared" si="47"/>
        <v>2576473.5558144134</v>
      </c>
      <c r="AU44" s="705">
        <f t="shared" si="47"/>
        <v>2383975.5483557172</v>
      </c>
      <c r="AV44" s="705">
        <f>SUM(AJ44:AU44)</f>
        <v>35705995.920923159</v>
      </c>
      <c r="AY44" s="771" t="s">
        <v>225</v>
      </c>
      <c r="AZ44" s="772" t="s">
        <v>536</v>
      </c>
      <c r="BA44" s="773">
        <f>(BA10+(Delivery!V44/Delivery!V$65)*SUM('Margin (Baht)'!E$4:E$6))/10^6</f>
        <v>-4.5620043423592165</v>
      </c>
      <c r="BB44" s="773">
        <f>(BB10+(Delivery!W44/Delivery!W$65)*SUM('Margin (Baht)'!F$4:F$6))/10^6</f>
        <v>-4.2455501767621611</v>
      </c>
      <c r="BC44" s="773">
        <f>(BC10+(Delivery!X44/Delivery!X$65)*SUM('Margin (Baht)'!G$4:G$6))/10^6</f>
        <v>-5.719927811761953</v>
      </c>
      <c r="BD44" s="773">
        <f>(BD10+(Delivery!Y44/Delivery!Y$65)*SUM('Margin (Baht)'!H$4:H$6))/10^6</f>
        <v>-4.0681260100499168</v>
      </c>
      <c r="BE44" s="773">
        <f>(BE10+(Delivery!Z44/Delivery!Z$65)*SUM('Margin (Baht)'!I$4:I$6))/10^6</f>
        <v>-8.2575309095239664</v>
      </c>
      <c r="BF44" s="773">
        <f>(BF10+(Delivery!AA44/Delivery!AA$65)*SUM('Margin (Baht)'!J$4:J$6))/10^6</f>
        <v>-8.8302873006020608</v>
      </c>
      <c r="BG44" s="773">
        <f>(BG10+(Delivery!AB44/Delivery!AB$65)*SUM('Margin (Baht)'!K$4:K$6))/10^6</f>
        <v>-9.0924237693943208</v>
      </c>
      <c r="BH44" s="773">
        <f>(BH10+(Delivery!AC44/Delivery!AC$65)*SUM('Margin (Baht)'!L$4:L$6))/10^6</f>
        <v>-10.438687904768944</v>
      </c>
      <c r="BI44" s="773">
        <f>(BI10+(Delivery!AD44/Delivery!AD$65)*SUM('Margin (Baht)'!M$4:M$6))/10^6</f>
        <v>-9.1729010105235762</v>
      </c>
      <c r="BJ44" s="773">
        <f>(BJ10+(Delivery!AE44/Delivery!AE$65)*SUM('Margin (Baht)'!N$4:N$6))/10^6</f>
        <v>-9.4518161392356301</v>
      </c>
      <c r="BK44" s="773">
        <f>(BK10+(Delivery!AF44/Delivery!AF$65)*SUM('Margin (Baht)'!O$4:O$6))/10^6</f>
        <v>-8.3000028593057742</v>
      </c>
      <c r="BL44" s="773">
        <f>(BL10+(Delivery!AG44/Delivery!AG$65)*SUM('Margin (Baht)'!P$4:P$6))/10^6</f>
        <v>-7.7156096942558845</v>
      </c>
      <c r="BM44" s="774">
        <f t="shared" si="46"/>
        <v>-89.854867928543413</v>
      </c>
    </row>
    <row r="45" spans="1:65" ht="15.5">
      <c r="A45" s="867" t="str">
        <f>Table3[[#This Row],[Product]]</f>
        <v>Propane</v>
      </c>
      <c r="B45" s="28" t="s">
        <v>25</v>
      </c>
      <c r="C45" s="36" t="s">
        <v>46</v>
      </c>
      <c r="D45" s="822"/>
      <c r="E45" s="714">
        <f>Table2[[#This Row],[ม.ค.-64]]-Table5[[#This Row],[ม.ค.-64]]</f>
        <v>0</v>
      </c>
      <c r="F45" s="714">
        <f>'Revenue (Baht)'!F45-'COST (Baht)'!F45</f>
        <v>97998637.126464128</v>
      </c>
      <c r="G45" s="714">
        <f>'Revenue (Baht)'!G45-'COST (Baht)'!G45</f>
        <v>94805683.937519073</v>
      </c>
      <c r="H45" s="714">
        <f>'Revenue (Baht)'!H45-'COST (Baht)'!H45</f>
        <v>-116128829.84172738</v>
      </c>
      <c r="I45" s="714">
        <f>'Revenue (Baht)'!I45-'COST (Baht)'!I45</f>
        <v>31869380.435322285</v>
      </c>
      <c r="J45" s="714">
        <f>'Revenue (Baht)'!J45-'COST (Baht)'!J45</f>
        <v>67218103.880039141</v>
      </c>
      <c r="K45" s="714">
        <f>'Revenue (Baht)'!K45-'COST (Baht)'!K45</f>
        <v>0</v>
      </c>
      <c r="L45" s="714">
        <f>'Revenue (Baht)'!L45-'COST (Baht)'!L45</f>
        <v>42096807.232123382</v>
      </c>
      <c r="M45" s="714">
        <f>'Revenue (Baht)'!M45-'COST (Baht)'!M45</f>
        <v>48785775.7187154</v>
      </c>
      <c r="N45" s="714">
        <f>'Revenue (Baht)'!N45-'COST (Baht)'!N45</f>
        <v>72657807.505304232</v>
      </c>
      <c r="O45" s="714">
        <f>'Revenue (Baht)'!O45-'COST (Baht)'!O45</f>
        <v>37897512.666431554</v>
      </c>
      <c r="P45" s="714">
        <f>'Revenue (Baht)'!P45-'COST (Baht)'!P45</f>
        <v>45876891.844309151</v>
      </c>
      <c r="Q45" s="872">
        <f t="shared" si="36"/>
        <v>423077770.50450099</v>
      </c>
      <c r="AI45" t="s">
        <v>76</v>
      </c>
      <c r="AJ45" s="705">
        <f t="shared" ref="AJ45:AU45" si="48">SUM(E74)</f>
        <v>26310839.289947182</v>
      </c>
      <c r="AK45" s="705">
        <f t="shared" si="48"/>
        <v>2821280.0074316859</v>
      </c>
      <c r="AL45" s="705">
        <f t="shared" si="48"/>
        <v>-23509149.607687742</v>
      </c>
      <c r="AM45" s="705">
        <f t="shared" si="48"/>
        <v>20620447.112745821</v>
      </c>
      <c r="AN45" s="705">
        <f t="shared" si="48"/>
        <v>4287867.2812991738</v>
      </c>
      <c r="AO45" s="705">
        <f t="shared" si="48"/>
        <v>27823921.705721527</v>
      </c>
      <c r="AP45" s="705">
        <f t="shared" si="48"/>
        <v>-22737380.129696727</v>
      </c>
      <c r="AQ45" s="705">
        <f t="shared" si="48"/>
        <v>6764452.1153977811</v>
      </c>
      <c r="AR45" s="705">
        <f t="shared" si="48"/>
        <v>12020527.769544601</v>
      </c>
      <c r="AS45" s="705">
        <f t="shared" si="48"/>
        <v>13389597.401976496</v>
      </c>
      <c r="AT45" s="705">
        <f t="shared" si="48"/>
        <v>14514893.676641047</v>
      </c>
      <c r="AU45" s="705">
        <f t="shared" si="48"/>
        <v>13567435.243385315</v>
      </c>
      <c r="AV45" s="705">
        <f>SUM(AJ45:AU45)</f>
        <v>95874731.866706163</v>
      </c>
      <c r="AY45" s="771"/>
      <c r="AZ45" s="772" t="s">
        <v>76</v>
      </c>
      <c r="BA45" s="773">
        <f>(BA11+(Delivery!V45/Delivery!V$65)*SUM('Margin (Baht)'!E$4:E$6))/10^6</f>
        <v>-139.89917462028362</v>
      </c>
      <c r="BB45" s="773">
        <f>(BB11+(Delivery!W45/Delivery!W$65)*SUM('Margin (Baht)'!F$4:F$6))/10^6</f>
        <v>-99.033264537534166</v>
      </c>
      <c r="BC45" s="773">
        <f>(BC11+(Delivery!X45/Delivery!X$65)*SUM('Margin (Baht)'!G$4:G$6))/10^6</f>
        <v>-224.12500323123703</v>
      </c>
      <c r="BD45" s="773">
        <f>(BD11+(Delivery!Y45/Delivery!Y$65)*SUM('Margin (Baht)'!H$4:H$6))/10^6</f>
        <v>-198.75430079702394</v>
      </c>
      <c r="BE45" s="773">
        <f>(BE11+(Delivery!Z45/Delivery!Z$65)*SUM('Margin (Baht)'!I$4:I$6))/10^6</f>
        <v>-219.5097395717587</v>
      </c>
      <c r="BF45" s="773">
        <f>(BF11+(Delivery!AA45/Delivery!AA$65)*SUM('Margin (Baht)'!J$4:J$6))/10^6</f>
        <v>-152.40947204078626</v>
      </c>
      <c r="BG45" s="773">
        <f>(BG11+(Delivery!AB45/Delivery!AB$65)*SUM('Margin (Baht)'!K$4:K$6))/10^6</f>
        <v>-137.20384328769168</v>
      </c>
      <c r="BH45" s="773">
        <f>(BH11+(Delivery!AC45/Delivery!AC$65)*SUM('Margin (Baht)'!L$4:L$6))/10^6</f>
        <v>-155.0880853793457</v>
      </c>
      <c r="BI45" s="773">
        <f>(BI11+(Delivery!AD45/Delivery!AD$65)*SUM('Margin (Baht)'!M$4:M$6))/10^6</f>
        <v>-173.56294841406972</v>
      </c>
      <c r="BJ45" s="773">
        <f>(BJ11+(Delivery!AE45/Delivery!AE$65)*SUM('Margin (Baht)'!N$4:N$6))/10^6</f>
        <v>-179.85372831095836</v>
      </c>
      <c r="BK45" s="773">
        <f>(BK11+(Delivery!AF45/Delivery!AF$65)*SUM('Margin (Baht)'!O$4:O$6))/10^6</f>
        <v>-174.12887137564616</v>
      </c>
      <c r="BL45" s="773">
        <f>(BL11+(Delivery!AG45/Delivery!AG$65)*SUM('Margin (Baht)'!P$4:P$6))/10^6</f>
        <v>-176.08242988918079</v>
      </c>
      <c r="BM45" s="774">
        <f t="shared" si="46"/>
        <v>-2029.6508614555162</v>
      </c>
    </row>
    <row r="46" spans="1:65" ht="15.5">
      <c r="A46" s="867" t="str">
        <f>Table3[[#This Row],[Product]]</f>
        <v>Propane</v>
      </c>
      <c r="B46" s="32" t="s">
        <v>34</v>
      </c>
      <c r="C46" s="36" t="s">
        <v>47</v>
      </c>
      <c r="D46" s="822"/>
      <c r="E46" s="714">
        <f>Table2[[#This Row],[ม.ค.-64]]-Table5[[#This Row],[ม.ค.-64]]</f>
        <v>0</v>
      </c>
      <c r="F46" s="714">
        <f>'Revenue (Baht)'!F46-'COST (Baht)'!F46</f>
        <v>0</v>
      </c>
      <c r="G46" s="714">
        <f>'Revenue (Baht)'!G46-'COST (Baht)'!G46</f>
        <v>80995859.867813706</v>
      </c>
      <c r="H46" s="714">
        <f>'Revenue (Baht)'!H46-'COST (Baht)'!H46</f>
        <v>195946914.80000001</v>
      </c>
      <c r="I46" s="714">
        <f>'Revenue (Baht)'!I46-'COST (Baht)'!I46</f>
        <v>120176733.16802388</v>
      </c>
      <c r="J46" s="714">
        <f>'Revenue (Baht)'!J46-'COST (Baht)'!J46</f>
        <v>163247334.41130176</v>
      </c>
      <c r="K46" s="714">
        <f>'Revenue (Baht)'!K46-'COST (Baht)'!K46</f>
        <v>205219378.13292918</v>
      </c>
      <c r="L46" s="714">
        <f>'Revenue (Baht)'!L46-'COST (Baht)'!L46</f>
        <v>0</v>
      </c>
      <c r="M46" s="714">
        <f>'Revenue (Baht)'!M46-'COST (Baht)'!M46</f>
        <v>0</v>
      </c>
      <c r="N46" s="714">
        <f>'Revenue (Baht)'!N46-'COST (Baht)'!N46</f>
        <v>0</v>
      </c>
      <c r="O46" s="714">
        <f>'Revenue (Baht)'!O46-'COST (Baht)'!O46</f>
        <v>0</v>
      </c>
      <c r="P46" s="714">
        <f>'Revenue (Baht)'!P46-'COST (Baht)'!P46</f>
        <v>53366109.675767705</v>
      </c>
      <c r="Q46" s="872">
        <f t="shared" si="36"/>
        <v>818952330.0558362</v>
      </c>
      <c r="AI46" t="s">
        <v>537</v>
      </c>
      <c r="AJ46" s="705">
        <f t="shared" ref="AJ46:AU46" si="49">SUM(E73)</f>
        <v>227349879.93788683</v>
      </c>
      <c r="AK46" s="705">
        <f t="shared" si="49"/>
        <v>210312576.34442735</v>
      </c>
      <c r="AL46" s="705">
        <f t="shared" si="49"/>
        <v>140745808.4830991</v>
      </c>
      <c r="AM46" s="705">
        <f t="shared" si="49"/>
        <v>136699397.14490008</v>
      </c>
      <c r="AN46" s="705">
        <f t="shared" si="49"/>
        <v>138833897.21416688</v>
      </c>
      <c r="AO46" s="705">
        <f t="shared" si="49"/>
        <v>83584072.682811856</v>
      </c>
      <c r="AP46" s="705">
        <f t="shared" si="49"/>
        <v>-13801322.84645474</v>
      </c>
      <c r="AQ46" s="705">
        <f t="shared" si="49"/>
        <v>-19402302.243541121</v>
      </c>
      <c r="AR46" s="705">
        <f t="shared" si="49"/>
        <v>-6099774.9419480562</v>
      </c>
      <c r="AS46" s="705">
        <f t="shared" si="49"/>
        <v>121292112.8861059</v>
      </c>
      <c r="AT46" s="705">
        <f t="shared" si="49"/>
        <v>-7236067.004432559</v>
      </c>
      <c r="AU46" s="705">
        <f t="shared" si="49"/>
        <v>-7249647.7190151215</v>
      </c>
      <c r="AV46" s="705">
        <f>SUM(AJ46:AU46)</f>
        <v>1005028629.9380064</v>
      </c>
      <c r="AY46" s="771"/>
      <c r="AZ46" s="775" t="s">
        <v>537</v>
      </c>
      <c r="BA46" s="773">
        <f>(BA12+(Delivery!V46/Delivery!V$65)*SUM('Margin (Baht)'!E$4:E$6))/10^6</f>
        <v>-991.31264611038182</v>
      </c>
      <c r="BB46" s="773">
        <f>(BB12+(Delivery!W46/Delivery!W$65)*SUM('Margin (Baht)'!F$4:F$6))/10^6</f>
        <v>-1079.1462175766358</v>
      </c>
      <c r="BC46" s="773">
        <f>(BC12+(Delivery!X46/Delivery!X$65)*SUM('Margin (Baht)'!G$4:G$6))/10^6</f>
        <v>-1234.4575266320398</v>
      </c>
      <c r="BD46" s="773">
        <f>(BD12+(Delivery!Y46/Delivery!Y$65)*SUM('Margin (Baht)'!H$4:H$6))/10^6</f>
        <v>-1034.6102851044755</v>
      </c>
      <c r="BE46" s="773">
        <f>(BE12+(Delivery!Z46/Delivery!Z$65)*SUM('Margin (Baht)'!I$4:I$6))/10^6</f>
        <v>-982.47799394431183</v>
      </c>
      <c r="BF46" s="773">
        <f>(BF12+(Delivery!AA46/Delivery!AA$65)*SUM('Margin (Baht)'!J$4:J$6))/10^6</f>
        <v>-1002.4738371274675</v>
      </c>
      <c r="BG46" s="773">
        <f>(BG12+(Delivery!AB46/Delivery!AB$65)*SUM('Margin (Baht)'!K$4:K$6))/10^6</f>
        <v>7.3435942019479375E-4</v>
      </c>
      <c r="BH46" s="773">
        <f>(BH12+(Delivery!AC46/Delivery!AC$65)*SUM('Margin (Baht)'!L$4:L$6))/10^6</f>
        <v>7.5116012872380945E-4</v>
      </c>
      <c r="BI46" s="773">
        <f>(BI12+(Delivery!AD46/Delivery!AD$65)*SUM('Margin (Baht)'!M$4:M$6))/10^6</f>
        <v>7.3727765287767461E-4</v>
      </c>
      <c r="BJ46" s="773">
        <f>(BJ12+(Delivery!AE46/Delivery!AE$65)*SUM('Margin (Baht)'!N$4:N$6))/10^6</f>
        <v>7.5588182720552925E-4</v>
      </c>
      <c r="BK46" s="773">
        <f>(BK12+(Delivery!AF46/Delivery!AF$65)*SUM('Margin (Baht)'!O$4:O$6))/10^6</f>
        <v>7.5359306543056124E-4</v>
      </c>
      <c r="BL46" s="773">
        <f>(BL12+(Delivery!AG46/Delivery!AG$65)*SUM('Margin (Baht)'!P$4:P$6))/10^6</f>
        <v>7.7490089864940253E-4</v>
      </c>
      <c r="BM46" s="774">
        <f t="shared" si="46"/>
        <v>-6324.4739993223202</v>
      </c>
    </row>
    <row r="47" spans="1:65" ht="15.5">
      <c r="A47" s="867" t="str">
        <f>Table3[[#This Row],[Product]]</f>
        <v>Propane</v>
      </c>
      <c r="B47" s="28" t="s">
        <v>25</v>
      </c>
      <c r="C47" s="36" t="s">
        <v>48</v>
      </c>
      <c r="D47" s="822"/>
      <c r="E47" s="714">
        <f>Table2[[#This Row],[ม.ค.-64]]-Table5[[#This Row],[ม.ค.-64]]</f>
        <v>0</v>
      </c>
      <c r="F47" s="714">
        <f>'Revenue (Baht)'!F47-'COST (Baht)'!F47</f>
        <v>0</v>
      </c>
      <c r="G47" s="714">
        <f>'Revenue (Baht)'!G47-'COST (Baht)'!G47</f>
        <v>0</v>
      </c>
      <c r="H47" s="714">
        <f>'Revenue (Baht)'!H47-'COST (Baht)'!H47</f>
        <v>0</v>
      </c>
      <c r="I47" s="714">
        <f>'Revenue (Baht)'!I47-'COST (Baht)'!I47</f>
        <v>28090310.924450494</v>
      </c>
      <c r="J47" s="714">
        <f>'Revenue (Baht)'!J47-'COST (Baht)'!J47</f>
        <v>0</v>
      </c>
      <c r="K47" s="714">
        <f>'Revenue (Baht)'!K47-'COST (Baht)'!K47</f>
        <v>0</v>
      </c>
      <c r="L47" s="714">
        <f>'Revenue (Baht)'!L47-'COST (Baht)'!L47</f>
        <v>0</v>
      </c>
      <c r="M47" s="714">
        <f>'Revenue (Baht)'!M47-'COST (Baht)'!M47</f>
        <v>0</v>
      </c>
      <c r="N47" s="714">
        <f>'Revenue (Baht)'!N47-'COST (Baht)'!N47</f>
        <v>0</v>
      </c>
      <c r="O47" s="714">
        <f>'Revenue (Baht)'!O47-'COST (Baht)'!O47</f>
        <v>0</v>
      </c>
      <c r="P47" s="714">
        <f>'Revenue (Baht)'!P47-'COST (Baht)'!P47</f>
        <v>0</v>
      </c>
      <c r="Q47" s="872">
        <f t="shared" si="36"/>
        <v>28090310.924450494</v>
      </c>
      <c r="AI47" t="s">
        <v>276</v>
      </c>
      <c r="AJ47" s="705">
        <f t="shared" ref="AJ47:AU47" si="50">SUM(E71:E72)</f>
        <v>173016864.81738538</v>
      </c>
      <c r="AK47" s="705">
        <f t="shared" si="50"/>
        <v>64430149.388483375</v>
      </c>
      <c r="AL47" s="705">
        <f t="shared" si="50"/>
        <v>42860967.387741029</v>
      </c>
      <c r="AM47" s="705">
        <f t="shared" si="50"/>
        <v>37777373.658041745</v>
      </c>
      <c r="AN47" s="705">
        <f t="shared" si="50"/>
        <v>77592224.663437247</v>
      </c>
      <c r="AO47" s="705">
        <f t="shared" si="50"/>
        <v>44531225.318281889</v>
      </c>
      <c r="AP47" s="705">
        <f t="shared" si="50"/>
        <v>-14715097.830340147</v>
      </c>
      <c r="AQ47" s="705">
        <f t="shared" si="50"/>
        <v>-19136942.117201626</v>
      </c>
      <c r="AR47" s="705">
        <f t="shared" si="50"/>
        <v>-5998942.8121480346</v>
      </c>
      <c r="AS47" s="705">
        <f t="shared" si="50"/>
        <v>116188879.01636866</v>
      </c>
      <c r="AT47" s="705">
        <f t="shared" si="50"/>
        <v>-7129808.1399990916</v>
      </c>
      <c r="AU47" s="705">
        <f t="shared" si="50"/>
        <v>-6988504.5807336569</v>
      </c>
      <c r="AV47" s="705">
        <f>SUM(AJ47:AU47)</f>
        <v>502428388.76931673</v>
      </c>
      <c r="AY47" s="771"/>
      <c r="AZ47" s="775" t="s">
        <v>276</v>
      </c>
      <c r="BA47" s="773">
        <f>(BA13+(Delivery!V47/Delivery!V$65)*SUM('Margin (Baht)'!E$4:E$6))/10^6</f>
        <v>-776.52687321473047</v>
      </c>
      <c r="BB47" s="773">
        <f>(BB13+(Delivery!W47/Delivery!W$65)*SUM('Margin (Baht)'!F$4:F$6))/10^6</f>
        <v>-340.63647249813988</v>
      </c>
      <c r="BC47" s="773">
        <f>(BC13+(Delivery!X47/Delivery!X$65)*SUM('Margin (Baht)'!G$4:G$6))/10^6</f>
        <v>-395.19574210521534</v>
      </c>
      <c r="BD47" s="773">
        <f>(BD13+(Delivery!Y47/Delivery!Y$65)*SUM('Margin (Baht)'!H$4:H$6))/10^6</f>
        <v>-298.54041978277075</v>
      </c>
      <c r="BE47" s="773">
        <f>(BE13+(Delivery!Z47/Delivery!Z$65)*SUM('Margin (Baht)'!I$4:I$6))/10^6</f>
        <v>-574.08706005022691</v>
      </c>
      <c r="BF47" s="773">
        <f>(BF13+(Delivery!AA47/Delivery!AA$65)*SUM('Margin (Baht)'!J$4:J$6))/10^6</f>
        <v>-575.98671979338303</v>
      </c>
      <c r="BG47" s="773">
        <f>(BG13+(Delivery!AB47/Delivery!AB$65)*SUM('Margin (Baht)'!K$4:K$6))/10^6</f>
        <v>7.8298079329215198E-4</v>
      </c>
      <c r="BH47" s="773">
        <f>(BH13+(Delivery!AC47/Delivery!AC$65)*SUM('Margin (Baht)'!L$4:L$6))/10^6</f>
        <v>7.4088671146860751E-4</v>
      </c>
      <c r="BI47" s="773">
        <f>(BI13+(Delivery!AD47/Delivery!AD$65)*SUM('Margin (Baht)'!M$4:M$6))/10^6</f>
        <v>7.2509010879594866E-4</v>
      </c>
      <c r="BJ47" s="773">
        <f>(BJ13+(Delivery!AE47/Delivery!AE$65)*SUM('Margin (Baht)'!N$4:N$6))/10^6</f>
        <v>7.240789205669397E-4</v>
      </c>
      <c r="BK47" s="773">
        <f>(BK13+(Delivery!AF47/Delivery!AF$65)*SUM('Margin (Baht)'!O$4:O$6))/10^6</f>
        <v>7.425268407357773E-4</v>
      </c>
      <c r="BL47" s="773">
        <f>(BL13+(Delivery!AG47/Delivery!AG$65)*SUM('Margin (Baht)'!P$4:P$6))/10^6</f>
        <v>7.4698781095554757E-4</v>
      </c>
      <c r="BM47" s="774">
        <f t="shared" si="46"/>
        <v>-2960.9688248932807</v>
      </c>
    </row>
    <row r="48" spans="1:65" ht="15.5">
      <c r="A48" s="867" t="str">
        <f>Table3[[#This Row],[Product]]</f>
        <v>Propane</v>
      </c>
      <c r="B48" s="32" t="s">
        <v>34</v>
      </c>
      <c r="C48" s="36" t="s">
        <v>49</v>
      </c>
      <c r="D48" s="822"/>
      <c r="E48" s="714">
        <f>Table2[[#This Row],[ม.ค.-64]]-Table5[[#This Row],[ม.ค.-64]]</f>
        <v>0</v>
      </c>
      <c r="F48" s="714">
        <f>'Revenue (Baht)'!F48-'COST (Baht)'!F48</f>
        <v>0</v>
      </c>
      <c r="G48" s="714">
        <f>'Revenue (Baht)'!G48-'COST (Baht)'!G48</f>
        <v>0</v>
      </c>
      <c r="H48" s="714">
        <f>'Revenue (Baht)'!H48-'COST (Baht)'!H48</f>
        <v>0</v>
      </c>
      <c r="I48" s="714">
        <f>'Revenue (Baht)'!I48-'COST (Baht)'!I48</f>
        <v>0</v>
      </c>
      <c r="J48" s="714">
        <f>'Revenue (Baht)'!J48-'COST (Baht)'!J48</f>
        <v>0</v>
      </c>
      <c r="K48" s="714">
        <f>'Revenue (Baht)'!K48-'COST (Baht)'!K48</f>
        <v>0</v>
      </c>
      <c r="L48" s="714">
        <f>'Revenue (Baht)'!L48-'COST (Baht)'!L48</f>
        <v>0</v>
      </c>
      <c r="M48" s="714">
        <f>'Revenue (Baht)'!M48-'COST (Baht)'!M48</f>
        <v>0</v>
      </c>
      <c r="N48" s="714">
        <f>'Revenue (Baht)'!N48-'COST (Baht)'!N48</f>
        <v>0</v>
      </c>
      <c r="O48" s="714">
        <f>'Revenue (Baht)'!O48-'COST (Baht)'!O48</f>
        <v>0</v>
      </c>
      <c r="P48" s="714">
        <f>'Revenue (Baht)'!P48-'COST (Baht)'!P48</f>
        <v>0</v>
      </c>
      <c r="Q48" s="872">
        <f t="shared" si="36"/>
        <v>0</v>
      </c>
      <c r="AI48" t="s">
        <v>538</v>
      </c>
      <c r="AJ48" s="705">
        <f t="shared" ref="AJ48:AU48" si="51">SUM(E75:E76)</f>
        <v>13884761.341412291</v>
      </c>
      <c r="AK48" s="705">
        <f t="shared" si="51"/>
        <v>44643792.382041886</v>
      </c>
      <c r="AL48" s="705">
        <f t="shared" si="51"/>
        <v>40635934.528695002</v>
      </c>
      <c r="AM48" s="705">
        <f t="shared" si="51"/>
        <v>40372303.620477907</v>
      </c>
      <c r="AN48" s="705">
        <f t="shared" si="51"/>
        <v>40290268.522952572</v>
      </c>
      <c r="AO48" s="705">
        <f t="shared" si="51"/>
        <v>25735492.80302082</v>
      </c>
      <c r="AP48" s="705">
        <f t="shared" si="51"/>
        <v>-7168472.4649327733</v>
      </c>
      <c r="AQ48" s="705">
        <f t="shared" si="51"/>
        <v>-8529234.3742372133</v>
      </c>
      <c r="AR48" s="705">
        <f t="shared" si="51"/>
        <v>-5232913.2877987158</v>
      </c>
      <c r="AS48" s="705">
        <f t="shared" si="51"/>
        <v>27334350.929276034</v>
      </c>
      <c r="AT48" s="705">
        <f t="shared" si="51"/>
        <v>-5546106.6430116361</v>
      </c>
      <c r="AU48" s="705">
        <f t="shared" si="51"/>
        <v>-5498054.3983294629</v>
      </c>
      <c r="AV48" s="705">
        <f t="shared" ref="AV48:AV64" si="52">SUM(AJ48:AU48)</f>
        <v>200922122.95956674</v>
      </c>
      <c r="AY48" s="771"/>
      <c r="AZ48" s="775" t="s">
        <v>538</v>
      </c>
      <c r="BA48" s="773">
        <f>(BA14+(Delivery!V48/Delivery!V$65)*SUM('Margin (Baht)'!E$4:E$6))/10^6</f>
        <v>-64.517430458167823</v>
      </c>
      <c r="BB48" s="773">
        <f>(BB14+(Delivery!W48/Delivery!W$65)*SUM('Margin (Baht)'!F$4:F$6))/10^6</f>
        <v>-245.30685590110986</v>
      </c>
      <c r="BC48" s="773">
        <f>(BC14+(Delivery!X48/Delivery!X$65)*SUM('Margin (Baht)'!G$4:G$6))/10^6</f>
        <v>-400.6637907360473</v>
      </c>
      <c r="BD48" s="773">
        <f>(BD14+(Delivery!Y48/Delivery!Y$65)*SUM('Margin (Baht)'!H$4:H$6))/10^6</f>
        <v>-338.11721469939721</v>
      </c>
      <c r="BE48" s="773">
        <f>(BE14+(Delivery!Z48/Delivery!Z$65)*SUM('Margin (Baht)'!I$4:I$6))/10^6</f>
        <v>-316.08722857216844</v>
      </c>
      <c r="BF48" s="773">
        <f>(BF14+(Delivery!AA48/Delivery!AA$65)*SUM('Margin (Baht)'!J$4:J$6))/10^6</f>
        <v>-368.56596621132684</v>
      </c>
      <c r="BG48" s="773">
        <f>(BG14+(Delivery!AB48/Delivery!AB$65)*SUM('Margin (Baht)'!K$4:K$6))/10^6</f>
        <v>1.8492252832372571E-4</v>
      </c>
      <c r="BH48" s="773">
        <f>(BH14+(Delivery!AC48/Delivery!AC$65)*SUM('Margin (Baht)'!L$4:L$6))/10^6</f>
        <v>1.8658194443775766E-4</v>
      </c>
      <c r="BI48" s="773">
        <f>(BI14+(Delivery!AD48/Delivery!AD$65)*SUM('Margin (Baht)'!M$4:M$6))/10^6</f>
        <v>1.8812345398824446E-4</v>
      </c>
      <c r="BJ48" s="773">
        <f>(BJ14+(Delivery!AE48/Delivery!AE$65)*SUM('Margin (Baht)'!N$4:N$6))/10^6</f>
        <v>1.8956916737143938E-4</v>
      </c>
      <c r="BK48" s="773">
        <f>(BK14+(Delivery!AF48/Delivery!AF$65)*SUM('Margin (Baht)'!O$4:O$6))/10^6</f>
        <v>1.9125773390110123E-4</v>
      </c>
      <c r="BL48" s="773">
        <f>(BL14+(Delivery!AG48/Delivery!AG$65)*SUM('Margin (Baht)'!P$4:P$6))/10^6</f>
        <v>1.9125773390110123E-4</v>
      </c>
      <c r="BM48" s="774">
        <f t="shared" si="46"/>
        <v>-1733.2573548656558</v>
      </c>
    </row>
    <row r="49" spans="1:65" ht="15.5">
      <c r="A49" s="867" t="str">
        <f>Table3[[#This Row],[Product]]</f>
        <v>Propane</v>
      </c>
      <c r="B49" s="36" t="s">
        <v>25</v>
      </c>
      <c r="C49" s="35" t="s">
        <v>189</v>
      </c>
      <c r="D49" s="822"/>
      <c r="E49" s="714">
        <f>Table2[[#This Row],[ม.ค.-64]]-Table5[[#This Row],[ม.ค.-64]]</f>
        <v>2627112.022276992</v>
      </c>
      <c r="F49" s="714">
        <f>'Revenue (Baht)'!F49-'COST (Baht)'!F49</f>
        <v>3005906.0453289375</v>
      </c>
      <c r="G49" s="714">
        <f>'Revenue (Baht)'!G49-'COST (Baht)'!G49</f>
        <v>2407432.8870295603</v>
      </c>
      <c r="H49" s="714">
        <f>'Revenue (Baht)'!H49-'COST (Baht)'!H49</f>
        <v>1970034.2295882571</v>
      </c>
      <c r="I49" s="714">
        <f>'Revenue (Baht)'!I49-'COST (Baht)'!I49</f>
        <v>2593947.3670366546</v>
      </c>
      <c r="J49" s="714">
        <f>'Revenue (Baht)'!J49-'COST (Baht)'!J49</f>
        <v>1947939.7211847696</v>
      </c>
      <c r="K49" s="714">
        <f>'Revenue (Baht)'!K49-'COST (Baht)'!K49</f>
        <v>1349686.0272979476</v>
      </c>
      <c r="L49" s="714">
        <f>'Revenue (Baht)'!L49-'COST (Baht)'!L49</f>
        <v>1290556.6056147832</v>
      </c>
      <c r="M49" s="714">
        <f>'Revenue (Baht)'!M49-'COST (Baht)'!M49</f>
        <v>1379744.9766010428</v>
      </c>
      <c r="N49" s="714">
        <f>'Revenue (Baht)'!N49-'COST (Baht)'!N49</f>
        <v>1187453.7194814142</v>
      </c>
      <c r="O49" s="714">
        <f>'Revenue (Baht)'!O49-'COST (Baht)'!O49</f>
        <v>1226311.0409831172</v>
      </c>
      <c r="P49" s="714">
        <f>'Revenue (Baht)'!P49-'COST (Baht)'!P49</f>
        <v>1218930.4248098508</v>
      </c>
      <c r="Q49" s="872">
        <f t="shared" si="36"/>
        <v>22205055.067233324</v>
      </c>
      <c r="AH49" t="s">
        <v>226</v>
      </c>
      <c r="AI49" t="s">
        <v>276</v>
      </c>
      <c r="AJ49" s="705">
        <f t="shared" ref="AJ49:AU50" si="53">SUM(E77)</f>
        <v>92851188.334171146</v>
      </c>
      <c r="AK49" s="705">
        <f t="shared" si="53"/>
        <v>91487350.590292394</v>
      </c>
      <c r="AL49" s="705">
        <f t="shared" si="53"/>
        <v>55489987.980402112</v>
      </c>
      <c r="AM49" s="705">
        <f t="shared" si="53"/>
        <v>58623201.762832344</v>
      </c>
      <c r="AN49" s="705">
        <f t="shared" si="53"/>
        <v>36942647.092557073</v>
      </c>
      <c r="AO49" s="705">
        <f t="shared" si="53"/>
        <v>16955954.179452866</v>
      </c>
      <c r="AP49" s="705">
        <f t="shared" si="53"/>
        <v>-5072268.9831795692</v>
      </c>
      <c r="AQ49" s="705">
        <f t="shared" si="53"/>
        <v>0</v>
      </c>
      <c r="AR49" s="705">
        <f t="shared" si="53"/>
        <v>0</v>
      </c>
      <c r="AS49" s="705">
        <f t="shared" si="53"/>
        <v>0</v>
      </c>
      <c r="AT49" s="705">
        <f t="shared" si="53"/>
        <v>0</v>
      </c>
      <c r="AU49" s="705">
        <f t="shared" si="53"/>
        <v>0</v>
      </c>
      <c r="AV49" s="705">
        <f t="shared" si="52"/>
        <v>347278060.95652843</v>
      </c>
      <c r="AY49" s="771" t="s">
        <v>226</v>
      </c>
      <c r="AZ49" s="775" t="s">
        <v>276</v>
      </c>
      <c r="BA49" s="773">
        <f>(BA15+(Delivery!V49/Delivery!V$65)*SUM('Margin (Baht)'!E$4:E$6))/10^6</f>
        <v>-412.20848993975039</v>
      </c>
      <c r="BB49" s="773">
        <f>(BB15+(Delivery!W49/Delivery!W$65)*SUM('Margin (Baht)'!F$4:F$6))/10^6</f>
        <v>-478.44291018658294</v>
      </c>
      <c r="BC49" s="773">
        <f>(BC15+(Delivery!X49/Delivery!X$65)*SUM('Margin (Baht)'!G$4:G$6))/10^6</f>
        <v>-502.33812237538689</v>
      </c>
      <c r="BD49" s="773">
        <f>(BD15+(Delivery!Y49/Delivery!Y$65)*SUM('Margin (Baht)'!H$4:H$6))/10^6</f>
        <v>-455.85363514764998</v>
      </c>
      <c r="BE49" s="773">
        <f>(BE15+(Delivery!Z49/Delivery!Z$65)*SUM('Margin (Baht)'!I$4:I$6))/10^6</f>
        <v>-268.98139203067177</v>
      </c>
      <c r="BF49" s="773">
        <f>(BF15+(Delivery!AA49/Delivery!AA$65)*SUM('Margin (Baht)'!J$4:J$6))/10^6</f>
        <v>-213.36740807902706</v>
      </c>
      <c r="BG49" s="773">
        <f>(BG15+(Delivery!AB49/Delivery!AB$65)*SUM('Margin (Baht)'!K$4:K$6))/10^6</f>
        <v>3.2953786142287072E-4</v>
      </c>
      <c r="BH49" s="773">
        <f>(BH15+(Delivery!AC49/Delivery!AC$65)*SUM('Margin (Baht)'!L$4:L$6))/10^6</f>
        <v>0</v>
      </c>
      <c r="BI49" s="773">
        <f>(BI15+(Delivery!AD49/Delivery!AD$65)*SUM('Margin (Baht)'!M$4:M$6))/10^6</f>
        <v>0</v>
      </c>
      <c r="BJ49" s="773">
        <f>(BJ15+(Delivery!AE49/Delivery!AE$65)*SUM('Margin (Baht)'!N$4:N$6))/10^6</f>
        <v>0</v>
      </c>
      <c r="BK49" s="773">
        <f>(BK15+(Delivery!AF49/Delivery!AF$65)*SUM('Margin (Baht)'!O$4:O$6))/10^6</f>
        <v>0</v>
      </c>
      <c r="BL49" s="773">
        <f>(BL15+(Delivery!AG49/Delivery!AG$65)*SUM('Margin (Baht)'!P$4:P$6))/10^6</f>
        <v>0</v>
      </c>
      <c r="BM49" s="774">
        <f t="shared" si="46"/>
        <v>-2331.1916282212078</v>
      </c>
    </row>
    <row r="50" spans="1:65" ht="15.5">
      <c r="A50" s="867" t="str">
        <f>Table3[[#This Row],[Product]]</f>
        <v>Propane</v>
      </c>
      <c r="B50" s="36"/>
      <c r="C50" s="33" t="s">
        <v>35</v>
      </c>
      <c r="D50" s="822"/>
      <c r="E50" s="714">
        <f>Table2[[#This Row],[ม.ค.-64]]-Table5[[#This Row],[ม.ค.-64]]</f>
        <v>203502445.40210477</v>
      </c>
      <c r="F50" s="714">
        <f t="shared" ref="F50:P50" si="54">SUM(F38:F40)</f>
        <v>208631159.70156866</v>
      </c>
      <c r="G50" s="714">
        <f t="shared" si="54"/>
        <v>171733271.42117405</v>
      </c>
      <c r="H50" s="714">
        <f t="shared" si="54"/>
        <v>93167669.592348695</v>
      </c>
      <c r="I50" s="714">
        <f t="shared" si="54"/>
        <v>152913113.67127791</v>
      </c>
      <c r="J50" s="714">
        <f t="shared" si="54"/>
        <v>132726038.01448011</v>
      </c>
      <c r="K50" s="714">
        <f t="shared" si="54"/>
        <v>200555668.47795454</v>
      </c>
      <c r="L50" s="714">
        <f t="shared" si="54"/>
        <v>190980343.7653504</v>
      </c>
      <c r="M50" s="714">
        <f t="shared" si="54"/>
        <v>175616135.91487682</v>
      </c>
      <c r="N50" s="714">
        <f t="shared" si="54"/>
        <v>164776896.98972064</v>
      </c>
      <c r="O50" s="714">
        <f t="shared" si="54"/>
        <v>165507880.82600415</v>
      </c>
      <c r="P50" s="714">
        <f t="shared" si="54"/>
        <v>179658207.90522549</v>
      </c>
      <c r="Q50" s="872">
        <f t="shared" si="36"/>
        <v>2039768831.6820862</v>
      </c>
      <c r="AI50" t="s">
        <v>538</v>
      </c>
      <c r="AJ50" s="705">
        <f t="shared" si="53"/>
        <v>0</v>
      </c>
      <c r="AK50" s="705">
        <f t="shared" si="53"/>
        <v>0</v>
      </c>
      <c r="AL50" s="705">
        <f t="shared" si="53"/>
        <v>0</v>
      </c>
      <c r="AM50" s="705">
        <f t="shared" si="53"/>
        <v>0</v>
      </c>
      <c r="AN50" s="705">
        <f t="shared" si="53"/>
        <v>0</v>
      </c>
      <c r="AO50" s="705">
        <f t="shared" si="53"/>
        <v>0</v>
      </c>
      <c r="AP50" s="705">
        <f t="shared" si="53"/>
        <v>0</v>
      </c>
      <c r="AQ50" s="705">
        <f t="shared" si="53"/>
        <v>0</v>
      </c>
      <c r="AR50" s="705">
        <f t="shared" si="53"/>
        <v>0</v>
      </c>
      <c r="AS50" s="705">
        <f t="shared" si="53"/>
        <v>0</v>
      </c>
      <c r="AT50" s="705">
        <f t="shared" si="53"/>
        <v>0</v>
      </c>
      <c r="AU50" s="705">
        <f t="shared" si="53"/>
        <v>0</v>
      </c>
      <c r="AV50" s="705">
        <f t="shared" si="52"/>
        <v>0</v>
      </c>
      <c r="AY50" s="771"/>
      <c r="AZ50" s="775" t="s">
        <v>538</v>
      </c>
      <c r="BA50" s="773">
        <f>(BA16+(Delivery!V50/Delivery!V$65)*SUM('Margin (Baht)'!E$4:E$6))/10^6</f>
        <v>0</v>
      </c>
      <c r="BB50" s="773">
        <f>(BB16+(Delivery!W50/Delivery!W$65)*SUM('Margin (Baht)'!F$4:F$6))/10^6</f>
        <v>0</v>
      </c>
      <c r="BC50" s="773">
        <f>(BC16+(Delivery!X50/Delivery!X$65)*SUM('Margin (Baht)'!G$4:G$6))/10^6</f>
        <v>0</v>
      </c>
      <c r="BD50" s="773">
        <f>(BD16+(Delivery!Y50/Delivery!Y$65)*SUM('Margin (Baht)'!H$4:H$6))/10^6</f>
        <v>0</v>
      </c>
      <c r="BE50" s="773">
        <f>(BE16+(Delivery!Z50/Delivery!Z$65)*SUM('Margin (Baht)'!I$4:I$6))/10^6</f>
        <v>0</v>
      </c>
      <c r="BF50" s="773">
        <f>(BF16+(Delivery!AA50/Delivery!AA$65)*SUM('Margin (Baht)'!J$4:J$6))/10^6</f>
        <v>0</v>
      </c>
      <c r="BG50" s="773">
        <f>(BG16+(Delivery!AB50/Delivery!AB$65)*SUM('Margin (Baht)'!K$4:K$6))/10^6</f>
        <v>0</v>
      </c>
      <c r="BH50" s="773">
        <f>(BH16+(Delivery!AC50/Delivery!AC$65)*SUM('Margin (Baht)'!L$4:L$6))/10^6</f>
        <v>0</v>
      </c>
      <c r="BI50" s="773">
        <f>(BI16+(Delivery!AD50/Delivery!AD$65)*SUM('Margin (Baht)'!M$4:M$6))/10^6</f>
        <v>0</v>
      </c>
      <c r="BJ50" s="773">
        <f>(BJ16+(Delivery!AE50/Delivery!AE$65)*SUM('Margin (Baht)'!N$4:N$6))/10^6</f>
        <v>0</v>
      </c>
      <c r="BK50" s="773">
        <f>(BK16+(Delivery!AF50/Delivery!AF$65)*SUM('Margin (Baht)'!O$4:O$6))/10^6</f>
        <v>0</v>
      </c>
      <c r="BL50" s="773">
        <f>(BL16+(Delivery!AG50/Delivery!AG$65)*SUM('Margin (Baht)'!P$4:P$6))/10^6</f>
        <v>0</v>
      </c>
      <c r="BM50" s="774">
        <f t="shared" si="46"/>
        <v>0</v>
      </c>
    </row>
    <row r="51" spans="1:65" ht="15.5">
      <c r="A51" s="867" t="str">
        <f>Table3[[#This Row],[Product]]</f>
        <v>Propane</v>
      </c>
      <c r="B51" s="36"/>
      <c r="C51" s="33" t="s">
        <v>36</v>
      </c>
      <c r="D51" s="822"/>
      <c r="E51" s="714">
        <f>Table2[[#This Row],[ม.ค.-64]]-Table5[[#This Row],[ม.ค.-64]]</f>
        <v>0</v>
      </c>
      <c r="F51" s="714">
        <f t="shared" ref="F51:P51" si="55">SUM(F45:F48)</f>
        <v>97998637.126464128</v>
      </c>
      <c r="G51" s="714">
        <f t="shared" si="55"/>
        <v>175801543.80533278</v>
      </c>
      <c r="H51" s="714">
        <f t="shared" si="55"/>
        <v>79818084.958272636</v>
      </c>
      <c r="I51" s="714">
        <f t="shared" si="55"/>
        <v>180136424.52779666</v>
      </c>
      <c r="J51" s="714">
        <f t="shared" si="55"/>
        <v>230465438.29134089</v>
      </c>
      <c r="K51" s="714">
        <f t="shared" si="55"/>
        <v>205219378.13292918</v>
      </c>
      <c r="L51" s="714">
        <f t="shared" si="55"/>
        <v>42096807.232123382</v>
      </c>
      <c r="M51" s="714">
        <f t="shared" si="55"/>
        <v>48785775.7187154</v>
      </c>
      <c r="N51" s="714">
        <f t="shared" si="55"/>
        <v>72657807.505304232</v>
      </c>
      <c r="O51" s="714">
        <f t="shared" si="55"/>
        <v>37897512.666431554</v>
      </c>
      <c r="P51" s="714">
        <f t="shared" si="55"/>
        <v>99243001.520076856</v>
      </c>
      <c r="Q51" s="872">
        <f t="shared" si="36"/>
        <v>1270120411.4847877</v>
      </c>
      <c r="AH51" t="s">
        <v>227</v>
      </c>
      <c r="AI51" t="s">
        <v>276</v>
      </c>
      <c r="AJ51" s="705">
        <f t="shared" ref="AJ51:AU52" si="56">SUM(E91)</f>
        <v>55633534.952909559</v>
      </c>
      <c r="AK51" s="705">
        <f t="shared" si="56"/>
        <v>53942816.756125152</v>
      </c>
      <c r="AL51" s="705">
        <f t="shared" si="56"/>
        <v>36630842.912706792</v>
      </c>
      <c r="AM51" s="705">
        <f t="shared" si="56"/>
        <v>32053641.370385468</v>
      </c>
      <c r="AN51" s="705">
        <f t="shared" si="56"/>
        <v>22603596.980903238</v>
      </c>
      <c r="AO51" s="705">
        <f t="shared" si="56"/>
        <v>19816709.908708811</v>
      </c>
      <c r="AP51" s="705">
        <f t="shared" si="56"/>
        <v>-1433983.5895307064</v>
      </c>
      <c r="AQ51" s="705">
        <f t="shared" si="56"/>
        <v>0</v>
      </c>
      <c r="AR51" s="705">
        <f t="shared" si="56"/>
        <v>0</v>
      </c>
      <c r="AS51" s="705">
        <f t="shared" si="56"/>
        <v>0</v>
      </c>
      <c r="AT51" s="705">
        <f t="shared" si="56"/>
        <v>0</v>
      </c>
      <c r="AU51" s="705">
        <f t="shared" si="56"/>
        <v>0</v>
      </c>
      <c r="AV51" s="705">
        <f t="shared" si="52"/>
        <v>219247159.29220831</v>
      </c>
      <c r="AY51" s="771" t="s">
        <v>227</v>
      </c>
      <c r="AZ51" s="775" t="s">
        <v>276</v>
      </c>
      <c r="BA51" s="773">
        <f>(BA17+(Delivery!V51/Delivery!V$65)*SUM('Margin (Baht)'!E$4:E$6))/10^6</f>
        <v>-246.98246561404528</v>
      </c>
      <c r="BB51" s="773">
        <f>(BB17+(Delivery!W51/Delivery!W$65)*SUM('Margin (Baht)'!F$4:F$6))/10^6</f>
        <v>-282.09974454160812</v>
      </c>
      <c r="BC51" s="773">
        <f>(BC17+(Delivery!X51/Delivery!X$65)*SUM('Margin (Baht)'!G$4:G$6))/10^6</f>
        <v>-331.6106114645562</v>
      </c>
      <c r="BD51" s="773">
        <f>(BD17+(Delivery!Y51/Delivery!Y$65)*SUM('Margin (Baht)'!H$4:H$6))/10^6</f>
        <v>-249.24890652299942</v>
      </c>
      <c r="BE51" s="773">
        <f>(BE17+(Delivery!Z51/Delivery!Z$65)*SUM('Margin (Baht)'!I$4:I$6))/10^6</f>
        <v>-164.57800020639499</v>
      </c>
      <c r="BF51" s="773">
        <f>(BF17+(Delivery!AA51/Delivery!AA$65)*SUM('Margin (Baht)'!J$4:J$6))/10^6</f>
        <v>-249.36609200082245</v>
      </c>
      <c r="BG51" s="773">
        <f>(BG17+(Delivery!AB51/Delivery!AB$65)*SUM('Margin (Baht)'!K$4:K$6))/10^6</f>
        <v>9.3163806370777987E-5</v>
      </c>
      <c r="BH51" s="773">
        <f>(BH17+(Delivery!AC51/Delivery!AC$65)*SUM('Margin (Baht)'!L$4:L$6))/10^6</f>
        <v>0</v>
      </c>
      <c r="BI51" s="773">
        <f>(BI17+(Delivery!AD51/Delivery!AD$65)*SUM('Margin (Baht)'!M$4:M$6))/10^6</f>
        <v>0</v>
      </c>
      <c r="BJ51" s="773">
        <f>(BJ17+(Delivery!AE51/Delivery!AE$65)*SUM('Margin (Baht)'!N$4:N$6))/10^6</f>
        <v>0</v>
      </c>
      <c r="BK51" s="773">
        <f>(BK17+(Delivery!AF51/Delivery!AF$65)*SUM('Margin (Baht)'!O$4:O$6))/10^6</f>
        <v>0</v>
      </c>
      <c r="BL51" s="773">
        <f>(BL17+(Delivery!AG51/Delivery!AG$65)*SUM('Margin (Baht)'!P$4:P$6))/10^6</f>
        <v>0</v>
      </c>
      <c r="BM51" s="774">
        <f t="shared" si="46"/>
        <v>-1523.88572718662</v>
      </c>
    </row>
    <row r="52" spans="1:65" ht="15.5">
      <c r="A52" s="867" t="str">
        <f>Table3[[#This Row],[Product]]</f>
        <v>Propane</v>
      </c>
      <c r="B52" s="28"/>
      <c r="C52" s="34" t="s">
        <v>37</v>
      </c>
      <c r="D52" s="822">
        <f>Table2[[#This Row],[ม.ค.-64]]-Table5[[#This Row],[ม.ค.-64]]</f>
        <v>604074712.43598604</v>
      </c>
      <c r="E52" s="955">
        <f>Table2[[#This Row],[ม.ค.-64]]-Table5[[#This Row],[ม.ค.-64]]</f>
        <v>604074712.43598604</v>
      </c>
      <c r="F52" s="714">
        <f t="shared" ref="F52:P52" si="57">SUM(F38:F49)</f>
        <v>751860313.50261676</v>
      </c>
      <c r="G52" s="714">
        <f t="shared" si="57"/>
        <v>802220292.48010027</v>
      </c>
      <c r="H52" s="714">
        <f t="shared" si="57"/>
        <v>482154539.43231761</v>
      </c>
      <c r="I52" s="714">
        <f t="shared" si="57"/>
        <v>619242013.81285739</v>
      </c>
      <c r="J52" s="714">
        <f t="shared" si="57"/>
        <v>704687099.19503188</v>
      </c>
      <c r="K52" s="714">
        <f t="shared" si="57"/>
        <v>641906797.42771244</v>
      </c>
      <c r="L52" s="714">
        <f t="shared" si="57"/>
        <v>562437823.7951715</v>
      </c>
      <c r="M52" s="714">
        <f t="shared" si="57"/>
        <v>464242315.53497368</v>
      </c>
      <c r="N52" s="714">
        <f t="shared" si="57"/>
        <v>253896243.42087197</v>
      </c>
      <c r="O52" s="714">
        <f t="shared" si="57"/>
        <v>476923013.79029721</v>
      </c>
      <c r="P52" s="714">
        <f t="shared" si="57"/>
        <v>581672468.93427265</v>
      </c>
      <c r="Q52" s="872">
        <f t="shared" si="36"/>
        <v>6945317633.7622108</v>
      </c>
      <c r="AI52" t="s">
        <v>538</v>
      </c>
      <c r="AJ52" s="705">
        <f t="shared" si="56"/>
        <v>0</v>
      </c>
      <c r="AK52" s="705">
        <f t="shared" si="56"/>
        <v>0</v>
      </c>
      <c r="AL52" s="705">
        <f t="shared" si="56"/>
        <v>0</v>
      </c>
      <c r="AM52" s="705">
        <f t="shared" si="56"/>
        <v>0</v>
      </c>
      <c r="AN52" s="705">
        <f t="shared" si="56"/>
        <v>0</v>
      </c>
      <c r="AO52" s="705">
        <f t="shared" si="56"/>
        <v>0</v>
      </c>
      <c r="AP52" s="705">
        <f t="shared" si="56"/>
        <v>0</v>
      </c>
      <c r="AQ52" s="705">
        <f t="shared" si="56"/>
        <v>0</v>
      </c>
      <c r="AR52" s="705">
        <f t="shared" si="56"/>
        <v>0</v>
      </c>
      <c r="AS52" s="705">
        <f t="shared" si="56"/>
        <v>0</v>
      </c>
      <c r="AT52" s="705">
        <f t="shared" si="56"/>
        <v>0</v>
      </c>
      <c r="AU52" s="705">
        <f t="shared" si="56"/>
        <v>0</v>
      </c>
      <c r="AV52" s="705">
        <f t="shared" si="52"/>
        <v>0</v>
      </c>
      <c r="AY52" s="771"/>
      <c r="AZ52" s="775" t="s">
        <v>538</v>
      </c>
      <c r="BA52" s="773">
        <f>(BA18+(Delivery!V52/Delivery!V$65)*SUM('Margin (Baht)'!E$4:E$6))/10^6</f>
        <v>0</v>
      </c>
      <c r="BB52" s="773">
        <f>(BB18+(Delivery!W52/Delivery!W$65)*SUM('Margin (Baht)'!F$4:F$6))/10^6</f>
        <v>0</v>
      </c>
      <c r="BC52" s="773">
        <f>(BC18+(Delivery!X52/Delivery!X$65)*SUM('Margin (Baht)'!G$4:G$6))/10^6</f>
        <v>0</v>
      </c>
      <c r="BD52" s="773">
        <f>(BD18+(Delivery!Y52/Delivery!Y$65)*SUM('Margin (Baht)'!H$4:H$6))/10^6</f>
        <v>0</v>
      </c>
      <c r="BE52" s="773">
        <f>(BE18+(Delivery!Z52/Delivery!Z$65)*SUM('Margin (Baht)'!I$4:I$6))/10^6</f>
        <v>0</v>
      </c>
      <c r="BF52" s="773">
        <f>(BF18+(Delivery!AA52/Delivery!AA$65)*SUM('Margin (Baht)'!J$4:J$6))/10^6</f>
        <v>0</v>
      </c>
      <c r="BG52" s="773">
        <f>(BG18+(Delivery!AB52/Delivery!AB$65)*SUM('Margin (Baht)'!K$4:K$6))/10^6</f>
        <v>0</v>
      </c>
      <c r="BH52" s="773">
        <f>(BH18+(Delivery!AC52/Delivery!AC$65)*SUM('Margin (Baht)'!L$4:L$6))/10^6</f>
        <v>0</v>
      </c>
      <c r="BI52" s="773">
        <f>(BI18+(Delivery!AD52/Delivery!AD$65)*SUM('Margin (Baht)'!M$4:M$6))/10^6</f>
        <v>0</v>
      </c>
      <c r="BJ52" s="773">
        <f>(BJ18+(Delivery!AE52/Delivery!AE$65)*SUM('Margin (Baht)'!N$4:N$6))/10^6</f>
        <v>0</v>
      </c>
      <c r="BK52" s="773">
        <f>(BK18+(Delivery!AF52/Delivery!AF$65)*SUM('Margin (Baht)'!O$4:O$6))/10^6</f>
        <v>0</v>
      </c>
      <c r="BL52" s="773">
        <f>(BL18+(Delivery!AG52/Delivery!AG$65)*SUM('Margin (Baht)'!P$4:P$6))/10^6</f>
        <v>0</v>
      </c>
      <c r="BM52" s="774">
        <f t="shared" si="46"/>
        <v>0</v>
      </c>
    </row>
    <row r="53" spans="1:65" ht="15.5">
      <c r="A53" s="866" t="str">
        <f>Table3[[#This Row],[Product]]</f>
        <v>LPG-P</v>
      </c>
      <c r="B53" s="28" t="s">
        <v>25</v>
      </c>
      <c r="C53" s="37" t="s">
        <v>51</v>
      </c>
      <c r="D53" s="822"/>
      <c r="E53" s="714">
        <f>Table2[[#This Row],[ม.ค.-64]]-Table5[[#This Row],[ม.ค.-64]]</f>
        <v>21422569.774507694</v>
      </c>
      <c r="F53" s="714">
        <f>'Revenue (Baht)'!F53-'COST (Baht)'!F53</f>
        <v>19626888.94958169</v>
      </c>
      <c r="G53" s="714">
        <f>'Revenue (Baht)'!G53-'COST (Baht)'!G53</f>
        <v>71767232.088635057</v>
      </c>
      <c r="H53" s="714">
        <f>'Revenue (Baht)'!H53-'COST (Baht)'!H53</f>
        <v>15448376.42499451</v>
      </c>
      <c r="I53" s="714">
        <f>'Revenue (Baht)'!I53-'COST (Baht)'!I53</f>
        <v>56069735.97027266</v>
      </c>
      <c r="J53" s="714">
        <f>'Revenue (Baht)'!J53-'COST (Baht)'!J53</f>
        <v>30644188.438181408</v>
      </c>
      <c r="K53" s="714">
        <f>'Revenue (Baht)'!K53-'COST (Baht)'!K53</f>
        <v>607207072.93072891</v>
      </c>
      <c r="L53" s="714">
        <f>'Revenue (Baht)'!L53-'COST (Baht)'!L53</f>
        <v>298885802.94239402</v>
      </c>
      <c r="M53" s="714">
        <f>'Revenue (Baht)'!M53-'COST (Baht)'!M53</f>
        <v>291975410.3117519</v>
      </c>
      <c r="N53" s="714">
        <f>'Revenue (Baht)'!N53-'COST (Baht)'!N53</f>
        <v>256373926.10294914</v>
      </c>
      <c r="O53" s="714">
        <f>'Revenue (Baht)'!O53-'COST (Baht)'!O53</f>
        <v>259835799.85020256</v>
      </c>
      <c r="P53" s="714">
        <f>'Revenue (Baht)'!P53-'COST (Baht)'!P53</f>
        <v>281679847.73079973</v>
      </c>
      <c r="Q53" s="872">
        <f>SUM(E53:P53)</f>
        <v>2210936851.5149994</v>
      </c>
      <c r="AH53" t="s">
        <v>228</v>
      </c>
      <c r="AI53" t="s">
        <v>276</v>
      </c>
      <c r="AJ53" s="705">
        <f t="shared" ref="AJ53:AU54" si="58">SUM(E79)</f>
        <v>0</v>
      </c>
      <c r="AK53" s="705">
        <f t="shared" si="58"/>
        <v>0</v>
      </c>
      <c r="AL53" s="705">
        <f t="shared" si="58"/>
        <v>0</v>
      </c>
      <c r="AM53" s="705">
        <f t="shared" si="58"/>
        <v>0</v>
      </c>
      <c r="AN53" s="705">
        <f t="shared" si="58"/>
        <v>0</v>
      </c>
      <c r="AO53" s="705">
        <f t="shared" si="58"/>
        <v>0</v>
      </c>
      <c r="AP53" s="705">
        <f t="shared" si="58"/>
        <v>0</v>
      </c>
      <c r="AQ53" s="705">
        <f t="shared" si="58"/>
        <v>0</v>
      </c>
      <c r="AR53" s="705">
        <f t="shared" si="58"/>
        <v>0</v>
      </c>
      <c r="AS53" s="705">
        <f t="shared" si="58"/>
        <v>0</v>
      </c>
      <c r="AT53" s="705">
        <f t="shared" si="58"/>
        <v>0</v>
      </c>
      <c r="AU53" s="705">
        <f t="shared" si="58"/>
        <v>0</v>
      </c>
      <c r="AV53" s="705">
        <f t="shared" si="52"/>
        <v>0</v>
      </c>
      <c r="AY53" s="771" t="s">
        <v>228</v>
      </c>
      <c r="AZ53" s="775" t="s">
        <v>276</v>
      </c>
      <c r="BA53" s="773">
        <f>(BA21+(Delivery!V53/Delivery!V$65)*SUM('Margin (Baht)'!E$4:E$6))/10^6</f>
        <v>0</v>
      </c>
      <c r="BB53" s="773">
        <f>(BB21+(Delivery!W53/Delivery!W$65)*SUM('Margin (Baht)'!F$4:F$6))/10^6</f>
        <v>0</v>
      </c>
      <c r="BC53" s="773">
        <f>(BC21+(Delivery!X53/Delivery!X$65)*SUM('Margin (Baht)'!G$4:G$6))/10^6</f>
        <v>0</v>
      </c>
      <c r="BD53" s="773">
        <f>(BD21+(Delivery!Y53/Delivery!Y$65)*SUM('Margin (Baht)'!H$4:H$6))/10^6</f>
        <v>0</v>
      </c>
      <c r="BE53" s="773">
        <f>(BE21+(Delivery!Z53/Delivery!Z$65)*SUM('Margin (Baht)'!I$4:I$6))/10^6</f>
        <v>0</v>
      </c>
      <c r="BF53" s="773">
        <f>(BF21+(Delivery!AA53/Delivery!AA$65)*SUM('Margin (Baht)'!J$4:J$6))/10^6</f>
        <v>0</v>
      </c>
      <c r="BG53" s="773">
        <f>(BG21+(Delivery!AB53/Delivery!AB$65)*SUM('Margin (Baht)'!K$4:K$6))/10^6</f>
        <v>0</v>
      </c>
      <c r="BH53" s="773">
        <f>(BH21+(Delivery!AC53/Delivery!AC$65)*SUM('Margin (Baht)'!L$4:L$6))/10^6</f>
        <v>0</v>
      </c>
      <c r="BI53" s="773">
        <f>(BI21+(Delivery!AD53/Delivery!AD$65)*SUM('Margin (Baht)'!M$4:M$6))/10^6</f>
        <v>0</v>
      </c>
      <c r="BJ53" s="773">
        <f>(BJ21+(Delivery!AE53/Delivery!AE$65)*SUM('Margin (Baht)'!N$4:N$6))/10^6</f>
        <v>0</v>
      </c>
      <c r="BK53" s="773">
        <f>(BK21+(Delivery!AF53/Delivery!AF$65)*SUM('Margin (Baht)'!O$4:O$6))/10^6</f>
        <v>0</v>
      </c>
      <c r="BL53" s="773">
        <f>(BL21+(Delivery!AG53/Delivery!AG$65)*SUM('Margin (Baht)'!P$4:P$6))/10^6</f>
        <v>0</v>
      </c>
      <c r="BM53" s="774">
        <f t="shared" si="46"/>
        <v>0</v>
      </c>
    </row>
    <row r="54" spans="1:65" ht="15.5">
      <c r="A54" s="866" t="str">
        <f>Table3[[#This Row],[Product]]</f>
        <v>LPG-P</v>
      </c>
      <c r="B54" s="28" t="s">
        <v>25</v>
      </c>
      <c r="C54" s="37" t="s">
        <v>52</v>
      </c>
      <c r="D54" s="822"/>
      <c r="E54" s="714">
        <f>Table2[[#This Row],[ม.ค.-64]]-Table5[[#This Row],[ม.ค.-64]]</f>
        <v>0</v>
      </c>
      <c r="F54" s="714">
        <f>'Revenue (Baht)'!F54-'COST (Baht)'!F54</f>
        <v>0</v>
      </c>
      <c r="G54" s="714">
        <f>'Revenue (Baht)'!G54-'COST (Baht)'!G54</f>
        <v>0</v>
      </c>
      <c r="H54" s="714">
        <f>'Revenue (Baht)'!H54-'COST (Baht)'!H54</f>
        <v>0</v>
      </c>
      <c r="I54" s="714">
        <f>'Revenue (Baht)'!I54-'COST (Baht)'!I54</f>
        <v>0</v>
      </c>
      <c r="J54" s="714">
        <f>'Revenue (Baht)'!J54-'COST (Baht)'!J54</f>
        <v>0</v>
      </c>
      <c r="K54" s="714">
        <f>'Revenue (Baht)'!K54-'COST (Baht)'!K54</f>
        <v>0</v>
      </c>
      <c r="L54" s="714">
        <f>'Revenue (Baht)'!L54-'COST (Baht)'!L54</f>
        <v>0</v>
      </c>
      <c r="M54" s="714">
        <f>'Revenue (Baht)'!M54-'COST (Baht)'!M54</f>
        <v>0</v>
      </c>
      <c r="N54" s="714">
        <f>'Revenue (Baht)'!N54-'COST (Baht)'!N54</f>
        <v>0</v>
      </c>
      <c r="O54" s="714">
        <f>'Revenue (Baht)'!O54-'COST (Baht)'!O54</f>
        <v>0</v>
      </c>
      <c r="P54" s="714">
        <f>'Revenue (Baht)'!P54-'COST (Baht)'!P54</f>
        <v>0</v>
      </c>
      <c r="Q54" s="872">
        <f t="shared" ref="Q54:Q69" si="59">SUM(E54:P54)</f>
        <v>0</v>
      </c>
      <c r="AI54" t="s">
        <v>538</v>
      </c>
      <c r="AJ54" s="705">
        <f t="shared" si="58"/>
        <v>6769346.8661965318</v>
      </c>
      <c r="AK54" s="705">
        <f t="shared" si="58"/>
        <v>0</v>
      </c>
      <c r="AL54" s="705">
        <f t="shared" si="58"/>
        <v>21493977.655752108</v>
      </c>
      <c r="AM54" s="705">
        <f t="shared" si="58"/>
        <v>14694770.987818271</v>
      </c>
      <c r="AN54" s="705">
        <f t="shared" si="58"/>
        <v>18536029.543156713</v>
      </c>
      <c r="AO54" s="705">
        <f t="shared" si="58"/>
        <v>16260211.582448363</v>
      </c>
      <c r="AP54" s="705">
        <f t="shared" si="58"/>
        <v>-3693700.3704688847</v>
      </c>
      <c r="AQ54" s="705">
        <f t="shared" si="58"/>
        <v>-4652011.7540877759</v>
      </c>
      <c r="AR54" s="705">
        <f t="shared" si="58"/>
        <v>-2327177.7916443646</v>
      </c>
      <c r="AS54" s="705">
        <f t="shared" si="58"/>
        <v>20543284.396086574</v>
      </c>
      <c r="AT54" s="705">
        <f t="shared" si="58"/>
        <v>-2536675.4998160005</v>
      </c>
      <c r="AU54" s="705">
        <f t="shared" si="58"/>
        <v>-2502945.9241939485</v>
      </c>
      <c r="AV54" s="705">
        <f t="shared" si="52"/>
        <v>82585109.691247582</v>
      </c>
      <c r="AY54" s="771"/>
      <c r="AZ54" s="775" t="s">
        <v>538</v>
      </c>
      <c r="BA54" s="773">
        <f>(BA22+(Delivery!V54/Delivery!V$65)*SUM('Margin (Baht)'!E$4:E$6))/10^6</f>
        <v>-30.812054588984495</v>
      </c>
      <c r="BB54" s="773">
        <f>(BB22+(Delivery!W54/Delivery!W$65)*SUM('Margin (Baht)'!F$4:F$6))/10^6</f>
        <v>0</v>
      </c>
      <c r="BC54" s="773">
        <f>(BC22+(Delivery!X54/Delivery!X$65)*SUM('Margin (Baht)'!G$4:G$6))/10^6</f>
        <v>-204.7988891189454</v>
      </c>
      <c r="BD54" s="773">
        <f>(BD22+(Delivery!Y54/Delivery!Y$65)*SUM('Margin (Baht)'!H$4:H$6))/10^6</f>
        <v>-118.81155416572211</v>
      </c>
      <c r="BE54" s="773">
        <f>(BE22+(Delivery!Z54/Delivery!Z$65)*SUM('Margin (Baht)'!I$4:I$6))/10^6</f>
        <v>-140.6892292307615</v>
      </c>
      <c r="BF54" s="773">
        <f>(BF22+(Delivery!AA54/Delivery!AA$65)*SUM('Margin (Baht)'!J$4:J$6))/10^6</f>
        <v>-221.30477855031671</v>
      </c>
      <c r="BG54" s="773">
        <f>(BG22+(Delivery!AB54/Delivery!AB$65)*SUM('Margin (Baht)'!K$4:K$6))/10^6</f>
        <v>1.3114178921537655E-4</v>
      </c>
      <c r="BH54" s="773">
        <f>(BH22+(Delivery!AC54/Delivery!AC$65)*SUM('Margin (Baht)'!L$4:L$6))/10^6</f>
        <v>1.3230344795394478E-4</v>
      </c>
      <c r="BI54" s="773">
        <f>(BI22+(Delivery!AD54/Delivery!AD$65)*SUM('Margin (Baht)'!M$4:M$6))/10^6</f>
        <v>1.3339651743179756E-4</v>
      </c>
      <c r="BJ54" s="773">
        <f>(BJ22+(Delivery!AE54/Delivery!AE$65)*SUM('Margin (Baht)'!N$4:N$6))/10^6</f>
        <v>1.3442165877613414E-4</v>
      </c>
      <c r="BK54" s="773">
        <f>(BK22+(Delivery!AF54/Delivery!AF$65)*SUM('Margin (Baht)'!O$4:O$6))/10^6</f>
        <v>1.3560692354018061E-4</v>
      </c>
      <c r="BL54" s="773">
        <f>(BL22+(Delivery!AG54/Delivery!AG$65)*SUM('Margin (Baht)'!P$4:P$6))/10^6</f>
        <v>1.3560692354018061E-4</v>
      </c>
      <c r="BM54" s="774">
        <f t="shared" si="46"/>
        <v>-716.41570317746971</v>
      </c>
    </row>
    <row r="55" spans="1:65" ht="15.5">
      <c r="A55" s="866" t="str">
        <f>Table3[[#This Row],[Product]]</f>
        <v>LPG-P</v>
      </c>
      <c r="B55" s="32" t="s">
        <v>34</v>
      </c>
      <c r="C55" s="37" t="s">
        <v>53</v>
      </c>
      <c r="D55" s="822"/>
      <c r="E55" s="714">
        <f>Table2[[#This Row],[ม.ค.-64]]-Table5[[#This Row],[ม.ค.-64]]</f>
        <v>0</v>
      </c>
      <c r="F55" s="714">
        <f>'Revenue (Baht)'!F55-'COST (Baht)'!F55</f>
        <v>0</v>
      </c>
      <c r="G55" s="714">
        <f>'Revenue (Baht)'!G55-'COST (Baht)'!G55</f>
        <v>0</v>
      </c>
      <c r="H55" s="714">
        <f>'Revenue (Baht)'!H55-'COST (Baht)'!H55</f>
        <v>0</v>
      </c>
      <c r="I55" s="714">
        <f>'Revenue (Baht)'!I55-'COST (Baht)'!I55</f>
        <v>0</v>
      </c>
      <c r="J55" s="714">
        <f>'Revenue (Baht)'!J55-'COST (Baht)'!J55</f>
        <v>0</v>
      </c>
      <c r="K55" s="714">
        <f>'Revenue (Baht)'!K55-'COST (Baht)'!K55</f>
        <v>0</v>
      </c>
      <c r="L55" s="714">
        <f>'Revenue (Baht)'!L55-'COST (Baht)'!L55</f>
        <v>0</v>
      </c>
      <c r="M55" s="714">
        <f>'Revenue (Baht)'!M55-'COST (Baht)'!M55</f>
        <v>0</v>
      </c>
      <c r="N55" s="714">
        <f>'Revenue (Baht)'!N55-'COST (Baht)'!N55</f>
        <v>0</v>
      </c>
      <c r="O55" s="714">
        <f>'Revenue (Baht)'!O55-'COST (Baht)'!O55</f>
        <v>0</v>
      </c>
      <c r="P55" s="714">
        <f>'Revenue (Baht)'!P55-'COST (Baht)'!P55</f>
        <v>0</v>
      </c>
      <c r="Q55" s="872">
        <f t="shared" si="59"/>
        <v>0</v>
      </c>
      <c r="AH55" t="s">
        <v>229</v>
      </c>
      <c r="AI55" t="s">
        <v>276</v>
      </c>
      <c r="AJ55" s="705">
        <f t="shared" ref="AJ55:AU55" si="60">SUM(E82)</f>
        <v>0</v>
      </c>
      <c r="AK55" s="705">
        <f t="shared" si="60"/>
        <v>0</v>
      </c>
      <c r="AL55" s="705">
        <f t="shared" si="60"/>
        <v>0</v>
      </c>
      <c r="AM55" s="705">
        <f t="shared" si="60"/>
        <v>0</v>
      </c>
      <c r="AN55" s="705">
        <f t="shared" si="60"/>
        <v>0</v>
      </c>
      <c r="AO55" s="705">
        <f t="shared" si="60"/>
        <v>0</v>
      </c>
      <c r="AP55" s="705">
        <f t="shared" si="60"/>
        <v>0</v>
      </c>
      <c r="AQ55" s="705">
        <f t="shared" si="60"/>
        <v>0</v>
      </c>
      <c r="AR55" s="705">
        <f t="shared" si="60"/>
        <v>0</v>
      </c>
      <c r="AS55" s="705">
        <f t="shared" si="60"/>
        <v>0</v>
      </c>
      <c r="AT55" s="705">
        <f t="shared" si="60"/>
        <v>0</v>
      </c>
      <c r="AU55" s="705">
        <f t="shared" si="60"/>
        <v>0</v>
      </c>
      <c r="AV55" s="705">
        <f t="shared" si="52"/>
        <v>0</v>
      </c>
      <c r="AY55" s="771" t="s">
        <v>229</v>
      </c>
      <c r="AZ55" s="775" t="s">
        <v>276</v>
      </c>
      <c r="BA55" s="773">
        <f>(BA23+(Delivery!V55/Delivery!V$65)*SUM('Margin (Baht)'!E$4:E$6))/10^6</f>
        <v>0</v>
      </c>
      <c r="BB55" s="773">
        <f>(BB23+(Delivery!W55/Delivery!W$65)*SUM('Margin (Baht)'!F$4:F$6))/10^6</f>
        <v>0</v>
      </c>
      <c r="BC55" s="773">
        <f>(BC23+(Delivery!X55/Delivery!X$65)*SUM('Margin (Baht)'!G$4:G$6))/10^6</f>
        <v>0</v>
      </c>
      <c r="BD55" s="773">
        <f>(BD23+(Delivery!Y55/Delivery!Y$65)*SUM('Margin (Baht)'!H$4:H$6))/10^6</f>
        <v>0</v>
      </c>
      <c r="BE55" s="773">
        <f>(BE23+(Delivery!Z55/Delivery!Z$65)*SUM('Margin (Baht)'!I$4:I$6))/10^6</f>
        <v>0</v>
      </c>
      <c r="BF55" s="773">
        <f>(BF23+(Delivery!AA55/Delivery!AA$65)*SUM('Margin (Baht)'!J$4:J$6))/10^6</f>
        <v>0</v>
      </c>
      <c r="BG55" s="773">
        <f>(BG23+(Delivery!AB55/Delivery!AB$65)*SUM('Margin (Baht)'!K$4:K$6))/10^6</f>
        <v>0</v>
      </c>
      <c r="BH55" s="773">
        <f>(BH23+(Delivery!AC55/Delivery!AC$65)*SUM('Margin (Baht)'!L$4:L$6))/10^6</f>
        <v>0</v>
      </c>
      <c r="BI55" s="773">
        <f>(BI23+(Delivery!AD55/Delivery!AD$65)*SUM('Margin (Baht)'!M$4:M$6))/10^6</f>
        <v>0</v>
      </c>
      <c r="BJ55" s="773">
        <f>(BJ23+(Delivery!AE55/Delivery!AE$65)*SUM('Margin (Baht)'!N$4:N$6))/10^6</f>
        <v>0</v>
      </c>
      <c r="BK55" s="773">
        <f>(BK23+(Delivery!AF55/Delivery!AF$65)*SUM('Margin (Baht)'!O$4:O$6))/10^6</f>
        <v>0</v>
      </c>
      <c r="BL55" s="773">
        <f>(BL23+(Delivery!AG55/Delivery!AG$65)*SUM('Margin (Baht)'!P$4:P$6))/10^6</f>
        <v>0</v>
      </c>
      <c r="BM55" s="774">
        <f t="shared" si="46"/>
        <v>0</v>
      </c>
    </row>
    <row r="56" spans="1:65" ht="15.5">
      <c r="A56" s="866" t="str">
        <f>Table3[[#This Row],[Product]]</f>
        <v>LPG-P</v>
      </c>
      <c r="B56" s="28" t="s">
        <v>25</v>
      </c>
      <c r="C56" s="37" t="s">
        <v>54</v>
      </c>
      <c r="D56" s="822"/>
      <c r="E56" s="714">
        <f>Table2[[#This Row],[ม.ค.-64]]-Table5[[#This Row],[ม.ค.-64]]</f>
        <v>268274079.91116899</v>
      </c>
      <c r="F56" s="714">
        <f>'Revenue (Baht)'!F56-'COST (Baht)'!F56</f>
        <v>195690149.44630036</v>
      </c>
      <c r="G56" s="714">
        <f>'Revenue (Baht)'!G56-'COST (Baht)'!G56</f>
        <v>201070777.57308507</v>
      </c>
      <c r="H56" s="714">
        <f>'Revenue (Baht)'!H56-'COST (Baht)'!H56</f>
        <v>139055469.13123524</v>
      </c>
      <c r="I56" s="714">
        <f>'Revenue (Baht)'!I56-'COST (Baht)'!I56</f>
        <v>175428460.98871511</v>
      </c>
      <c r="J56" s="714">
        <f>'Revenue (Baht)'!J56-'COST (Baht)'!J56</f>
        <v>264225511.22690469</v>
      </c>
      <c r="K56" s="714">
        <f>'Revenue (Baht)'!K56-'COST (Baht)'!K56</f>
        <v>0</v>
      </c>
      <c r="L56" s="714">
        <f>'Revenue (Baht)'!L56-'COST (Baht)'!L56</f>
        <v>0</v>
      </c>
      <c r="M56" s="714">
        <f>'Revenue (Baht)'!M56-'COST (Baht)'!M56</f>
        <v>0</v>
      </c>
      <c r="N56" s="714">
        <f>'Revenue (Baht)'!N56-'COST (Baht)'!N56</f>
        <v>0</v>
      </c>
      <c r="O56" s="714">
        <f>'Revenue (Baht)'!O56-'COST (Baht)'!O56</f>
        <v>0</v>
      </c>
      <c r="P56" s="714">
        <f>'Revenue (Baht)'!P56-'COST (Baht)'!P56</f>
        <v>0</v>
      </c>
      <c r="Q56" s="872">
        <f t="shared" si="59"/>
        <v>1243744448.2774093</v>
      </c>
      <c r="AI56" t="s">
        <v>538</v>
      </c>
      <c r="AJ56" s="705">
        <f t="shared" ref="AJ56:AU56" si="61">SUM(E83:E84)</f>
        <v>6058261.3585083093</v>
      </c>
      <c r="AK56" s="705">
        <f t="shared" si="61"/>
        <v>10497672.984876972</v>
      </c>
      <c r="AL56" s="705">
        <f t="shared" si="61"/>
        <v>10146751.609658677</v>
      </c>
      <c r="AM56" s="705">
        <f t="shared" si="61"/>
        <v>11405686.29610116</v>
      </c>
      <c r="AN56" s="705">
        <f t="shared" si="61"/>
        <v>9773156.3559412342</v>
      </c>
      <c r="AO56" s="705">
        <f t="shared" si="61"/>
        <v>7027055.39625418</v>
      </c>
      <c r="AP56" s="705">
        <f t="shared" si="61"/>
        <v>-771960.94027602207</v>
      </c>
      <c r="AQ56" s="705">
        <f t="shared" si="61"/>
        <v>-1143433.9093299173</v>
      </c>
      <c r="AR56" s="705">
        <f t="shared" si="61"/>
        <v>-240589.76988122705</v>
      </c>
      <c r="AS56" s="705">
        <f t="shared" si="61"/>
        <v>8593136.198629152</v>
      </c>
      <c r="AT56" s="705">
        <f t="shared" si="61"/>
        <v>-316407.14353911392</v>
      </c>
      <c r="AU56" s="705">
        <f t="shared" si="61"/>
        <v>-303386.53530265763</v>
      </c>
      <c r="AV56" s="705">
        <f t="shared" si="52"/>
        <v>60725941.901640758</v>
      </c>
      <c r="AY56" s="771"/>
      <c r="AZ56" s="775" t="s">
        <v>538</v>
      </c>
      <c r="BA56" s="773">
        <f>(BA24+(Delivery!V56/Delivery!V$65)*SUM('Margin (Baht)'!E$4:E$6))/10^6</f>
        <v>-25.272739180541617</v>
      </c>
      <c r="BB56" s="773">
        <f>(BB24+(Delivery!W56/Delivery!W$65)*SUM('Margin (Baht)'!F$4:F$6))/10^6</f>
        <v>-52.316501566473747</v>
      </c>
      <c r="BC56" s="773">
        <f>(BC24+(Delivery!X56/Delivery!X$65)*SUM('Margin (Baht)'!G$4:G$6))/10^6</f>
        <v>-84.885869043937831</v>
      </c>
      <c r="BD56" s="773">
        <f>(BD24+(Delivery!Y56/Delivery!Y$65)*SUM('Margin (Baht)'!H$4:H$6))/10^6</f>
        <v>-82.703330008798105</v>
      </c>
      <c r="BE56" s="773">
        <f>(BE24+(Delivery!Z56/Delivery!Z$65)*SUM('Margin (Baht)'!I$4:I$6))/10^6</f>
        <v>-66.126861668989719</v>
      </c>
      <c r="BF56" s="773">
        <f>(BF24+(Delivery!AA56/Delivery!AA$65)*SUM('Margin (Baht)'!J$4:J$6))/10^6</f>
        <v>-78.807393228027777</v>
      </c>
      <c r="BG56" s="773">
        <f>(BG24+(Delivery!AB56/Delivery!AB$65)*SUM('Margin (Baht)'!K$4:K$6))/10^6</f>
        <v>5.1278503789554025E-5</v>
      </c>
      <c r="BH56" s="773">
        <f>(BH24+(Delivery!AC56/Delivery!AC$65)*SUM('Margin (Baht)'!L$4:L$6))/10^6</f>
        <v>5.1725401639726764E-5</v>
      </c>
      <c r="BI56" s="773">
        <f>(BI24+(Delivery!AD56/Delivery!AD$65)*SUM('Margin (Baht)'!M$4:M$6))/10^6</f>
        <v>5.2152748459756274E-5</v>
      </c>
      <c r="BJ56" s="773">
        <f>(BJ24+(Delivery!AE56/Delivery!AE$65)*SUM('Margin (Baht)'!N$4:N$6))/10^6</f>
        <v>5.2553538073279871E-5</v>
      </c>
      <c r="BK56" s="773">
        <f>(BK24+(Delivery!AF56/Delivery!AF$65)*SUM('Margin (Baht)'!O$4:O$6))/10^6</f>
        <v>5.3011085132930176E-5</v>
      </c>
      <c r="BL56" s="773">
        <f>(BL24+(Delivery!AG56/Delivery!AG$65)*SUM('Margin (Baht)'!P$4:P$6))/10^6</f>
        <v>5.3011085132930176E-5</v>
      </c>
      <c r="BM56" s="774">
        <f t="shared" si="46"/>
        <v>-390.1123809644065</v>
      </c>
    </row>
    <row r="57" spans="1:65" ht="15.5">
      <c r="A57" s="866" t="str">
        <f>Table3[[#This Row],[Product]]</f>
        <v>LPG-P</v>
      </c>
      <c r="B57" s="28" t="s">
        <v>25</v>
      </c>
      <c r="C57" s="37" t="s">
        <v>55</v>
      </c>
      <c r="D57" s="822"/>
      <c r="E57" s="714">
        <f>Table2[[#This Row],[ม.ค.-64]]-Table5[[#This Row],[ม.ค.-64]]</f>
        <v>0</v>
      </c>
      <c r="F57" s="714">
        <f>'Revenue (Baht)'!F57-'COST (Baht)'!F57</f>
        <v>0</v>
      </c>
      <c r="G57" s="714">
        <f>'Revenue (Baht)'!G57-'COST (Baht)'!G57</f>
        <v>0</v>
      </c>
      <c r="H57" s="714">
        <f>'Revenue (Baht)'!H57-'COST (Baht)'!H57</f>
        <v>0</v>
      </c>
      <c r="I57" s="714">
        <f>'Revenue (Baht)'!I57-'COST (Baht)'!I57</f>
        <v>0</v>
      </c>
      <c r="J57" s="714">
        <f>'Revenue (Baht)'!J57-'COST (Baht)'!J57</f>
        <v>0</v>
      </c>
      <c r="K57" s="714">
        <f>'Revenue (Baht)'!K57-'COST (Baht)'!K57</f>
        <v>0</v>
      </c>
      <c r="L57" s="714">
        <f>'Revenue (Baht)'!L57-'COST (Baht)'!L57</f>
        <v>0</v>
      </c>
      <c r="M57" s="714">
        <f>'Revenue (Baht)'!M57-'COST (Baht)'!M57</f>
        <v>0</v>
      </c>
      <c r="N57" s="714">
        <f>'Revenue (Baht)'!N57-'COST (Baht)'!N57</f>
        <v>0</v>
      </c>
      <c r="O57" s="714">
        <f>'Revenue (Baht)'!O57-'COST (Baht)'!O57</f>
        <v>0</v>
      </c>
      <c r="P57" s="714">
        <f>'Revenue (Baht)'!P57-'COST (Baht)'!P57</f>
        <v>0</v>
      </c>
      <c r="Q57" s="872">
        <f t="shared" si="59"/>
        <v>0</v>
      </c>
      <c r="AH57" t="s">
        <v>133</v>
      </c>
      <c r="AI57" t="s">
        <v>276</v>
      </c>
      <c r="AJ57" s="705">
        <f t="shared" ref="AJ57:AU58" si="62">SUM(E89)</f>
        <v>0</v>
      </c>
      <c r="AK57" s="705">
        <f t="shared" si="62"/>
        <v>0</v>
      </c>
      <c r="AL57" s="705">
        <f t="shared" si="62"/>
        <v>0</v>
      </c>
      <c r="AM57" s="705">
        <f t="shared" si="62"/>
        <v>0</v>
      </c>
      <c r="AN57" s="705">
        <f t="shared" si="62"/>
        <v>0</v>
      </c>
      <c r="AO57" s="705">
        <f t="shared" si="62"/>
        <v>0</v>
      </c>
      <c r="AP57" s="705">
        <f t="shared" si="62"/>
        <v>0</v>
      </c>
      <c r="AQ57" s="705">
        <f t="shared" si="62"/>
        <v>0</v>
      </c>
      <c r="AR57" s="705">
        <f t="shared" si="62"/>
        <v>0</v>
      </c>
      <c r="AS57" s="705">
        <f t="shared" si="62"/>
        <v>0</v>
      </c>
      <c r="AT57" s="705">
        <f t="shared" si="62"/>
        <v>0</v>
      </c>
      <c r="AU57" s="705">
        <f t="shared" si="62"/>
        <v>0</v>
      </c>
      <c r="AV57" s="705">
        <f t="shared" si="52"/>
        <v>0</v>
      </c>
      <c r="AY57" s="771" t="s">
        <v>133</v>
      </c>
      <c r="AZ57" s="775" t="s">
        <v>276</v>
      </c>
      <c r="BA57" s="773">
        <f>(BA25+(Delivery!V57/Delivery!V$65)*SUM('Margin (Baht)'!E$4:E$6))/10^6</f>
        <v>0</v>
      </c>
      <c r="BB57" s="773">
        <f>(BB25+(Delivery!W57/Delivery!W$65)*SUM('Margin (Baht)'!F$4:F$6))/10^6</f>
        <v>0</v>
      </c>
      <c r="BC57" s="773">
        <f>(BC25+(Delivery!X57/Delivery!X$65)*SUM('Margin (Baht)'!G$4:G$6))/10^6</f>
        <v>0</v>
      </c>
      <c r="BD57" s="773">
        <f>(BD25+(Delivery!Y57/Delivery!Y$65)*SUM('Margin (Baht)'!H$4:H$6))/10^6</f>
        <v>0</v>
      </c>
      <c r="BE57" s="773">
        <f>(BE25+(Delivery!Z57/Delivery!Z$65)*SUM('Margin (Baht)'!I$4:I$6))/10^6</f>
        <v>0</v>
      </c>
      <c r="BF57" s="773">
        <f>(BF25+(Delivery!AA57/Delivery!AA$65)*SUM('Margin (Baht)'!J$4:J$6))/10^6</f>
        <v>0</v>
      </c>
      <c r="BG57" s="773">
        <f>(BG25+(Delivery!AB57/Delivery!AB$65)*SUM('Margin (Baht)'!K$4:K$6))/10^6</f>
        <v>0</v>
      </c>
      <c r="BH57" s="773">
        <f>(BH25+(Delivery!AC57/Delivery!AC$65)*SUM('Margin (Baht)'!L$4:L$6))/10^6</f>
        <v>0</v>
      </c>
      <c r="BI57" s="773">
        <f>(BI25+(Delivery!AD57/Delivery!AD$65)*SUM('Margin (Baht)'!M$4:M$6))/10^6</f>
        <v>0</v>
      </c>
      <c r="BJ57" s="773">
        <f>(BJ25+(Delivery!AE57/Delivery!AE$65)*SUM('Margin (Baht)'!N$4:N$6))/10^6</f>
        <v>0</v>
      </c>
      <c r="BK57" s="773">
        <f>(BK25+(Delivery!AF57/Delivery!AF$65)*SUM('Margin (Baht)'!O$4:O$6))/10^6</f>
        <v>0</v>
      </c>
      <c r="BL57" s="773">
        <f>(BL25+(Delivery!AG57/Delivery!AG$65)*SUM('Margin (Baht)'!P$4:P$6))/10^6</f>
        <v>0</v>
      </c>
      <c r="BM57" s="774">
        <f t="shared" si="46"/>
        <v>0</v>
      </c>
    </row>
    <row r="58" spans="1:65" ht="15.5">
      <c r="A58" s="866" t="str">
        <f>Table3[[#This Row],[Product]]</f>
        <v>LPG-P</v>
      </c>
      <c r="B58" s="32" t="s">
        <v>34</v>
      </c>
      <c r="C58" s="37" t="s">
        <v>56</v>
      </c>
      <c r="D58" s="822"/>
      <c r="E58" s="714">
        <f>Table2[[#This Row],[ม.ค.-64]]-Table5[[#This Row],[ม.ค.-64]]</f>
        <v>0</v>
      </c>
      <c r="F58" s="714">
        <f>'Revenue (Baht)'!F58-'COST (Baht)'!F58</f>
        <v>0</v>
      </c>
      <c r="G58" s="714">
        <f>'Revenue (Baht)'!G58-'COST (Baht)'!G58</f>
        <v>0</v>
      </c>
      <c r="H58" s="714">
        <f>'Revenue (Baht)'!H58-'COST (Baht)'!H58</f>
        <v>0</v>
      </c>
      <c r="I58" s="714">
        <f>'Revenue (Baht)'!I58-'COST (Baht)'!I58</f>
        <v>0</v>
      </c>
      <c r="J58" s="714">
        <f>'Revenue (Baht)'!J58-'COST (Baht)'!J58</f>
        <v>0</v>
      </c>
      <c r="K58" s="714">
        <f>'Revenue (Baht)'!K58-'COST (Baht)'!K58</f>
        <v>0</v>
      </c>
      <c r="L58" s="714">
        <f>'Revenue (Baht)'!L58-'COST (Baht)'!L58</f>
        <v>0</v>
      </c>
      <c r="M58" s="714">
        <f>'Revenue (Baht)'!M58-'COST (Baht)'!M58</f>
        <v>0</v>
      </c>
      <c r="N58" s="714">
        <f>'Revenue (Baht)'!N58-'COST (Baht)'!N58</f>
        <v>0</v>
      </c>
      <c r="O58" s="714">
        <f>'Revenue (Baht)'!O58-'COST (Baht)'!O58</f>
        <v>0</v>
      </c>
      <c r="P58" s="714">
        <f>'Revenue (Baht)'!P58-'COST (Baht)'!P58</f>
        <v>0</v>
      </c>
      <c r="Q58" s="872">
        <f t="shared" si="59"/>
        <v>0</v>
      </c>
      <c r="AI58" t="s">
        <v>538</v>
      </c>
      <c r="AJ58" s="705">
        <f t="shared" si="62"/>
        <v>0</v>
      </c>
      <c r="AK58" s="705">
        <f t="shared" si="62"/>
        <v>0</v>
      </c>
      <c r="AL58" s="705">
        <f t="shared" si="62"/>
        <v>0</v>
      </c>
      <c r="AM58" s="705">
        <f t="shared" si="62"/>
        <v>0</v>
      </c>
      <c r="AN58" s="705">
        <f t="shared" si="62"/>
        <v>0</v>
      </c>
      <c r="AO58" s="705">
        <f t="shared" si="62"/>
        <v>0</v>
      </c>
      <c r="AP58" s="705">
        <f t="shared" si="62"/>
        <v>0</v>
      </c>
      <c r="AQ58" s="705">
        <f t="shared" si="62"/>
        <v>0</v>
      </c>
      <c r="AR58" s="705">
        <f t="shared" si="62"/>
        <v>0</v>
      </c>
      <c r="AS58" s="705">
        <f t="shared" si="62"/>
        <v>0</v>
      </c>
      <c r="AT58" s="705">
        <f t="shared" si="62"/>
        <v>0</v>
      </c>
      <c r="AU58" s="705">
        <f t="shared" si="62"/>
        <v>0</v>
      </c>
      <c r="AV58" s="705">
        <f t="shared" si="52"/>
        <v>0</v>
      </c>
      <c r="AY58" s="771"/>
      <c r="AZ58" s="775" t="s">
        <v>538</v>
      </c>
      <c r="BA58" s="773">
        <f>(BA26+(Delivery!V58/Delivery!V$65)*SUM('Margin (Baht)'!E$4:E$6))/10^6</f>
        <v>0</v>
      </c>
      <c r="BB58" s="773">
        <f>(BB26+(Delivery!W58/Delivery!W$65)*SUM('Margin (Baht)'!F$4:F$6))/10^6</f>
        <v>0</v>
      </c>
      <c r="BC58" s="773">
        <f>(BC26+(Delivery!X58/Delivery!X$65)*SUM('Margin (Baht)'!G$4:G$6))/10^6</f>
        <v>0</v>
      </c>
      <c r="BD58" s="773">
        <f>(BD26+(Delivery!Y58/Delivery!Y$65)*SUM('Margin (Baht)'!H$4:H$6))/10^6</f>
        <v>0</v>
      </c>
      <c r="BE58" s="773">
        <f>(BE26+(Delivery!Z58/Delivery!Z$65)*SUM('Margin (Baht)'!I$4:I$6))/10^6</f>
        <v>0</v>
      </c>
      <c r="BF58" s="773">
        <f>(BF26+(Delivery!AA58/Delivery!AA$65)*SUM('Margin (Baht)'!J$4:J$6))/10^6</f>
        <v>0</v>
      </c>
      <c r="BG58" s="773">
        <f>(BG26+(Delivery!AB58/Delivery!AB$65)*SUM('Margin (Baht)'!K$4:K$6))/10^6</f>
        <v>0</v>
      </c>
      <c r="BH58" s="773">
        <f>(BH26+(Delivery!AC58/Delivery!AC$65)*SUM('Margin (Baht)'!L$4:L$6))/10^6</f>
        <v>0</v>
      </c>
      <c r="BI58" s="773">
        <f>(BI26+(Delivery!AD58/Delivery!AD$65)*SUM('Margin (Baht)'!M$4:M$6))/10^6</f>
        <v>0</v>
      </c>
      <c r="BJ58" s="773">
        <f>(BJ26+(Delivery!AE58/Delivery!AE$65)*SUM('Margin (Baht)'!N$4:N$6))/10^6</f>
        <v>0</v>
      </c>
      <c r="BK58" s="773">
        <f>(BK26+(Delivery!AF58/Delivery!AF$65)*SUM('Margin (Baht)'!O$4:O$6))/10^6</f>
        <v>0</v>
      </c>
      <c r="BL58" s="773">
        <f>(BL26+(Delivery!AG58/Delivery!AG$65)*SUM('Margin (Baht)'!P$4:P$6))/10^6</f>
        <v>0</v>
      </c>
      <c r="BM58" s="774">
        <f t="shared" si="46"/>
        <v>0</v>
      </c>
    </row>
    <row r="59" spans="1:65" ht="15.5">
      <c r="A59" s="866" t="str">
        <f>Table3[[#This Row],[Product]]</f>
        <v>LPG-P</v>
      </c>
      <c r="B59" s="28" t="s">
        <v>25</v>
      </c>
      <c r="C59" s="28" t="s">
        <v>57</v>
      </c>
      <c r="D59" s="822"/>
      <c r="E59" s="714">
        <f>Table2[[#This Row],[ม.ค.-64]]-Table5[[#This Row],[ม.ค.-64]]</f>
        <v>0</v>
      </c>
      <c r="F59" s="714">
        <f>'Revenue (Baht)'!F59-'COST (Baht)'!F59</f>
        <v>0</v>
      </c>
      <c r="G59" s="714">
        <f>'Revenue (Baht)'!G59-'COST (Baht)'!G59</f>
        <v>19998584.854280546</v>
      </c>
      <c r="H59" s="714">
        <f>'Revenue (Baht)'!H59-'COST (Baht)'!H59</f>
        <v>104505380.07169348</v>
      </c>
      <c r="I59" s="714">
        <f>'Revenue (Baht)'!I59-'COST (Baht)'!I59</f>
        <v>123846740.38218102</v>
      </c>
      <c r="J59" s="714">
        <f>'Revenue (Baht)'!J59-'COST (Baht)'!J59</f>
        <v>123565690.77493292</v>
      </c>
      <c r="K59" s="714">
        <f>'Revenue (Baht)'!K59-'COST (Baht)'!K59</f>
        <v>16286469.314331904</v>
      </c>
      <c r="L59" s="714">
        <f>'Revenue (Baht)'!L59-'COST (Baht)'!L59</f>
        <v>15026476.29384467</v>
      </c>
      <c r="M59" s="714">
        <f>'Revenue (Baht)'!M59-'COST (Baht)'!M59</f>
        <v>14233365.373532586</v>
      </c>
      <c r="N59" s="714">
        <f>'Revenue (Baht)'!N59-'COST (Baht)'!N59</f>
        <v>10501626.504484877</v>
      </c>
      <c r="O59" s="714">
        <f>'Revenue (Baht)'!O59-'COST (Baht)'!O59</f>
        <v>10829502.940333202</v>
      </c>
      <c r="P59" s="714">
        <f>'Revenue (Baht)'!P59-'COST (Baht)'!P59</f>
        <v>11466976.085784853</v>
      </c>
      <c r="Q59" s="872">
        <f t="shared" si="59"/>
        <v>450260812.59540004</v>
      </c>
      <c r="AH59" t="s">
        <v>230</v>
      </c>
      <c r="AI59" t="s">
        <v>276</v>
      </c>
      <c r="AJ59" s="705">
        <f t="shared" ref="AJ59:AU60" si="63">SUM(E93)</f>
        <v>0</v>
      </c>
      <c r="AK59" s="705">
        <f t="shared" si="63"/>
        <v>0</v>
      </c>
      <c r="AL59" s="705">
        <f t="shared" si="63"/>
        <v>0</v>
      </c>
      <c r="AM59" s="705">
        <f t="shared" si="63"/>
        <v>0</v>
      </c>
      <c r="AN59" s="705">
        <f t="shared" si="63"/>
        <v>0</v>
      </c>
      <c r="AO59" s="705">
        <f t="shared" si="63"/>
        <v>0</v>
      </c>
      <c r="AP59" s="705">
        <f t="shared" si="63"/>
        <v>0</v>
      </c>
      <c r="AQ59" s="705">
        <f t="shared" si="63"/>
        <v>0</v>
      </c>
      <c r="AR59" s="705">
        <f t="shared" si="63"/>
        <v>0</v>
      </c>
      <c r="AS59" s="705">
        <f t="shared" si="63"/>
        <v>0</v>
      </c>
      <c r="AT59" s="705">
        <f t="shared" si="63"/>
        <v>0</v>
      </c>
      <c r="AU59" s="705">
        <f t="shared" si="63"/>
        <v>0</v>
      </c>
      <c r="AV59" s="705">
        <f t="shared" si="52"/>
        <v>0</v>
      </c>
      <c r="AY59" s="771" t="s">
        <v>230</v>
      </c>
      <c r="AZ59" s="775" t="s">
        <v>276</v>
      </c>
      <c r="BA59" s="773">
        <f>(BA27+(Delivery!V59/Delivery!V$65)*SUM('Margin (Baht)'!E$4:E$6))/10^6</f>
        <v>0</v>
      </c>
      <c r="BB59" s="773">
        <f>(BB27+(Delivery!W59/Delivery!W$65)*SUM('Margin (Baht)'!F$4:F$6))/10^6</f>
        <v>0</v>
      </c>
      <c r="BC59" s="773">
        <f>(BC27+(Delivery!X59/Delivery!X$65)*SUM('Margin (Baht)'!G$4:G$6))/10^6</f>
        <v>0</v>
      </c>
      <c r="BD59" s="773">
        <f>(BD27+(Delivery!Y59/Delivery!Y$65)*SUM('Margin (Baht)'!H$4:H$6))/10^6</f>
        <v>0</v>
      </c>
      <c r="BE59" s="773">
        <f>(BE27+(Delivery!Z59/Delivery!Z$65)*SUM('Margin (Baht)'!I$4:I$6))/10^6</f>
        <v>0</v>
      </c>
      <c r="BF59" s="773">
        <f>(BF27+(Delivery!AA59/Delivery!AA$65)*SUM('Margin (Baht)'!J$4:J$6))/10^6</f>
        <v>0</v>
      </c>
      <c r="BG59" s="773">
        <f>(BG27+(Delivery!AB59/Delivery!AB$65)*SUM('Margin (Baht)'!K$4:K$6))/10^6</f>
        <v>0</v>
      </c>
      <c r="BH59" s="773">
        <f>(BH27+(Delivery!AC59/Delivery!AC$65)*SUM('Margin (Baht)'!L$4:L$6))/10^6</f>
        <v>0</v>
      </c>
      <c r="BI59" s="773">
        <f>(BI27+(Delivery!AD59/Delivery!AD$65)*SUM('Margin (Baht)'!M$4:M$6))/10^6</f>
        <v>0</v>
      </c>
      <c r="BJ59" s="773">
        <f>(BJ27+(Delivery!AE59/Delivery!AE$65)*SUM('Margin (Baht)'!N$4:N$6))/10^6</f>
        <v>0</v>
      </c>
      <c r="BK59" s="773">
        <f>(BK27+(Delivery!AF59/Delivery!AF$65)*SUM('Margin (Baht)'!O$4:O$6))/10^6</f>
        <v>0</v>
      </c>
      <c r="BL59" s="773">
        <f>(BL27+(Delivery!AG59/Delivery!AG$65)*SUM('Margin (Baht)'!P$4:P$6))/10^6</f>
        <v>0</v>
      </c>
      <c r="BM59" s="774">
        <f t="shared" si="46"/>
        <v>0</v>
      </c>
    </row>
    <row r="60" spans="1:65" ht="15.5">
      <c r="A60" s="866" t="str">
        <f>Table3[[#This Row],[Product]]</f>
        <v>LPG-P</v>
      </c>
      <c r="B60" s="28" t="s">
        <v>25</v>
      </c>
      <c r="C60" s="28" t="s">
        <v>58</v>
      </c>
      <c r="D60" s="822"/>
      <c r="E60" s="714">
        <f>Table2[[#This Row],[ม.ค.-64]]-Table5[[#This Row],[ม.ค.-64]]</f>
        <v>0</v>
      </c>
      <c r="F60" s="714">
        <f>'Revenue (Baht)'!F60-'COST (Baht)'!F60</f>
        <v>0</v>
      </c>
      <c r="G60" s="714">
        <f>'Revenue (Baht)'!G60-'COST (Baht)'!G60</f>
        <v>0</v>
      </c>
      <c r="H60" s="714">
        <f>'Revenue (Baht)'!H60-'COST (Baht)'!H60</f>
        <v>0</v>
      </c>
      <c r="I60" s="714">
        <f>'Revenue (Baht)'!I60-'COST (Baht)'!I60</f>
        <v>0</v>
      </c>
      <c r="J60" s="714">
        <f>'Revenue (Baht)'!J60-'COST (Baht)'!J60</f>
        <v>0</v>
      </c>
      <c r="K60" s="714">
        <f>'Revenue (Baht)'!K60-'COST (Baht)'!K60</f>
        <v>0</v>
      </c>
      <c r="L60" s="714">
        <f>'Revenue (Baht)'!L60-'COST (Baht)'!L60</f>
        <v>0</v>
      </c>
      <c r="M60" s="714">
        <f>'Revenue (Baht)'!M60-'COST (Baht)'!M60</f>
        <v>0</v>
      </c>
      <c r="N60" s="714">
        <f>'Revenue (Baht)'!N60-'COST (Baht)'!N60</f>
        <v>0</v>
      </c>
      <c r="O60" s="714">
        <f>'Revenue (Baht)'!O60-'COST (Baht)'!O60</f>
        <v>0</v>
      </c>
      <c r="P60" s="714">
        <f>'Revenue (Baht)'!P60-'COST (Baht)'!P60</f>
        <v>0</v>
      </c>
      <c r="Q60" s="872">
        <f t="shared" si="59"/>
        <v>0</v>
      </c>
      <c r="AI60" t="s">
        <v>538</v>
      </c>
      <c r="AJ60" s="705">
        <f t="shared" si="63"/>
        <v>0</v>
      </c>
      <c r="AK60" s="705">
        <f t="shared" si="63"/>
        <v>0</v>
      </c>
      <c r="AL60" s="705">
        <f t="shared" si="63"/>
        <v>0</v>
      </c>
      <c r="AM60" s="705">
        <f t="shared" si="63"/>
        <v>0</v>
      </c>
      <c r="AN60" s="705">
        <f t="shared" si="63"/>
        <v>0</v>
      </c>
      <c r="AO60" s="705">
        <f t="shared" si="63"/>
        <v>0</v>
      </c>
      <c r="AP60" s="705">
        <f t="shared" si="63"/>
        <v>0</v>
      </c>
      <c r="AQ60" s="705">
        <f t="shared" si="63"/>
        <v>0</v>
      </c>
      <c r="AR60" s="705">
        <f t="shared" si="63"/>
        <v>0</v>
      </c>
      <c r="AS60" s="705">
        <f t="shared" si="63"/>
        <v>0</v>
      </c>
      <c r="AT60" s="705">
        <f t="shared" si="63"/>
        <v>0</v>
      </c>
      <c r="AU60" s="705">
        <f t="shared" si="63"/>
        <v>0</v>
      </c>
      <c r="AV60" s="705">
        <f t="shared" si="52"/>
        <v>0</v>
      </c>
      <c r="AY60" s="771"/>
      <c r="AZ60" s="775" t="s">
        <v>538</v>
      </c>
      <c r="BA60" s="773">
        <f>(BA28+(Delivery!V60/Delivery!V$65)*SUM('Margin (Baht)'!E$4:E$6))/10^6</f>
        <v>0</v>
      </c>
      <c r="BB60" s="773">
        <f>(BB28+(Delivery!W60/Delivery!W$65)*SUM('Margin (Baht)'!F$4:F$6))/10^6</f>
        <v>0</v>
      </c>
      <c r="BC60" s="773">
        <f>(BC28+(Delivery!X60/Delivery!X$65)*SUM('Margin (Baht)'!G$4:G$6))/10^6</f>
        <v>0</v>
      </c>
      <c r="BD60" s="773">
        <f>(BD28+(Delivery!Y60/Delivery!Y$65)*SUM('Margin (Baht)'!H$4:H$6))/10^6</f>
        <v>0</v>
      </c>
      <c r="BE60" s="773">
        <f>(BE28+(Delivery!Z60/Delivery!Z$65)*SUM('Margin (Baht)'!I$4:I$6))/10^6</f>
        <v>0</v>
      </c>
      <c r="BF60" s="773">
        <f>(BF28+(Delivery!AA60/Delivery!AA$65)*SUM('Margin (Baht)'!J$4:J$6))/10^6</f>
        <v>0</v>
      </c>
      <c r="BG60" s="773">
        <f>(BG28+(Delivery!AB60/Delivery!AB$65)*SUM('Margin (Baht)'!K$4:K$6))/10^6</f>
        <v>0</v>
      </c>
      <c r="BH60" s="773">
        <f>(BH28+(Delivery!AC60/Delivery!AC$65)*SUM('Margin (Baht)'!L$4:L$6))/10^6</f>
        <v>0</v>
      </c>
      <c r="BI60" s="773">
        <f>(BI28+(Delivery!AD60/Delivery!AD$65)*SUM('Margin (Baht)'!M$4:M$6))/10^6</f>
        <v>0</v>
      </c>
      <c r="BJ60" s="773">
        <f>(BJ28+(Delivery!AE60/Delivery!AE$65)*SUM('Margin (Baht)'!N$4:N$6))/10^6</f>
        <v>0</v>
      </c>
      <c r="BK60" s="773">
        <f>(BK28+(Delivery!AF60/Delivery!AF$65)*SUM('Margin (Baht)'!O$4:O$6))/10^6</f>
        <v>0</v>
      </c>
      <c r="BL60" s="773">
        <f>(BL28+(Delivery!AG60/Delivery!AG$65)*SUM('Margin (Baht)'!P$4:P$6))/10^6</f>
        <v>0</v>
      </c>
      <c r="BM60" s="774">
        <f t="shared" si="46"/>
        <v>0</v>
      </c>
    </row>
    <row r="61" spans="1:65" ht="15.5">
      <c r="A61" s="866" t="str">
        <f>Table3[[#This Row],[Product]]</f>
        <v>LPG-P</v>
      </c>
      <c r="B61" s="28" t="s">
        <v>25</v>
      </c>
      <c r="C61" s="28" t="s">
        <v>59</v>
      </c>
      <c r="D61" s="822"/>
      <c r="E61" s="714">
        <f>Table2[[#This Row],[ม.ค.-64]]-Table5[[#This Row],[ม.ค.-64]]</f>
        <v>0</v>
      </c>
      <c r="F61" s="714">
        <f>'Revenue (Baht)'!F61-'COST (Baht)'!F61</f>
        <v>0</v>
      </c>
      <c r="G61" s="714">
        <f>'Revenue (Baht)'!G61-'COST (Baht)'!G61</f>
        <v>0</v>
      </c>
      <c r="H61" s="714">
        <f>'Revenue (Baht)'!H61-'COST (Baht)'!H61</f>
        <v>0</v>
      </c>
      <c r="I61" s="714">
        <f>'Revenue (Baht)'!I61-'COST (Baht)'!I61</f>
        <v>0</v>
      </c>
      <c r="J61" s="714">
        <f>'Revenue (Baht)'!J61-'COST (Baht)'!J61</f>
        <v>0</v>
      </c>
      <c r="K61" s="714">
        <f>'Revenue (Baht)'!K61-'COST (Baht)'!K61</f>
        <v>0</v>
      </c>
      <c r="L61" s="714">
        <f>'Revenue (Baht)'!L61-'COST (Baht)'!L61</f>
        <v>0</v>
      </c>
      <c r="M61" s="714">
        <f>'Revenue (Baht)'!M61-'COST (Baht)'!M61</f>
        <v>0</v>
      </c>
      <c r="N61" s="714">
        <f>'Revenue (Baht)'!N61-'COST (Baht)'!N61</f>
        <v>0</v>
      </c>
      <c r="O61" s="714">
        <f>'Revenue (Baht)'!O61-'COST (Baht)'!O61</f>
        <v>0</v>
      </c>
      <c r="P61" s="714">
        <f>'Revenue (Baht)'!P61-'COST (Baht)'!P61</f>
        <v>0</v>
      </c>
      <c r="Q61" s="872">
        <f t="shared" si="59"/>
        <v>0</v>
      </c>
      <c r="AH61" t="s">
        <v>231</v>
      </c>
      <c r="AI61" t="s">
        <v>276</v>
      </c>
      <c r="AJ61" s="705">
        <f t="shared" ref="AJ61:AU64" si="64">SUM(E85)</f>
        <v>0</v>
      </c>
      <c r="AK61" s="705">
        <f t="shared" si="64"/>
        <v>0</v>
      </c>
      <c r="AL61" s="705">
        <f t="shared" si="64"/>
        <v>0</v>
      </c>
      <c r="AM61" s="705">
        <f t="shared" si="64"/>
        <v>0</v>
      </c>
      <c r="AN61" s="705">
        <f t="shared" si="64"/>
        <v>0</v>
      </c>
      <c r="AO61" s="705">
        <f t="shared" si="64"/>
        <v>0</v>
      </c>
      <c r="AP61" s="705">
        <f t="shared" si="64"/>
        <v>0</v>
      </c>
      <c r="AQ61" s="705">
        <f t="shared" si="64"/>
        <v>0</v>
      </c>
      <c r="AR61" s="705">
        <f t="shared" si="64"/>
        <v>0</v>
      </c>
      <c r="AS61" s="705">
        <f t="shared" si="64"/>
        <v>0</v>
      </c>
      <c r="AT61" s="705">
        <f t="shared" si="64"/>
        <v>0</v>
      </c>
      <c r="AU61" s="705">
        <f t="shared" si="64"/>
        <v>0</v>
      </c>
      <c r="AV61" s="705">
        <f t="shared" si="52"/>
        <v>0</v>
      </c>
      <c r="AY61" s="771" t="s">
        <v>231</v>
      </c>
      <c r="AZ61" s="775" t="s">
        <v>276</v>
      </c>
      <c r="BA61" s="773">
        <f>(BA29+(Delivery!V61/Delivery!V$65)*SUM('Margin (Baht)'!E$4:E$6))/10^6</f>
        <v>0</v>
      </c>
      <c r="BB61" s="773">
        <f>(BB29+(Delivery!W61/Delivery!W$65)*SUM('Margin (Baht)'!F$4:F$6))/10^6</f>
        <v>0</v>
      </c>
      <c r="BC61" s="773">
        <f>(BC29+(Delivery!X61/Delivery!X$65)*SUM('Margin (Baht)'!G$4:G$6))/10^6</f>
        <v>0</v>
      </c>
      <c r="BD61" s="773">
        <f>(BD29+(Delivery!Y61/Delivery!Y$65)*SUM('Margin (Baht)'!H$4:H$6))/10^6</f>
        <v>0</v>
      </c>
      <c r="BE61" s="773">
        <f>(BE29+(Delivery!Z61/Delivery!Z$65)*SUM('Margin (Baht)'!I$4:I$6))/10^6</f>
        <v>0</v>
      </c>
      <c r="BF61" s="773">
        <f>(BF29+(Delivery!AA61/Delivery!AA$65)*SUM('Margin (Baht)'!J$4:J$6))/10^6</f>
        <v>0</v>
      </c>
      <c r="BG61" s="773">
        <f>(BG29+(Delivery!AB61/Delivery!AB$65)*SUM('Margin (Baht)'!K$4:K$6))/10^6</f>
        <v>0</v>
      </c>
      <c r="BH61" s="773">
        <f>(BH29+(Delivery!AC61/Delivery!AC$65)*SUM('Margin (Baht)'!L$4:L$6))/10^6</f>
        <v>0</v>
      </c>
      <c r="BI61" s="773">
        <f>(BI29+(Delivery!AD61/Delivery!AD$65)*SUM('Margin (Baht)'!M$4:M$6))/10^6</f>
        <v>0</v>
      </c>
      <c r="BJ61" s="773">
        <f>(BJ29+(Delivery!AE61/Delivery!AE$65)*SUM('Margin (Baht)'!N$4:N$6))/10^6</f>
        <v>0</v>
      </c>
      <c r="BK61" s="773">
        <f>(BK29+(Delivery!AF61/Delivery!AF$65)*SUM('Margin (Baht)'!O$4:O$6))/10^6</f>
        <v>0</v>
      </c>
      <c r="BL61" s="773">
        <f>(BL29+(Delivery!AG61/Delivery!AG$65)*SUM('Margin (Baht)'!P$4:P$6))/10^6</f>
        <v>0</v>
      </c>
      <c r="BM61" s="774">
        <f t="shared" si="46"/>
        <v>0</v>
      </c>
    </row>
    <row r="62" spans="1:65" ht="15.5">
      <c r="A62" s="866" t="str">
        <f>Table3[[#This Row],[Product]]</f>
        <v>LPG-P</v>
      </c>
      <c r="B62" s="32" t="s">
        <v>34</v>
      </c>
      <c r="C62" s="28" t="s">
        <v>60</v>
      </c>
      <c r="D62" s="822"/>
      <c r="E62" s="714">
        <f>Table2[[#This Row],[ม.ค.-64]]-Table5[[#This Row],[ม.ค.-64]]</f>
        <v>0</v>
      </c>
      <c r="F62" s="714">
        <f>'Revenue (Baht)'!F62-'COST (Baht)'!F62</f>
        <v>90636384.665316373</v>
      </c>
      <c r="G62" s="714">
        <f>'Revenue (Baht)'!G62-'COST (Baht)'!G62</f>
        <v>0</v>
      </c>
      <c r="H62" s="714">
        <f>'Revenue (Baht)'!H62-'COST (Baht)'!H62</f>
        <v>22190836.429153256</v>
      </c>
      <c r="I62" s="714">
        <f>'Revenue (Baht)'!I62-'COST (Baht)'!I62</f>
        <v>43910720.53066045</v>
      </c>
      <c r="J62" s="714">
        <f>'Revenue (Baht)'!J62-'COST (Baht)'!J62</f>
        <v>0</v>
      </c>
      <c r="K62" s="714">
        <f>'Revenue (Baht)'!K62-'COST (Baht)'!K62</f>
        <v>0</v>
      </c>
      <c r="L62" s="714">
        <f>'Revenue (Baht)'!L62-'COST (Baht)'!L62</f>
        <v>0</v>
      </c>
      <c r="M62" s="714">
        <f>'Revenue (Baht)'!M62-'COST (Baht)'!M62</f>
        <v>0</v>
      </c>
      <c r="N62" s="714">
        <f>'Revenue (Baht)'!N62-'COST (Baht)'!N62</f>
        <v>0</v>
      </c>
      <c r="O62" s="714">
        <f>'Revenue (Baht)'!O62-'COST (Baht)'!O62</f>
        <v>0</v>
      </c>
      <c r="P62" s="714">
        <f>'Revenue (Baht)'!P62-'COST (Baht)'!P62</f>
        <v>-204077328.25612831</v>
      </c>
      <c r="Q62" s="872">
        <f t="shared" si="59"/>
        <v>-47339386.630998224</v>
      </c>
      <c r="AI62" t="s">
        <v>538</v>
      </c>
      <c r="AJ62" s="705">
        <f t="shared" si="64"/>
        <v>0</v>
      </c>
      <c r="AK62" s="705">
        <f t="shared" si="64"/>
        <v>0</v>
      </c>
      <c r="AL62" s="705">
        <f t="shared" si="64"/>
        <v>0</v>
      </c>
      <c r="AM62" s="705">
        <f t="shared" si="64"/>
        <v>0</v>
      </c>
      <c r="AN62" s="705">
        <f t="shared" si="64"/>
        <v>0</v>
      </c>
      <c r="AO62" s="705">
        <f t="shared" si="64"/>
        <v>0</v>
      </c>
      <c r="AP62" s="705">
        <f t="shared" si="64"/>
        <v>0</v>
      </c>
      <c r="AQ62" s="705">
        <f t="shared" si="64"/>
        <v>0</v>
      </c>
      <c r="AR62" s="705">
        <f t="shared" si="64"/>
        <v>0</v>
      </c>
      <c r="AS62" s="705">
        <f t="shared" si="64"/>
        <v>0</v>
      </c>
      <c r="AT62" s="705">
        <f t="shared" si="64"/>
        <v>0</v>
      </c>
      <c r="AU62" s="705">
        <f t="shared" si="64"/>
        <v>0</v>
      </c>
      <c r="AV62" s="705">
        <f t="shared" si="52"/>
        <v>0</v>
      </c>
      <c r="AY62" s="771"/>
      <c r="AZ62" s="775" t="s">
        <v>538</v>
      </c>
      <c r="BA62" s="773">
        <f>(BA30+(Delivery!V62/Delivery!V$65)*SUM('Margin (Baht)'!E$4:E$6))/10^6</f>
        <v>0</v>
      </c>
      <c r="BB62" s="773">
        <f>(BB30+(Delivery!W62/Delivery!W$65)*SUM('Margin (Baht)'!F$4:F$6))/10^6</f>
        <v>0</v>
      </c>
      <c r="BC62" s="773">
        <f>(BC30+(Delivery!X62/Delivery!X$65)*SUM('Margin (Baht)'!G$4:G$6))/10^6</f>
        <v>0</v>
      </c>
      <c r="BD62" s="773">
        <f>(BD30+(Delivery!Y62/Delivery!Y$65)*SUM('Margin (Baht)'!H$4:H$6))/10^6</f>
        <v>0</v>
      </c>
      <c r="BE62" s="773">
        <f>(BE30+(Delivery!Z62/Delivery!Z$65)*SUM('Margin (Baht)'!I$4:I$6))/10^6</f>
        <v>0</v>
      </c>
      <c r="BF62" s="773">
        <f>(BF30+(Delivery!AA62/Delivery!AA$65)*SUM('Margin (Baht)'!J$4:J$6))/10^6</f>
        <v>0</v>
      </c>
      <c r="BG62" s="773">
        <f>(BG30+(Delivery!AB62/Delivery!AB$65)*SUM('Margin (Baht)'!K$4:K$6))/10^6</f>
        <v>0</v>
      </c>
      <c r="BH62" s="773">
        <f>(BH30+(Delivery!AC62/Delivery!AC$65)*SUM('Margin (Baht)'!L$4:L$6))/10^6</f>
        <v>0</v>
      </c>
      <c r="BI62" s="773">
        <f>(BI30+(Delivery!AD62/Delivery!AD$65)*SUM('Margin (Baht)'!M$4:M$6))/10^6</f>
        <v>0</v>
      </c>
      <c r="BJ62" s="773">
        <f>(BJ30+(Delivery!AE62/Delivery!AE$65)*SUM('Margin (Baht)'!N$4:N$6))/10^6</f>
        <v>0</v>
      </c>
      <c r="BK62" s="773">
        <f>(BK30+(Delivery!AF62/Delivery!AF$65)*SUM('Margin (Baht)'!O$4:O$6))/10^6</f>
        <v>0</v>
      </c>
      <c r="BL62" s="773">
        <f>(BL30+(Delivery!AG62/Delivery!AG$65)*SUM('Margin (Baht)'!P$4:P$6))/10^6</f>
        <v>0</v>
      </c>
      <c r="BM62" s="774">
        <f t="shared" si="46"/>
        <v>0</v>
      </c>
    </row>
    <row r="63" spans="1:65" ht="15.5">
      <c r="A63" s="866" t="str">
        <f>Table3[[#This Row],[Product]]</f>
        <v>LPG-P</v>
      </c>
      <c r="B63" s="28" t="s">
        <v>25</v>
      </c>
      <c r="C63" s="28" t="s">
        <v>61</v>
      </c>
      <c r="D63" s="822"/>
      <c r="E63" s="714">
        <f>Table2[[#This Row],[ม.ค.-64]]-Table5[[#This Row],[ม.ค.-64]]</f>
        <v>0</v>
      </c>
      <c r="F63" s="714">
        <f>'Revenue (Baht)'!F63-'COST (Baht)'!F63</f>
        <v>0</v>
      </c>
      <c r="G63" s="714">
        <f>'Revenue (Baht)'!G63-'COST (Baht)'!G63</f>
        <v>0</v>
      </c>
      <c r="H63" s="714">
        <f>'Revenue (Baht)'!H63-'COST (Baht)'!H63</f>
        <v>0</v>
      </c>
      <c r="I63" s="714">
        <f>'Revenue (Baht)'!I63-'COST (Baht)'!I63</f>
        <v>0</v>
      </c>
      <c r="J63" s="714">
        <f>'Revenue (Baht)'!J63-'COST (Baht)'!J63</f>
        <v>0</v>
      </c>
      <c r="K63" s="714">
        <f>'Revenue (Baht)'!K63-'COST (Baht)'!K63</f>
        <v>0</v>
      </c>
      <c r="L63" s="714">
        <f>'Revenue (Baht)'!L63-'COST (Baht)'!L63</f>
        <v>0</v>
      </c>
      <c r="M63" s="714">
        <f>'Revenue (Baht)'!M63-'COST (Baht)'!M63</f>
        <v>0</v>
      </c>
      <c r="N63" s="714">
        <f>'Revenue (Baht)'!N63-'COST (Baht)'!N63</f>
        <v>0</v>
      </c>
      <c r="O63" s="714">
        <f>'Revenue (Baht)'!O63-'COST (Baht)'!O63</f>
        <v>0</v>
      </c>
      <c r="P63" s="714">
        <f>'Revenue (Baht)'!P63-'COST (Baht)'!P63</f>
        <v>0</v>
      </c>
      <c r="Q63" s="872">
        <f t="shared" si="59"/>
        <v>0</v>
      </c>
      <c r="AH63" t="s">
        <v>232</v>
      </c>
      <c r="AI63" t="s">
        <v>276</v>
      </c>
      <c r="AJ63" s="705">
        <f t="shared" si="64"/>
        <v>0</v>
      </c>
      <c r="AK63" s="705">
        <f t="shared" si="64"/>
        <v>0</v>
      </c>
      <c r="AL63" s="705">
        <f t="shared" si="64"/>
        <v>0</v>
      </c>
      <c r="AM63" s="705">
        <f t="shared" si="64"/>
        <v>0</v>
      </c>
      <c r="AN63" s="705">
        <f t="shared" si="64"/>
        <v>0</v>
      </c>
      <c r="AO63" s="705">
        <f t="shared" si="64"/>
        <v>0</v>
      </c>
      <c r="AP63" s="705">
        <f t="shared" si="64"/>
        <v>0</v>
      </c>
      <c r="AQ63" s="705">
        <f t="shared" si="64"/>
        <v>0</v>
      </c>
      <c r="AR63" s="705">
        <f t="shared" si="64"/>
        <v>0</v>
      </c>
      <c r="AS63" s="705">
        <f t="shared" si="64"/>
        <v>0</v>
      </c>
      <c r="AT63" s="705">
        <f t="shared" si="64"/>
        <v>0</v>
      </c>
      <c r="AU63" s="705">
        <f t="shared" si="64"/>
        <v>0</v>
      </c>
      <c r="AV63" s="705">
        <f t="shared" si="52"/>
        <v>0</v>
      </c>
      <c r="AY63" s="771" t="s">
        <v>232</v>
      </c>
      <c r="AZ63" s="775" t="s">
        <v>276</v>
      </c>
      <c r="BA63" s="773">
        <f>(BA31+(Delivery!V63/Delivery!V$65)*SUM('Margin (Baht)'!E$4:E$6))/10^6</f>
        <v>0</v>
      </c>
      <c r="BB63" s="773">
        <f>(BB31+(Delivery!W63/Delivery!W$65)*SUM('Margin (Baht)'!F$4:F$6))/10^6</f>
        <v>0</v>
      </c>
      <c r="BC63" s="773">
        <f>(BC31+(Delivery!X63/Delivery!X$65)*SUM('Margin (Baht)'!G$4:G$6))/10^6</f>
        <v>0</v>
      </c>
      <c r="BD63" s="773">
        <f>(BD31+(Delivery!Y63/Delivery!Y$65)*SUM('Margin (Baht)'!H$4:H$6))/10^6</f>
        <v>0</v>
      </c>
      <c r="BE63" s="773">
        <f>(BE31+(Delivery!Z63/Delivery!Z$65)*SUM('Margin (Baht)'!I$4:I$6))/10^6</f>
        <v>0</v>
      </c>
      <c r="BF63" s="773">
        <f>(BF31+(Delivery!AA63/Delivery!AA$65)*SUM('Margin (Baht)'!J$4:J$6))/10^6</f>
        <v>0</v>
      </c>
      <c r="BG63" s="773">
        <f>(BG31+(Delivery!AB63/Delivery!AB$65)*SUM('Margin (Baht)'!K$4:K$6))/10^6</f>
        <v>0</v>
      </c>
      <c r="BH63" s="773">
        <f>(BH31+(Delivery!AC63/Delivery!AC$65)*SUM('Margin (Baht)'!L$4:L$6))/10^6</f>
        <v>0</v>
      </c>
      <c r="BI63" s="773">
        <f>(BI31+(Delivery!AD63/Delivery!AD$65)*SUM('Margin (Baht)'!M$4:M$6))/10^6</f>
        <v>0</v>
      </c>
      <c r="BJ63" s="773">
        <f>(BJ31+(Delivery!AE63/Delivery!AE$65)*SUM('Margin (Baht)'!N$4:N$6))/10^6</f>
        <v>0</v>
      </c>
      <c r="BK63" s="773">
        <f>(BK31+(Delivery!AF63/Delivery!AF$65)*SUM('Margin (Baht)'!O$4:O$6))/10^6</f>
        <v>0</v>
      </c>
      <c r="BL63" s="773">
        <f>(BL31+(Delivery!AG63/Delivery!AG$65)*SUM('Margin (Baht)'!P$4:P$6))/10^6</f>
        <v>0</v>
      </c>
      <c r="BM63" s="774">
        <f t="shared" si="46"/>
        <v>0</v>
      </c>
    </row>
    <row r="64" spans="1:65" ht="15.5">
      <c r="A64" s="866" t="str">
        <f>Table3[[#This Row],[Product]]</f>
        <v>LPG-P</v>
      </c>
      <c r="B64" s="32" t="s">
        <v>25</v>
      </c>
      <c r="C64" s="28" t="s">
        <v>62</v>
      </c>
      <c r="D64" s="822"/>
      <c r="E64" s="714">
        <f>Table2[[#This Row],[ม.ค.-64]]-Table5[[#This Row],[ม.ค.-64]]</f>
        <v>0</v>
      </c>
      <c r="F64" s="714">
        <f>'Revenue (Baht)'!F64-'COST (Baht)'!F64</f>
        <v>0</v>
      </c>
      <c r="G64" s="714">
        <f>'Revenue (Baht)'!G64-'COST (Baht)'!G64</f>
        <v>0</v>
      </c>
      <c r="H64" s="714">
        <f>'Revenue (Baht)'!H64-'COST (Baht)'!H64</f>
        <v>0</v>
      </c>
      <c r="I64" s="714">
        <f>'Revenue (Baht)'!I64-'COST (Baht)'!I64</f>
        <v>0</v>
      </c>
      <c r="J64" s="714">
        <f>'Revenue (Baht)'!J64-'COST (Baht)'!J64</f>
        <v>0</v>
      </c>
      <c r="K64" s="714">
        <f>'Revenue (Baht)'!K64-'COST (Baht)'!K64</f>
        <v>0</v>
      </c>
      <c r="L64" s="714">
        <f>'Revenue (Baht)'!L64-'COST (Baht)'!L64</f>
        <v>0</v>
      </c>
      <c r="M64" s="714">
        <f>'Revenue (Baht)'!M64-'COST (Baht)'!M64</f>
        <v>0</v>
      </c>
      <c r="N64" s="714">
        <f>'Revenue (Baht)'!N64-'COST (Baht)'!N64</f>
        <v>0</v>
      </c>
      <c r="O64" s="714">
        <f>'Revenue (Baht)'!O64-'COST (Baht)'!O64</f>
        <v>0</v>
      </c>
      <c r="P64" s="714">
        <f>'Revenue (Baht)'!P64-'COST (Baht)'!P64</f>
        <v>0</v>
      </c>
      <c r="Q64" s="872">
        <f t="shared" si="59"/>
        <v>0</v>
      </c>
      <c r="AI64" t="s">
        <v>538</v>
      </c>
      <c r="AJ64" s="705">
        <f t="shared" si="64"/>
        <v>0</v>
      </c>
      <c r="AK64" s="705">
        <f t="shared" si="64"/>
        <v>0</v>
      </c>
      <c r="AL64" s="705">
        <f t="shared" si="64"/>
        <v>0</v>
      </c>
      <c r="AM64" s="705">
        <f t="shared" si="64"/>
        <v>0</v>
      </c>
      <c r="AN64" s="705">
        <f t="shared" si="64"/>
        <v>0</v>
      </c>
      <c r="AO64" s="705">
        <f t="shared" si="64"/>
        <v>0</v>
      </c>
      <c r="AP64" s="705">
        <f t="shared" si="64"/>
        <v>0</v>
      </c>
      <c r="AQ64" s="705">
        <f t="shared" si="64"/>
        <v>0</v>
      </c>
      <c r="AR64" s="705">
        <f t="shared" si="64"/>
        <v>0</v>
      </c>
      <c r="AS64" s="705">
        <f t="shared" si="64"/>
        <v>0</v>
      </c>
      <c r="AT64" s="705">
        <f t="shared" si="64"/>
        <v>0</v>
      </c>
      <c r="AU64" s="705">
        <f t="shared" si="64"/>
        <v>0</v>
      </c>
      <c r="AV64" s="705">
        <f t="shared" si="52"/>
        <v>0</v>
      </c>
      <c r="AY64" s="771"/>
      <c r="AZ64" s="775" t="s">
        <v>538</v>
      </c>
      <c r="BA64" s="773">
        <f>(BA32+(Delivery!V64/Delivery!V$65)*SUM('Margin (Baht)'!E$4:E$6))/10^6</f>
        <v>0</v>
      </c>
      <c r="BB64" s="773">
        <f>(BB32+(Delivery!W64/Delivery!W$65)*SUM('Margin (Baht)'!F$4:F$6))/10^6</f>
        <v>0</v>
      </c>
      <c r="BC64" s="773">
        <f>(BC32+(Delivery!X64/Delivery!X$65)*SUM('Margin (Baht)'!G$4:G$6))/10^6</f>
        <v>0</v>
      </c>
      <c r="BD64" s="773">
        <f>(BD32+(Delivery!Y64/Delivery!Y$65)*SUM('Margin (Baht)'!H$4:H$6))/10^6</f>
        <v>0</v>
      </c>
      <c r="BE64" s="773">
        <f>(BE32+(Delivery!Z64/Delivery!Z$65)*SUM('Margin (Baht)'!I$4:I$6))/10^6</f>
        <v>0</v>
      </c>
      <c r="BF64" s="773">
        <f>(BF32+(Delivery!AA64/Delivery!AA$65)*SUM('Margin (Baht)'!J$4:J$6))/10^6</f>
        <v>0</v>
      </c>
      <c r="BG64" s="773">
        <f>(BG32+(Delivery!AB64/Delivery!AB$65)*SUM('Margin (Baht)'!K$4:K$6))/10^6</f>
        <v>0</v>
      </c>
      <c r="BH64" s="773">
        <f>(BH32+(Delivery!AC64/Delivery!AC$65)*SUM('Margin (Baht)'!L$4:L$6))/10^6</f>
        <v>0</v>
      </c>
      <c r="BI64" s="773">
        <f>(BI32+(Delivery!AD64/Delivery!AD$65)*SUM('Margin (Baht)'!M$4:M$6))/10^6</f>
        <v>0</v>
      </c>
      <c r="BJ64" s="773">
        <f>(BJ32+(Delivery!AE64/Delivery!AE$65)*SUM('Margin (Baht)'!N$4:N$6))/10^6</f>
        <v>0</v>
      </c>
      <c r="BK64" s="773">
        <f>(BK32+(Delivery!AF64/Delivery!AF$65)*SUM('Margin (Baht)'!O$4:O$6))/10^6</f>
        <v>0</v>
      </c>
      <c r="BL64" s="773">
        <f>(BL32+(Delivery!AG64/Delivery!AG$65)*SUM('Margin (Baht)'!P$4:P$6))/10^6</f>
        <v>0</v>
      </c>
      <c r="BM64" s="774">
        <f t="shared" si="46"/>
        <v>0</v>
      </c>
    </row>
    <row r="65" spans="1:65" ht="16" thickBot="1">
      <c r="A65" s="866" t="str">
        <f>Table3[[#This Row],[Product]]</f>
        <v>LPG-P</v>
      </c>
      <c r="B65" s="28" t="s">
        <v>25</v>
      </c>
      <c r="C65" s="28" t="s">
        <v>63</v>
      </c>
      <c r="D65" s="822"/>
      <c r="E65" s="714">
        <f>Table2[[#This Row],[ม.ค.-64]]-Table5[[#This Row],[ม.ค.-64]]</f>
        <v>0</v>
      </c>
      <c r="F65" s="714">
        <f>'Revenue (Baht)'!F65-'COST (Baht)'!F65</f>
        <v>0</v>
      </c>
      <c r="G65" s="714">
        <f>'Revenue (Baht)'!G65-'COST (Baht)'!G65</f>
        <v>0</v>
      </c>
      <c r="H65" s="714">
        <f>'Revenue (Baht)'!H65-'COST (Baht)'!H65</f>
        <v>0</v>
      </c>
      <c r="I65" s="714">
        <f>'Revenue (Baht)'!I65-'COST (Baht)'!I65</f>
        <v>0</v>
      </c>
      <c r="J65" s="714">
        <f>'Revenue (Baht)'!J65-'COST (Baht)'!J65</f>
        <v>0</v>
      </c>
      <c r="K65" s="714">
        <f>'Revenue (Baht)'!K65-'COST (Baht)'!K65</f>
        <v>0</v>
      </c>
      <c r="L65" s="714">
        <f>'Revenue (Baht)'!L65-'COST (Baht)'!L65</f>
        <v>0</v>
      </c>
      <c r="M65" s="714">
        <f>'Revenue (Baht)'!M65-'COST (Baht)'!M65</f>
        <v>0</v>
      </c>
      <c r="N65" s="714">
        <f>'Revenue (Baht)'!N65-'COST (Baht)'!N65</f>
        <v>0</v>
      </c>
      <c r="O65" s="714">
        <f>'Revenue (Baht)'!O65-'COST (Baht)'!O65</f>
        <v>0</v>
      </c>
      <c r="P65" s="714">
        <f>'Revenue (Baht)'!P65-'COST (Baht)'!P65</f>
        <v>0</v>
      </c>
      <c r="Q65" s="872">
        <f t="shared" si="59"/>
        <v>0</v>
      </c>
      <c r="AH65" t="s">
        <v>177</v>
      </c>
      <c r="AJ65" s="705">
        <f>SUM(AJ44:AJ64)</f>
        <v>604624111.46452677</v>
      </c>
      <c r="AK65" s="705">
        <f t="shared" ref="AK65:AU65" si="65">SUM(AK44:AK64)</f>
        <v>480860392.66663522</v>
      </c>
      <c r="AL65" s="705">
        <f t="shared" si="65"/>
        <v>327134353.72197771</v>
      </c>
      <c r="AM65" s="705">
        <f t="shared" si="65"/>
        <v>354296565.71975702</v>
      </c>
      <c r="AN65" s="705">
        <f t="shared" si="65"/>
        <v>353203145.24843496</v>
      </c>
      <c r="AO65" s="705">
        <f t="shared" si="65"/>
        <v>245801244.31563488</v>
      </c>
      <c r="AP65" s="705">
        <f t="shared" si="65"/>
        <v>-66417721.091954388</v>
      </c>
      <c r="AQ65" s="705">
        <f t="shared" si="65"/>
        <v>-42870979.712228298</v>
      </c>
      <c r="AR65" s="705">
        <f t="shared" si="65"/>
        <v>-4802797.1880734032</v>
      </c>
      <c r="AS65" s="705">
        <f t="shared" si="65"/>
        <v>310232651.71561056</v>
      </c>
      <c r="AT65" s="705">
        <f t="shared" si="65"/>
        <v>-5673697.1983429389</v>
      </c>
      <c r="AU65" s="705">
        <f t="shared" si="65"/>
        <v>-6591128.3658338152</v>
      </c>
      <c r="AV65" s="705">
        <f>SUM(AJ65:AU65)</f>
        <v>2549796141.2961445</v>
      </c>
      <c r="AY65" s="776" t="s">
        <v>545</v>
      </c>
      <c r="AZ65" s="777"/>
      <c r="BA65" s="778">
        <f>(BA33+(Delivery!V65/Delivery!V$65)*SUM('Margin (Baht)'!E$4:E$6))/10^6</f>
        <v>-2561.2354707107429</v>
      </c>
      <c r="BB65" s="778">
        <f>(BB33+(Delivery!W65/Delivery!W$65)*SUM('Margin (Baht)'!F$4:F$6))/10^6</f>
        <v>-2486.2381585607282</v>
      </c>
      <c r="BC65" s="778">
        <f>(BC33+(Delivery!X65/Delivery!X$65)*SUM('Margin (Baht)'!G$4:G$6))/10^6</f>
        <v>-3169.3483934182163</v>
      </c>
      <c r="BD65" s="778">
        <f>(BD33+(Delivery!Y65/Delivery!Y$65)*SUM('Margin (Baht)'!H$4:H$6))/10^6</f>
        <v>-2592.4513832402781</v>
      </c>
      <c r="BE65" s="778">
        <f>(BE33+(Delivery!Z65/Delivery!Z$65)*SUM('Margin (Baht)'!I$4:I$6))/10^6</f>
        <v>-2524.5446801820335</v>
      </c>
      <c r="BF65" s="778">
        <f>(BF33+(Delivery!AA65/Delivery!AA$65)*SUM('Margin (Baht)'!J$4:J$6))/10^6</f>
        <v>-2719.6936677754079</v>
      </c>
      <c r="BG65" s="778">
        <f>(BG33+(Delivery!AB65/Delivery!AB$65)*SUM('Margin (Baht)'!K$4:K$6))/10^6</f>
        <v>2.3073847026092503E-3</v>
      </c>
      <c r="BH65" s="778">
        <f>(BH33+(Delivery!AC65/Delivery!AC$65)*SUM('Margin (Baht)'!L$4:L$6))/10^6</f>
        <v>1.8626576342238457E-3</v>
      </c>
      <c r="BI65" s="778">
        <f>(BI33+(Delivery!AD65/Delivery!AD$65)*SUM('Margin (Baht)'!M$4:M$6))/10^6</f>
        <v>1.8360404815534216E-3</v>
      </c>
      <c r="BJ65" s="778">
        <f>(BJ33+(Delivery!AE65/Delivery!AE$65)*SUM('Margin (Baht)'!N$4:N$6))/10^6</f>
        <v>1.8565051119933222E-3</v>
      </c>
      <c r="BK65" s="778">
        <f>(BK33+(Delivery!AF65/Delivery!AF$65)*SUM('Margin (Baht)'!O$4:O$6))/10^6</f>
        <v>1.875995648740551E-3</v>
      </c>
      <c r="BL65" s="778">
        <f>(BL33+(Delivery!AG65/Delivery!AG$65)*SUM('Margin (Baht)'!P$4:P$6))/10^6</f>
        <v>1.9017644521791624E-3</v>
      </c>
      <c r="BM65" s="779">
        <f t="shared" si="46"/>
        <v>-16053.500113539374</v>
      </c>
    </row>
    <row r="66" spans="1:65" ht="23.5">
      <c r="A66" s="866" t="str">
        <f>Table3[[#This Row],[Product]]</f>
        <v>LPG-P</v>
      </c>
      <c r="B66" s="32" t="s">
        <v>34</v>
      </c>
      <c r="C66" s="28" t="s">
        <v>64</v>
      </c>
      <c r="D66" s="822"/>
      <c r="E66" s="714">
        <f>Table2[[#This Row],[ม.ค.-64]]-Table5[[#This Row],[ม.ค.-64]]</f>
        <v>0</v>
      </c>
      <c r="F66" s="714">
        <f>'Revenue (Baht)'!F66-'COST (Baht)'!F66</f>
        <v>0</v>
      </c>
      <c r="G66" s="714">
        <f>'Revenue (Baht)'!G66-'COST (Baht)'!G66</f>
        <v>0</v>
      </c>
      <c r="H66" s="714">
        <f>'Revenue (Baht)'!H66-'COST (Baht)'!H66</f>
        <v>0</v>
      </c>
      <c r="I66" s="714">
        <f>'Revenue (Baht)'!I66-'COST (Baht)'!I66</f>
        <v>0</v>
      </c>
      <c r="J66" s="714">
        <f>'Revenue (Baht)'!J66-'COST (Baht)'!J66</f>
        <v>0</v>
      </c>
      <c r="K66" s="714">
        <f>'Revenue (Baht)'!K66-'COST (Baht)'!K66</f>
        <v>0</v>
      </c>
      <c r="L66" s="714">
        <f>'Revenue (Baht)'!L66-'COST (Baht)'!L66</f>
        <v>0</v>
      </c>
      <c r="M66" s="714">
        <f>'Revenue (Baht)'!M66-'COST (Baht)'!M66</f>
        <v>0</v>
      </c>
      <c r="N66" s="714">
        <f>'Revenue (Baht)'!N66-'COST (Baht)'!N66</f>
        <v>0</v>
      </c>
      <c r="O66" s="714">
        <f>'Revenue (Baht)'!O66-'COST (Baht)'!O66</f>
        <v>0</v>
      </c>
      <c r="P66" s="714">
        <f>'Revenue (Baht)'!P66-'COST (Baht)'!P66</f>
        <v>0</v>
      </c>
      <c r="Q66" s="872">
        <f t="shared" si="59"/>
        <v>0</v>
      </c>
      <c r="AH66" s="44" t="s">
        <v>71</v>
      </c>
      <c r="AI66" s="702"/>
      <c r="AJ66" s="705"/>
      <c r="AK66" s="705"/>
      <c r="AL66" s="705"/>
      <c r="AM66" s="705"/>
      <c r="AN66" s="705"/>
      <c r="AO66" s="705"/>
      <c r="AP66" s="705"/>
      <c r="AQ66" s="705"/>
      <c r="AR66" s="705"/>
      <c r="AS66" s="705"/>
      <c r="AT66" s="705"/>
      <c r="AU66" s="705"/>
      <c r="AV66" s="705"/>
    </row>
    <row r="67" spans="1:65" ht="14.25" customHeight="1">
      <c r="A67" s="866" t="str">
        <f>Table3[[#This Row],[Product]]</f>
        <v>LPG-P</v>
      </c>
      <c r="B67" s="32"/>
      <c r="C67" s="33" t="s">
        <v>35</v>
      </c>
      <c r="D67" s="822"/>
      <c r="E67" s="714">
        <f t="shared" ref="E67:P67" si="66">SUM(E53:E58)</f>
        <v>289696649.68567669</v>
      </c>
      <c r="F67" s="714">
        <f t="shared" si="66"/>
        <v>215317038.39588204</v>
      </c>
      <c r="G67" s="714">
        <f t="shared" si="66"/>
        <v>272838009.66172016</v>
      </c>
      <c r="H67" s="714">
        <f t="shared" si="66"/>
        <v>154503845.55622974</v>
      </c>
      <c r="I67" s="714">
        <f t="shared" si="66"/>
        <v>231498196.95898777</v>
      </c>
      <c r="J67" s="714">
        <f t="shared" si="66"/>
        <v>294869699.66508609</v>
      </c>
      <c r="K67" s="714">
        <f t="shared" si="66"/>
        <v>607207072.93072891</v>
      </c>
      <c r="L67" s="714">
        <f t="shared" si="66"/>
        <v>298885802.94239402</v>
      </c>
      <c r="M67" s="714">
        <f t="shared" si="66"/>
        <v>291975410.3117519</v>
      </c>
      <c r="N67" s="714">
        <f t="shared" si="66"/>
        <v>256373926.10294914</v>
      </c>
      <c r="O67" s="714">
        <f t="shared" si="66"/>
        <v>259835799.85020256</v>
      </c>
      <c r="P67" s="714">
        <f t="shared" si="66"/>
        <v>281679847.73079973</v>
      </c>
      <c r="Q67" s="872">
        <f t="shared" si="59"/>
        <v>3454681299.7924085</v>
      </c>
      <c r="AH67" s="147" t="s">
        <v>218</v>
      </c>
      <c r="AI67" s="147"/>
      <c r="AJ67" s="705">
        <f t="shared" ref="AJ67:AU67" si="67">E135</f>
        <v>175436728.29063949</v>
      </c>
      <c r="AK67" s="705">
        <f t="shared" si="67"/>
        <v>225286808.66760466</v>
      </c>
      <c r="AL67" s="705">
        <f t="shared" si="67"/>
        <v>232897674.86660713</v>
      </c>
      <c r="AM67" s="705">
        <f t="shared" si="67"/>
        <v>175508208.08747831</v>
      </c>
      <c r="AN67" s="705">
        <f t="shared" si="67"/>
        <v>258268482.43152073</v>
      </c>
      <c r="AO67" s="705">
        <f t="shared" si="67"/>
        <v>147903389.28378582</v>
      </c>
      <c r="AP67" s="705">
        <f t="shared" si="67"/>
        <v>146948745.45105168</v>
      </c>
      <c r="AQ67" s="705">
        <f t="shared" si="67"/>
        <v>172689084.65570268</v>
      </c>
      <c r="AR67" s="705">
        <f t="shared" si="67"/>
        <v>143451707.94829839</v>
      </c>
      <c r="AS67" s="705">
        <f t="shared" si="67"/>
        <v>120715008.83464345</v>
      </c>
      <c r="AT67" s="705">
        <f t="shared" si="67"/>
        <v>139878567.1043185</v>
      </c>
      <c r="AU67" s="705">
        <f t="shared" si="67"/>
        <v>143306685.0751037</v>
      </c>
      <c r="AV67" s="705">
        <f>SUM(AJ67:AU67)</f>
        <v>2082291090.6967545</v>
      </c>
    </row>
    <row r="68" spans="1:65" ht="14.25" customHeight="1">
      <c r="A68" s="866" t="str">
        <f>Table3[[#This Row],[Product]]</f>
        <v>LPG-P</v>
      </c>
      <c r="B68" s="32"/>
      <c r="C68" s="33" t="s">
        <v>36</v>
      </c>
      <c r="D68" s="822"/>
      <c r="E68" s="714">
        <f t="shared" ref="E68:P68" si="68">SUM(E59:E66)</f>
        <v>0</v>
      </c>
      <c r="F68" s="714">
        <f t="shared" si="68"/>
        <v>90636384.665316373</v>
      </c>
      <c r="G68" s="714">
        <f t="shared" si="68"/>
        <v>19998584.854280546</v>
      </c>
      <c r="H68" s="714">
        <f t="shared" si="68"/>
        <v>126696216.50084674</v>
      </c>
      <c r="I68" s="714">
        <f t="shared" si="68"/>
        <v>167757460.91284147</v>
      </c>
      <c r="J68" s="714">
        <f t="shared" si="68"/>
        <v>123565690.77493292</v>
      </c>
      <c r="K68" s="714">
        <f t="shared" si="68"/>
        <v>16286469.314331904</v>
      </c>
      <c r="L68" s="714">
        <f t="shared" si="68"/>
        <v>15026476.29384467</v>
      </c>
      <c r="M68" s="714">
        <f t="shared" si="68"/>
        <v>14233365.373532586</v>
      </c>
      <c r="N68" s="714">
        <f t="shared" si="68"/>
        <v>10501626.504484877</v>
      </c>
      <c r="O68" s="714">
        <f t="shared" si="68"/>
        <v>10829502.940333202</v>
      </c>
      <c r="P68" s="714">
        <f t="shared" si="68"/>
        <v>-192610352.17034346</v>
      </c>
      <c r="Q68" s="872">
        <f t="shared" si="59"/>
        <v>402921425.9644019</v>
      </c>
      <c r="AH68" s="147" t="s">
        <v>220</v>
      </c>
      <c r="AI68" s="147"/>
      <c r="AJ68" s="705">
        <f t="shared" ref="AJ68:AU68" si="69">SUM(E136:E137)</f>
        <v>212628083.67509785</v>
      </c>
      <c r="AK68" s="705">
        <f t="shared" si="69"/>
        <v>237295170.93345389</v>
      </c>
      <c r="AL68" s="705">
        <f t="shared" si="69"/>
        <v>249626766.92095849</v>
      </c>
      <c r="AM68" s="705">
        <f t="shared" si="69"/>
        <v>260713352.19731572</v>
      </c>
      <c r="AN68" s="705">
        <f t="shared" si="69"/>
        <v>277016133.602965</v>
      </c>
      <c r="AO68" s="705">
        <f t="shared" si="69"/>
        <v>239497841.5677141</v>
      </c>
      <c r="AP68" s="705">
        <f t="shared" si="69"/>
        <v>174895869.59584942</v>
      </c>
      <c r="AQ68" s="705">
        <f t="shared" si="69"/>
        <v>222345252.79027396</v>
      </c>
      <c r="AR68" s="705">
        <f t="shared" si="69"/>
        <v>206980859.44554967</v>
      </c>
      <c r="AS68" s="705">
        <f t="shared" si="69"/>
        <v>180003373.14594948</v>
      </c>
      <c r="AT68" s="705">
        <f t="shared" si="69"/>
        <v>187097111.99873918</v>
      </c>
      <c r="AU68" s="705">
        <f t="shared" si="69"/>
        <v>193355822.878254</v>
      </c>
      <c r="AV68" s="705">
        <f>SUM(AJ68:AU68)</f>
        <v>2641455638.752121</v>
      </c>
    </row>
    <row r="69" spans="1:65" ht="15.5">
      <c r="A69" s="866" t="str">
        <f>Table3[[#This Row],[Product]]</f>
        <v>LPG-P</v>
      </c>
      <c r="B69" s="28"/>
      <c r="C69" s="33" t="s">
        <v>37</v>
      </c>
      <c r="D69" s="822">
        <f>Table2[[#This Row],[ม.ค.-64]]-Table5[[#This Row],[ม.ค.-64]]</f>
        <v>289696649.68567669</v>
      </c>
      <c r="E69" s="955">
        <f t="shared" ref="E69:P69" si="70">SUM(E53:E66)</f>
        <v>289696649.68567669</v>
      </c>
      <c r="F69" s="714">
        <f t="shared" si="70"/>
        <v>305953423.06119841</v>
      </c>
      <c r="G69" s="714">
        <f t="shared" si="70"/>
        <v>292836594.51600069</v>
      </c>
      <c r="H69" s="714">
        <f t="shared" si="70"/>
        <v>281200062.05707645</v>
      </c>
      <c r="I69" s="714">
        <f t="shared" si="70"/>
        <v>399255657.87182921</v>
      </c>
      <c r="J69" s="714">
        <f t="shared" si="70"/>
        <v>418435390.44001901</v>
      </c>
      <c r="K69" s="714">
        <f t="shared" si="70"/>
        <v>623493542.2450608</v>
      </c>
      <c r="L69" s="714">
        <f t="shared" si="70"/>
        <v>313912279.23623872</v>
      </c>
      <c r="M69" s="714">
        <f t="shared" si="70"/>
        <v>306208775.6852845</v>
      </c>
      <c r="N69" s="714">
        <f t="shared" si="70"/>
        <v>266875552.60743403</v>
      </c>
      <c r="O69" s="714">
        <f t="shared" si="70"/>
        <v>270665302.79053575</v>
      </c>
      <c r="P69" s="714">
        <f t="shared" si="70"/>
        <v>89069495.560456276</v>
      </c>
      <c r="Q69" s="872">
        <f t="shared" si="59"/>
        <v>3857602725.7568111</v>
      </c>
      <c r="AH69" s="147" t="s">
        <v>233</v>
      </c>
      <c r="AI69" s="147"/>
      <c r="AJ69" s="705">
        <f t="shared" ref="AJ69:AU69" si="71">SUM(E138:E140)</f>
        <v>2121046.4773233607</v>
      </c>
      <c r="AK69" s="705">
        <f t="shared" si="71"/>
        <v>8546696.8192381412</v>
      </c>
      <c r="AL69" s="705">
        <f t="shared" si="71"/>
        <v>62703.613285265863</v>
      </c>
      <c r="AM69" s="705">
        <f t="shared" si="71"/>
        <v>4475596.8865116704</v>
      </c>
      <c r="AN69" s="705">
        <f t="shared" si="71"/>
        <v>4552077.6896775048</v>
      </c>
      <c r="AO69" s="705">
        <f t="shared" si="71"/>
        <v>9280060.9628883749</v>
      </c>
      <c r="AP69" s="705">
        <f t="shared" si="71"/>
        <v>10176339.836254625</v>
      </c>
      <c r="AQ69" s="705">
        <f t="shared" si="71"/>
        <v>19655847.298035771</v>
      </c>
      <c r="AR69" s="705">
        <f t="shared" si="71"/>
        <v>12495549.477378674</v>
      </c>
      <c r="AS69" s="705">
        <f t="shared" si="71"/>
        <v>18191770.875888519</v>
      </c>
      <c r="AT69" s="705">
        <f t="shared" si="71"/>
        <v>11519471.819514345</v>
      </c>
      <c r="AU69" s="705">
        <f t="shared" si="71"/>
        <v>17089479.422506347</v>
      </c>
      <c r="AV69" s="705">
        <f>SUM(AJ69:AU69)</f>
        <v>118166641.17850262</v>
      </c>
    </row>
    <row r="70" spans="1:65" ht="15.5">
      <c r="A70" s="867" t="str">
        <f>Table3[[#This Row],[Product]]</f>
        <v>LPG-D</v>
      </c>
      <c r="B70" s="28" t="s">
        <v>25</v>
      </c>
      <c r="C70" s="35" t="s">
        <v>87</v>
      </c>
      <c r="D70" s="822"/>
      <c r="E70" s="714">
        <f>Table2[[#This Row],[ม.ค.-64]]-Table5[[#This Row],[ม.ค.-64]]</f>
        <v>2749434.5661095097</v>
      </c>
      <c r="F70" s="714">
        <f>'Revenue (Baht)'!F70-'COST (Baht)'!F70</f>
        <v>2724754.2129563647</v>
      </c>
      <c r="G70" s="714">
        <f>'Revenue (Baht)'!G70-'COST (Baht)'!G70</f>
        <v>2639232.7716106316</v>
      </c>
      <c r="H70" s="714">
        <f>'Revenue (Baht)'!H70-'COST (Baht)'!H70</f>
        <v>2049743.7664542571</v>
      </c>
      <c r="I70" s="714">
        <f>'Revenue (Baht)'!I70-'COST (Baht)'!I70</f>
        <v>4343457.5940207606</v>
      </c>
      <c r="J70" s="714">
        <f>'Revenue (Baht)'!J70-'COST (Baht)'!J70</f>
        <v>4066600.7389345784</v>
      </c>
      <c r="K70" s="714">
        <f>'Revenue (Baht)'!K70-'COST (Baht)'!K70</f>
        <v>2976466.0629251786</v>
      </c>
      <c r="L70" s="714">
        <f>'Revenue (Baht)'!L70-'COST (Baht)'!L70</f>
        <v>3228492.5707715712</v>
      </c>
      <c r="M70" s="714">
        <f>'Revenue (Baht)'!M70-'COST (Baht)'!M70</f>
        <v>3076073.6458023936</v>
      </c>
      <c r="N70" s="714">
        <f>'Revenue (Baht)'!N70-'COST (Baht)'!N70</f>
        <v>2891290.8871677741</v>
      </c>
      <c r="O70" s="714">
        <f>'Revenue (Baht)'!O70-'COST (Baht)'!O70</f>
        <v>2576473.5558144134</v>
      </c>
      <c r="P70" s="714">
        <f>'Revenue (Baht)'!P70-'COST (Baht)'!P70</f>
        <v>2383975.5483557172</v>
      </c>
      <c r="Q70" s="872">
        <f>SUM(E70:P70)</f>
        <v>35705995.920923159</v>
      </c>
      <c r="AH70" s="147" t="s">
        <v>177</v>
      </c>
      <c r="AI70" s="147"/>
      <c r="AJ70" s="705">
        <f>SUM(AJ67:AJ69)</f>
        <v>390185858.4430607</v>
      </c>
      <c r="AK70" s="705">
        <f t="shared" ref="AK70:AU70" si="72">SUM(AK67:AK69)</f>
        <v>471128676.42029667</v>
      </c>
      <c r="AL70" s="705">
        <f t="shared" si="72"/>
        <v>482587145.40085083</v>
      </c>
      <c r="AM70" s="705">
        <f t="shared" si="72"/>
        <v>440697157.17130572</v>
      </c>
      <c r="AN70" s="705">
        <f t="shared" si="72"/>
        <v>539836693.72416317</v>
      </c>
      <c r="AO70" s="705">
        <f t="shared" si="72"/>
        <v>396681291.81438828</v>
      </c>
      <c r="AP70" s="705">
        <f t="shared" si="72"/>
        <v>332020954.8831557</v>
      </c>
      <c r="AQ70" s="705">
        <f t="shared" si="72"/>
        <v>414690184.74401236</v>
      </c>
      <c r="AR70" s="705">
        <f t="shared" si="72"/>
        <v>362928116.87122673</v>
      </c>
      <c r="AS70" s="705">
        <f t="shared" si="72"/>
        <v>318910152.85648149</v>
      </c>
      <c r="AT70" s="705">
        <f t="shared" si="72"/>
        <v>338495150.92257202</v>
      </c>
      <c r="AU70" s="705">
        <f t="shared" si="72"/>
        <v>353751987.37586403</v>
      </c>
      <c r="AV70" s="705">
        <f>SUM(AJ70:AU70)</f>
        <v>4841913370.6273775</v>
      </c>
    </row>
    <row r="71" spans="1:65" ht="23.5">
      <c r="A71" s="867" t="str">
        <f>Table3[[#This Row],[Product]]</f>
        <v>LPG-D</v>
      </c>
      <c r="B71" s="28" t="s">
        <v>25</v>
      </c>
      <c r="C71" s="35" t="s">
        <v>88</v>
      </c>
      <c r="D71" s="822"/>
      <c r="E71" s="714">
        <f>Table2[[#This Row],[ม.ค.-64]]-Table5[[#This Row],[ม.ค.-64]]</f>
        <v>173016864.81738538</v>
      </c>
      <c r="F71" s="714">
        <f>'Revenue (Baht)'!F71-'COST (Baht)'!F71</f>
        <v>64430149.388483375</v>
      </c>
      <c r="G71" s="714">
        <f>'Revenue (Baht)'!G71-'COST (Baht)'!G71</f>
        <v>42860967.387741029</v>
      </c>
      <c r="H71" s="714">
        <f>'Revenue (Baht)'!H71-'COST (Baht)'!H71</f>
        <v>37777373.658041745</v>
      </c>
      <c r="I71" s="714">
        <f>'Revenue (Baht)'!I71-'COST (Baht)'!I71</f>
        <v>77592224.663437247</v>
      </c>
      <c r="J71" s="714">
        <f>'Revenue (Baht)'!J71-'COST (Baht)'!J71</f>
        <v>44531225.318281889</v>
      </c>
      <c r="K71" s="714">
        <f>'Revenue (Baht)'!K71-'COST (Baht)'!K71</f>
        <v>0</v>
      </c>
      <c r="L71" s="714">
        <f>'Revenue (Baht)'!L71-'COST (Baht)'!L71</f>
        <v>-10262237.223192096</v>
      </c>
      <c r="M71" s="714">
        <f>'Revenue (Baht)'!M71-'COST (Baht)'!M71</f>
        <v>-1904533.909289062</v>
      </c>
      <c r="N71" s="714">
        <f>'Revenue (Baht)'!N71-'COST (Baht)'!N71</f>
        <v>38166982.367508918</v>
      </c>
      <c r="O71" s="714">
        <f>'Revenue (Baht)'!O71-'COST (Baht)'!O71</f>
        <v>-2057955.7247807384</v>
      </c>
      <c r="P71" s="714">
        <f>'Revenue (Baht)'!P71-'COST (Baht)'!P71</f>
        <v>-2870465.9700222611</v>
      </c>
      <c r="Q71" s="872">
        <f t="shared" ref="Q71:Q95" si="73">SUM(E71:P71)</f>
        <v>461280594.77359545</v>
      </c>
      <c r="AH71" s="44" t="s">
        <v>79</v>
      </c>
      <c r="AI71" s="702"/>
      <c r="AJ71" s="705"/>
      <c r="AK71" s="705"/>
      <c r="AL71" s="705"/>
      <c r="AM71" s="705"/>
      <c r="AN71" s="705"/>
      <c r="AO71" s="705"/>
      <c r="AP71" s="705"/>
      <c r="AQ71" s="705"/>
      <c r="AR71" s="705"/>
      <c r="AS71" s="705"/>
      <c r="AT71" s="705"/>
      <c r="AU71" s="705"/>
      <c r="AV71" s="705"/>
    </row>
    <row r="72" spans="1:65" ht="15.5">
      <c r="A72" s="867" t="str">
        <f>Table3[[#This Row],[Product]]</f>
        <v>LPG-D</v>
      </c>
      <c r="B72" s="28" t="s">
        <v>25</v>
      </c>
      <c r="C72" s="35" t="s">
        <v>89</v>
      </c>
      <c r="D72" s="822"/>
      <c r="E72" s="714">
        <f>Table2[[#This Row],[ม.ค.-64]]-Table5[[#This Row],[ม.ค.-64]]</f>
        <v>0</v>
      </c>
      <c r="F72" s="714">
        <f>'Revenue (Baht)'!F72-'COST (Baht)'!F72</f>
        <v>0</v>
      </c>
      <c r="G72" s="714">
        <f>'Revenue (Baht)'!G72-'COST (Baht)'!G72</f>
        <v>0</v>
      </c>
      <c r="H72" s="714">
        <f>'Revenue (Baht)'!H72-'COST (Baht)'!H72</f>
        <v>0</v>
      </c>
      <c r="I72" s="714">
        <f>'Revenue (Baht)'!I72-'COST (Baht)'!I72</f>
        <v>0</v>
      </c>
      <c r="J72" s="714">
        <f>'Revenue (Baht)'!J72-'COST (Baht)'!J72</f>
        <v>0</v>
      </c>
      <c r="K72" s="714">
        <f>'Revenue (Baht)'!K72-'COST (Baht)'!K72</f>
        <v>-14715097.830340147</v>
      </c>
      <c r="L72" s="714">
        <f>'Revenue (Baht)'!L72-'COST (Baht)'!L72</f>
        <v>-8874704.8940095305</v>
      </c>
      <c r="M72" s="714">
        <f>'Revenue (Baht)'!M72-'COST (Baht)'!M72</f>
        <v>-4094408.9028589725</v>
      </c>
      <c r="N72" s="714">
        <f>'Revenue (Baht)'!N72-'COST (Baht)'!N72</f>
        <v>78021896.648859739</v>
      </c>
      <c r="O72" s="714">
        <f>'Revenue (Baht)'!O72-'COST (Baht)'!O72</f>
        <v>-5071852.4152183533</v>
      </c>
      <c r="P72" s="714">
        <f>'Revenue (Baht)'!P72-'COST (Baht)'!P72</f>
        <v>-4118038.6107113957</v>
      </c>
      <c r="Q72" s="872">
        <f t="shared" si="73"/>
        <v>41147793.99572134</v>
      </c>
      <c r="AH72" s="147" t="s">
        <v>220</v>
      </c>
      <c r="AI72" s="147"/>
      <c r="AJ72" s="705">
        <f t="shared" ref="AJ72:AU72" si="74">SUM(E145:E147)</f>
        <v>5658977.5632821359</v>
      </c>
      <c r="AK72" s="705">
        <f t="shared" si="74"/>
        <v>17495479.24735599</v>
      </c>
      <c r="AL72" s="705">
        <f t="shared" si="74"/>
        <v>18234983.846570574</v>
      </c>
      <c r="AM72" s="705">
        <f t="shared" si="74"/>
        <v>16775455.483938262</v>
      </c>
      <c r="AN72" s="705">
        <f t="shared" si="74"/>
        <v>20281413.054128259</v>
      </c>
      <c r="AO72" s="705">
        <f t="shared" si="74"/>
        <v>22756269.073162667</v>
      </c>
      <c r="AP72" s="705">
        <f t="shared" si="74"/>
        <v>24725288.871860817</v>
      </c>
      <c r="AQ72" s="705">
        <f t="shared" si="74"/>
        <v>23322185.177411675</v>
      </c>
      <c r="AR72" s="705">
        <f t="shared" si="74"/>
        <v>21276388.333507836</v>
      </c>
      <c r="AS72" s="705">
        <f t="shared" si="74"/>
        <v>19980341.143402852</v>
      </c>
      <c r="AT72" s="705">
        <f t="shared" si="74"/>
        <v>18136849.262958817</v>
      </c>
      <c r="AU72" s="705">
        <f t="shared" si="74"/>
        <v>18744906.770250611</v>
      </c>
      <c r="AV72" s="705">
        <f>SUM(AJ72:AU72)</f>
        <v>227388537.82783052</v>
      </c>
    </row>
    <row r="73" spans="1:65" ht="15.5">
      <c r="A73" s="867" t="str">
        <f>Table3[[#This Row],[Product]]</f>
        <v>LPG-D</v>
      </c>
      <c r="B73" s="28" t="s">
        <v>25</v>
      </c>
      <c r="C73" s="35" t="s">
        <v>90</v>
      </c>
      <c r="D73" s="822"/>
      <c r="E73" s="714">
        <f>Table2[[#This Row],[ม.ค.-64]]-Table5[[#This Row],[ม.ค.-64]]</f>
        <v>227349879.93788683</v>
      </c>
      <c r="F73" s="714">
        <f>'Revenue (Baht)'!F73-'COST (Baht)'!F73</f>
        <v>210312576.34442735</v>
      </c>
      <c r="G73" s="714">
        <f>'Revenue (Baht)'!G73-'COST (Baht)'!G73</f>
        <v>140745808.4830991</v>
      </c>
      <c r="H73" s="714">
        <f>'Revenue (Baht)'!H73-'COST (Baht)'!H73</f>
        <v>136699397.14490008</v>
      </c>
      <c r="I73" s="714">
        <f>'Revenue (Baht)'!I73-'COST (Baht)'!I73</f>
        <v>138833897.21416688</v>
      </c>
      <c r="J73" s="714">
        <f>'Revenue (Baht)'!J73-'COST (Baht)'!J73</f>
        <v>83584072.682811856</v>
      </c>
      <c r="K73" s="714">
        <f>'Revenue (Baht)'!K73-'COST (Baht)'!K73</f>
        <v>-13801322.84645474</v>
      </c>
      <c r="L73" s="714">
        <f>'Revenue (Baht)'!L73-'COST (Baht)'!L73</f>
        <v>-19402302.243541121</v>
      </c>
      <c r="M73" s="714">
        <f>'Revenue (Baht)'!M73-'COST (Baht)'!M73</f>
        <v>-6099774.9419480562</v>
      </c>
      <c r="N73" s="714">
        <f>'Revenue (Baht)'!N73-'COST (Baht)'!N73</f>
        <v>121292112.8861059</v>
      </c>
      <c r="O73" s="714">
        <f>'Revenue (Baht)'!O73-'COST (Baht)'!O73</f>
        <v>-7236067.004432559</v>
      </c>
      <c r="P73" s="714">
        <f>'Revenue (Baht)'!P73-'COST (Baht)'!P73</f>
        <v>-7249647.7190151215</v>
      </c>
      <c r="Q73" s="872">
        <f t="shared" si="73"/>
        <v>1005028629.9380064</v>
      </c>
    </row>
    <row r="74" spans="1:65" ht="23.5">
      <c r="A74" s="867" t="str">
        <f>Table3[[#This Row],[Product]]</f>
        <v>LPG-D</v>
      </c>
      <c r="B74" s="28" t="s">
        <v>76</v>
      </c>
      <c r="C74" s="35" t="s">
        <v>91</v>
      </c>
      <c r="D74" s="822"/>
      <c r="E74" s="714">
        <f>Table2[[#This Row],[ม.ค.-64]]-Table5[[#This Row],[ม.ค.-64]]</f>
        <v>26310839.289947182</v>
      </c>
      <c r="F74" s="714">
        <f>'Revenue (Baht)'!F74-'COST (Baht)'!F74</f>
        <v>2821280.0074316859</v>
      </c>
      <c r="G74" s="714">
        <f>'Revenue (Baht)'!G74-'COST (Baht)'!G74</f>
        <v>-23509149.607687742</v>
      </c>
      <c r="H74" s="714">
        <f>'Revenue (Baht)'!H74-'COST (Baht)'!H74</f>
        <v>20620447.112745821</v>
      </c>
      <c r="I74" s="714">
        <f>'Revenue (Baht)'!I74-'COST (Baht)'!I74</f>
        <v>4287867.2812991738</v>
      </c>
      <c r="J74" s="714">
        <f>'Revenue (Baht)'!J74-'COST (Baht)'!J74</f>
        <v>27823921.705721527</v>
      </c>
      <c r="K74" s="714">
        <f>'Revenue (Baht)'!K74-'COST (Baht)'!K74</f>
        <v>-22737380.129696727</v>
      </c>
      <c r="L74" s="714">
        <f>'Revenue (Baht)'!L74-'COST (Baht)'!L74</f>
        <v>6764452.1153977811</v>
      </c>
      <c r="M74" s="714">
        <f>'Revenue (Baht)'!M74-'COST (Baht)'!M74</f>
        <v>12020527.769544601</v>
      </c>
      <c r="N74" s="714">
        <f>'Revenue (Baht)'!N74-'COST (Baht)'!N74</f>
        <v>13389597.401976496</v>
      </c>
      <c r="O74" s="714">
        <f>'Revenue (Baht)'!O74-'COST (Baht)'!O74</f>
        <v>14514893.676641047</v>
      </c>
      <c r="P74" s="714">
        <f>'Revenue (Baht)'!P74-'COST (Baht)'!P74</f>
        <v>13567435.243385315</v>
      </c>
      <c r="Q74" s="872">
        <f t="shared" si="73"/>
        <v>95874731.866706163</v>
      </c>
      <c r="AH74" s="712" t="s">
        <v>66</v>
      </c>
      <c r="AI74" s="702"/>
    </row>
    <row r="75" spans="1:65" ht="15.5">
      <c r="A75" s="867" t="str">
        <f>Table3[[#This Row],[Product]]</f>
        <v>LPG-D</v>
      </c>
      <c r="B75" s="28" t="s">
        <v>25</v>
      </c>
      <c r="C75" s="35" t="s">
        <v>92</v>
      </c>
      <c r="D75" s="822"/>
      <c r="E75" s="714">
        <f>Table2[[#This Row],[ม.ค.-64]]-Table5[[#This Row],[ม.ค.-64]]</f>
        <v>984885.82555393083</v>
      </c>
      <c r="F75" s="714">
        <f>'Revenue (Baht)'!F75-'COST (Baht)'!F75</f>
        <v>1476979.3881915957</v>
      </c>
      <c r="G75" s="714">
        <f>'Revenue (Baht)'!G75-'COST (Baht)'!G75</f>
        <v>1202080.2398880254</v>
      </c>
      <c r="H75" s="714">
        <f>'Revenue (Baht)'!H75-'COST (Baht)'!H75</f>
        <v>1351207.4086686289</v>
      </c>
      <c r="I75" s="714">
        <f>'Revenue (Baht)'!I75-'COST (Baht)'!I75</f>
        <v>1081599.8146542432</v>
      </c>
      <c r="J75" s="714">
        <f>'Revenue (Baht)'!J75-'COST (Baht)'!J75</f>
        <v>924974.48909844272</v>
      </c>
      <c r="K75" s="714">
        <f>'Revenue (Baht)'!K75-'COST (Baht)'!K75</f>
        <v>-185384.38239115849</v>
      </c>
      <c r="L75" s="714">
        <f>'Revenue (Baht)'!L75-'COST (Baht)'!L75</f>
        <v>-229387.68306634296</v>
      </c>
      <c r="M75" s="714">
        <f>'Revenue (Baht)'!M75-'COST (Baht)'!M75</f>
        <v>-122676.77477477305</v>
      </c>
      <c r="N75" s="714">
        <f>'Revenue (Baht)'!N75-'COST (Baht)'!N75</f>
        <v>928234.61675734818</v>
      </c>
      <c r="O75" s="714">
        <f>'Revenue (Baht)'!O75-'COST (Baht)'!O75</f>
        <v>-132425.30492935237</v>
      </c>
      <c r="P75" s="714">
        <f>'Revenue (Baht)'!P75-'COST (Baht)'!P75</f>
        <v>-130875.23252024874</v>
      </c>
      <c r="Q75" s="872">
        <f t="shared" si="73"/>
        <v>7149212.4051303389</v>
      </c>
      <c r="AJ75" s="43">
        <v>23377</v>
      </c>
      <c r="AK75" s="43">
        <v>23408</v>
      </c>
      <c r="AL75" s="43">
        <v>23437</v>
      </c>
      <c r="AM75" s="43">
        <v>23468</v>
      </c>
      <c r="AN75" s="43">
        <v>23498</v>
      </c>
      <c r="AO75" s="43">
        <v>23529</v>
      </c>
      <c r="AP75" s="43">
        <v>23559</v>
      </c>
      <c r="AQ75" s="43">
        <v>23590</v>
      </c>
      <c r="AR75" s="43">
        <v>23621</v>
      </c>
      <c r="AS75" s="43">
        <v>23651</v>
      </c>
      <c r="AT75" s="43">
        <v>23682</v>
      </c>
      <c r="AU75" s="43">
        <v>23712</v>
      </c>
      <c r="AV75" s="526" t="s">
        <v>177</v>
      </c>
    </row>
    <row r="76" spans="1:65" ht="15.5">
      <c r="A76" s="867" t="str">
        <f>Table3[[#This Row],[Product]]</f>
        <v>LPG-D</v>
      </c>
      <c r="B76" s="28" t="s">
        <v>25</v>
      </c>
      <c r="C76" s="35" t="s">
        <v>93</v>
      </c>
      <c r="D76" s="822"/>
      <c r="E76" s="714">
        <f>Table2[[#This Row],[ม.ค.-64]]-Table5[[#This Row],[ม.ค.-64]]</f>
        <v>12899875.51585836</v>
      </c>
      <c r="F76" s="714">
        <f>'Revenue (Baht)'!F76-'COST (Baht)'!F76</f>
        <v>43166812.993850291</v>
      </c>
      <c r="G76" s="714">
        <f>'Revenue (Baht)'!G76-'COST (Baht)'!G76</f>
        <v>39433854.288806975</v>
      </c>
      <c r="H76" s="714">
        <f>'Revenue (Baht)'!H76-'COST (Baht)'!H76</f>
        <v>39021096.211809278</v>
      </c>
      <c r="I76" s="714">
        <f>'Revenue (Baht)'!I76-'COST (Baht)'!I76</f>
        <v>39208668.708298326</v>
      </c>
      <c r="J76" s="714">
        <f>'Revenue (Baht)'!J76-'COST (Baht)'!J76</f>
        <v>24810518.313922375</v>
      </c>
      <c r="K76" s="714">
        <f>'Revenue (Baht)'!K76-'COST (Baht)'!K76</f>
        <v>-6983088.0825416148</v>
      </c>
      <c r="L76" s="714">
        <f>'Revenue (Baht)'!L76-'COST (Baht)'!L76</f>
        <v>-8299846.6911708713</v>
      </c>
      <c r="M76" s="714">
        <f>'Revenue (Baht)'!M76-'COST (Baht)'!M76</f>
        <v>-5110236.5130239427</v>
      </c>
      <c r="N76" s="714">
        <f>'Revenue (Baht)'!N76-'COST (Baht)'!N76</f>
        <v>26406116.312518686</v>
      </c>
      <c r="O76" s="714">
        <f>'Revenue (Baht)'!O76-'COST (Baht)'!O76</f>
        <v>-5413681.3380822837</v>
      </c>
      <c r="P76" s="714">
        <f>'Revenue (Baht)'!P76-'COST (Baht)'!P76</f>
        <v>-5367179.1658092141</v>
      </c>
      <c r="Q76" s="872">
        <f t="shared" si="73"/>
        <v>193772910.55443636</v>
      </c>
      <c r="AH76" s="713" t="s">
        <v>134</v>
      </c>
      <c r="AJ76" s="705">
        <f t="shared" ref="AJ76:AU76" si="75">SUM(E97:E99,E101,E103:E105,E108:E115)</f>
        <v>0</v>
      </c>
      <c r="AK76" s="705">
        <f t="shared" si="75"/>
        <v>0</v>
      </c>
      <c r="AL76" s="705">
        <f t="shared" si="75"/>
        <v>0</v>
      </c>
      <c r="AM76" s="705">
        <f t="shared" si="75"/>
        <v>0</v>
      </c>
      <c r="AN76" s="705">
        <f t="shared" si="75"/>
        <v>0</v>
      </c>
      <c r="AO76" s="705">
        <f t="shared" si="75"/>
        <v>0</v>
      </c>
      <c r="AP76" s="705">
        <f t="shared" si="75"/>
        <v>0</v>
      </c>
      <c r="AQ76" s="705">
        <f t="shared" si="75"/>
        <v>0</v>
      </c>
      <c r="AR76" s="705">
        <f t="shared" si="75"/>
        <v>0</v>
      </c>
      <c r="AS76" s="705">
        <f t="shared" si="75"/>
        <v>0</v>
      </c>
      <c r="AT76" s="705">
        <f t="shared" si="75"/>
        <v>0</v>
      </c>
      <c r="AU76" s="705">
        <f t="shared" si="75"/>
        <v>0</v>
      </c>
      <c r="AV76" s="705">
        <f>SUM(AJ76:AU76)</f>
        <v>0</v>
      </c>
    </row>
    <row r="77" spans="1:65" ht="15.5">
      <c r="A77" s="867" t="str">
        <f>Table3[[#This Row],[Product]]</f>
        <v>LPG-D</v>
      </c>
      <c r="B77" s="28" t="s">
        <v>25</v>
      </c>
      <c r="C77" s="35" t="s">
        <v>95</v>
      </c>
      <c r="D77" s="822"/>
      <c r="E77" s="714">
        <f>Table2[[#This Row],[ม.ค.-64]]-Table5[[#This Row],[ม.ค.-64]]</f>
        <v>92851188.334171146</v>
      </c>
      <c r="F77" s="714">
        <f>'Revenue (Baht)'!F77-'COST (Baht)'!F77</f>
        <v>91487350.590292394</v>
      </c>
      <c r="G77" s="714">
        <f>'Revenue (Baht)'!G77-'COST (Baht)'!G77</f>
        <v>55489987.980402112</v>
      </c>
      <c r="H77" s="714">
        <f>'Revenue (Baht)'!H77-'COST (Baht)'!H77</f>
        <v>58623201.762832344</v>
      </c>
      <c r="I77" s="714">
        <f>'Revenue (Baht)'!I77-'COST (Baht)'!I77</f>
        <v>36942647.092557073</v>
      </c>
      <c r="J77" s="714">
        <f>'Revenue (Baht)'!J77-'COST (Baht)'!J77</f>
        <v>16955954.179452866</v>
      </c>
      <c r="K77" s="714">
        <f>'Revenue (Baht)'!K77-'COST (Baht)'!K77</f>
        <v>-5072268.9831795692</v>
      </c>
      <c r="L77" s="714">
        <f>'Revenue (Baht)'!L77-'COST (Baht)'!L77</f>
        <v>0</v>
      </c>
      <c r="M77" s="714">
        <f>'Revenue (Baht)'!M77-'COST (Baht)'!M77</f>
        <v>0</v>
      </c>
      <c r="N77" s="714">
        <f>'Revenue (Baht)'!N77-'COST (Baht)'!N77</f>
        <v>0</v>
      </c>
      <c r="O77" s="714">
        <f>'Revenue (Baht)'!O77-'COST (Baht)'!O77</f>
        <v>0</v>
      </c>
      <c r="P77" s="714">
        <f>'Revenue (Baht)'!P77-'COST (Baht)'!P77</f>
        <v>0</v>
      </c>
      <c r="Q77" s="872">
        <f t="shared" si="73"/>
        <v>347278060.95652843</v>
      </c>
      <c r="AH77" s="713" t="s">
        <v>132</v>
      </c>
      <c r="AJ77" s="705">
        <f t="shared" ref="AJ77:AU77" si="76">SUM(E100,E106,E116)</f>
        <v>0</v>
      </c>
      <c r="AK77" s="705">
        <f t="shared" si="76"/>
        <v>0</v>
      </c>
      <c r="AL77" s="705">
        <f t="shared" si="76"/>
        <v>0</v>
      </c>
      <c r="AM77" s="705">
        <f t="shared" si="76"/>
        <v>0</v>
      </c>
      <c r="AN77" s="705">
        <f t="shared" si="76"/>
        <v>0</v>
      </c>
      <c r="AO77" s="705">
        <f t="shared" si="76"/>
        <v>0</v>
      </c>
      <c r="AP77" s="705">
        <f t="shared" si="76"/>
        <v>0</v>
      </c>
      <c r="AQ77" s="705">
        <f t="shared" si="76"/>
        <v>0</v>
      </c>
      <c r="AR77" s="705">
        <f t="shared" si="76"/>
        <v>0</v>
      </c>
      <c r="AS77" s="705">
        <f t="shared" si="76"/>
        <v>0</v>
      </c>
      <c r="AT77" s="705">
        <f t="shared" si="76"/>
        <v>0</v>
      </c>
      <c r="AU77" s="705">
        <f t="shared" si="76"/>
        <v>0</v>
      </c>
      <c r="AV77" s="705">
        <f t="shared" ref="AV77:AV80" si="77">SUM(AJ77:AU77)</f>
        <v>0</v>
      </c>
    </row>
    <row r="78" spans="1:65" ht="15.5">
      <c r="A78" s="867" t="str">
        <f>Table3[[#This Row],[Product]]</f>
        <v>LPG-D</v>
      </c>
      <c r="B78" s="28" t="s">
        <v>25</v>
      </c>
      <c r="C78" s="35" t="s">
        <v>96</v>
      </c>
      <c r="D78" s="822"/>
      <c r="E78" s="714">
        <f>Table2[[#This Row],[ม.ค.-64]]-Table5[[#This Row],[ม.ค.-64]]</f>
        <v>0</v>
      </c>
      <c r="F78" s="714">
        <f>'Revenue (Baht)'!F78-'COST (Baht)'!F78</f>
        <v>0</v>
      </c>
      <c r="G78" s="714">
        <f>'Revenue (Baht)'!G78-'COST (Baht)'!G78</f>
        <v>0</v>
      </c>
      <c r="H78" s="714">
        <f>'Revenue (Baht)'!H78-'COST (Baht)'!H78</f>
        <v>0</v>
      </c>
      <c r="I78" s="714">
        <f>'Revenue (Baht)'!I78-'COST (Baht)'!I78</f>
        <v>0</v>
      </c>
      <c r="J78" s="714">
        <f>'Revenue (Baht)'!J78-'COST (Baht)'!J78</f>
        <v>0</v>
      </c>
      <c r="K78" s="714">
        <f>'Revenue (Baht)'!K78-'COST (Baht)'!K78</f>
        <v>0</v>
      </c>
      <c r="L78" s="714">
        <f>'Revenue (Baht)'!L78-'COST (Baht)'!L78</f>
        <v>0</v>
      </c>
      <c r="M78" s="714">
        <f>'Revenue (Baht)'!M78-'COST (Baht)'!M78</f>
        <v>0</v>
      </c>
      <c r="N78" s="714">
        <f>'Revenue (Baht)'!N78-'COST (Baht)'!N78</f>
        <v>0</v>
      </c>
      <c r="O78" s="714">
        <f>'Revenue (Baht)'!O78-'COST (Baht)'!O78</f>
        <v>0</v>
      </c>
      <c r="P78" s="714">
        <f>'Revenue (Baht)'!P78-'COST (Baht)'!P78</f>
        <v>0</v>
      </c>
      <c r="Q78" s="872">
        <f t="shared" si="73"/>
        <v>0</v>
      </c>
      <c r="AH78" s="713" t="s">
        <v>131</v>
      </c>
      <c r="AJ78" s="705">
        <f t="shared" ref="AJ78:AU78" si="78">SUM(E96)</f>
        <v>0</v>
      </c>
      <c r="AK78" s="705">
        <f t="shared" si="78"/>
        <v>0</v>
      </c>
      <c r="AL78" s="705">
        <f t="shared" si="78"/>
        <v>0</v>
      </c>
      <c r="AM78" s="705">
        <f t="shared" si="78"/>
        <v>0</v>
      </c>
      <c r="AN78" s="705">
        <f t="shared" si="78"/>
        <v>0</v>
      </c>
      <c r="AO78" s="705">
        <f t="shared" si="78"/>
        <v>0</v>
      </c>
      <c r="AP78" s="705">
        <f t="shared" si="78"/>
        <v>0</v>
      </c>
      <c r="AQ78" s="705">
        <f t="shared" si="78"/>
        <v>0</v>
      </c>
      <c r="AR78" s="705">
        <f t="shared" si="78"/>
        <v>0</v>
      </c>
      <c r="AS78" s="705">
        <f t="shared" si="78"/>
        <v>0</v>
      </c>
      <c r="AT78" s="705">
        <f t="shared" si="78"/>
        <v>0</v>
      </c>
      <c r="AU78" s="705">
        <f t="shared" si="78"/>
        <v>0</v>
      </c>
      <c r="AV78" s="705">
        <f t="shared" si="77"/>
        <v>0</v>
      </c>
    </row>
    <row r="79" spans="1:65" ht="15.5">
      <c r="A79" s="867" t="str">
        <f>Table3[[#This Row],[Product]]</f>
        <v>LPG-D</v>
      </c>
      <c r="B79" s="28" t="s">
        <v>25</v>
      </c>
      <c r="C79" s="35" t="s">
        <v>98</v>
      </c>
      <c r="D79" s="822"/>
      <c r="E79" s="714">
        <f>Table2[[#This Row],[ม.ค.-64]]-Table5[[#This Row],[ม.ค.-64]]</f>
        <v>0</v>
      </c>
      <c r="F79" s="714">
        <f>'Revenue (Baht)'!F79-'COST (Baht)'!F79</f>
        <v>0</v>
      </c>
      <c r="G79" s="714">
        <f>'Revenue (Baht)'!G79-'COST (Baht)'!G79</f>
        <v>0</v>
      </c>
      <c r="H79" s="714">
        <f>'Revenue (Baht)'!H79-'COST (Baht)'!H79</f>
        <v>0</v>
      </c>
      <c r="I79" s="714">
        <f>'Revenue (Baht)'!I79-'COST (Baht)'!I79</f>
        <v>0</v>
      </c>
      <c r="J79" s="714">
        <f>'Revenue (Baht)'!J79-'COST (Baht)'!J79</f>
        <v>0</v>
      </c>
      <c r="K79" s="714">
        <f>'Revenue (Baht)'!K79-'COST (Baht)'!K79</f>
        <v>0</v>
      </c>
      <c r="L79" s="714">
        <f>'Revenue (Baht)'!L79-'COST (Baht)'!L79</f>
        <v>0</v>
      </c>
      <c r="M79" s="714">
        <f>'Revenue (Baht)'!M79-'COST (Baht)'!M79</f>
        <v>0</v>
      </c>
      <c r="N79" s="714">
        <f>'Revenue (Baht)'!N79-'COST (Baht)'!N79</f>
        <v>0</v>
      </c>
      <c r="O79" s="714">
        <f>'Revenue (Baht)'!O79-'COST (Baht)'!O79</f>
        <v>0</v>
      </c>
      <c r="P79" s="714">
        <f>'Revenue (Baht)'!P79-'COST (Baht)'!P79</f>
        <v>0</v>
      </c>
      <c r="Q79" s="872">
        <f t="shared" si="73"/>
        <v>0</v>
      </c>
      <c r="AH79" s="713" t="s">
        <v>133</v>
      </c>
      <c r="AJ79" s="705">
        <f t="shared" ref="AJ79:AU79" si="79">SUM(E102,E107)</f>
        <v>0</v>
      </c>
      <c r="AK79" s="705">
        <f t="shared" si="79"/>
        <v>0</v>
      </c>
      <c r="AL79" s="705">
        <f t="shared" si="79"/>
        <v>0</v>
      </c>
      <c r="AM79" s="705">
        <f t="shared" si="79"/>
        <v>0</v>
      </c>
      <c r="AN79" s="705">
        <f t="shared" si="79"/>
        <v>0</v>
      </c>
      <c r="AO79" s="705">
        <f t="shared" si="79"/>
        <v>0</v>
      </c>
      <c r="AP79" s="705">
        <f t="shared" si="79"/>
        <v>0</v>
      </c>
      <c r="AQ79" s="705">
        <f t="shared" si="79"/>
        <v>0</v>
      </c>
      <c r="AR79" s="705">
        <f t="shared" si="79"/>
        <v>0</v>
      </c>
      <c r="AS79" s="705">
        <f t="shared" si="79"/>
        <v>0</v>
      </c>
      <c r="AT79" s="705">
        <f t="shared" si="79"/>
        <v>0</v>
      </c>
      <c r="AU79" s="705">
        <f t="shared" si="79"/>
        <v>0</v>
      </c>
      <c r="AV79" s="705">
        <f t="shared" si="77"/>
        <v>0</v>
      </c>
    </row>
    <row r="80" spans="1:65" ht="15.5">
      <c r="A80" s="867" t="str">
        <f>Table3[[#This Row],[Product]]</f>
        <v>LPG-D</v>
      </c>
      <c r="B80" s="28" t="s">
        <v>25</v>
      </c>
      <c r="C80" s="35" t="s">
        <v>99</v>
      </c>
      <c r="D80" s="822"/>
      <c r="E80" s="714">
        <f>Table2[[#This Row],[ม.ค.-64]]-Table5[[#This Row],[ม.ค.-64]]</f>
        <v>6769346.8661965318</v>
      </c>
      <c r="F80" s="714">
        <f>'Revenue (Baht)'!F80-'COST (Baht)'!F80</f>
        <v>0</v>
      </c>
      <c r="G80" s="714">
        <f>'Revenue (Baht)'!G80-'COST (Baht)'!G80</f>
        <v>21493977.655752108</v>
      </c>
      <c r="H80" s="714">
        <f>'Revenue (Baht)'!H80-'COST (Baht)'!H80</f>
        <v>14694770.987818271</v>
      </c>
      <c r="I80" s="714">
        <f>'Revenue (Baht)'!I80-'COST (Baht)'!I80</f>
        <v>18536029.543156713</v>
      </c>
      <c r="J80" s="714">
        <f>'Revenue (Baht)'!J80-'COST (Baht)'!J80</f>
        <v>16260211.582448363</v>
      </c>
      <c r="K80" s="714">
        <f>'Revenue (Baht)'!K80-'COST (Baht)'!K80</f>
        <v>-3693700.3704688847</v>
      </c>
      <c r="L80" s="714">
        <f>'Revenue (Baht)'!L80-'COST (Baht)'!L80</f>
        <v>-4652011.7540877759</v>
      </c>
      <c r="M80" s="714">
        <f>'Revenue (Baht)'!M80-'COST (Baht)'!M80</f>
        <v>-2327177.7916443646</v>
      </c>
      <c r="N80" s="714">
        <f>'Revenue (Baht)'!N80-'COST (Baht)'!N80</f>
        <v>20543284.396086574</v>
      </c>
      <c r="O80" s="714">
        <f>'Revenue (Baht)'!O80-'COST (Baht)'!O80</f>
        <v>-2536675.4998160005</v>
      </c>
      <c r="P80" s="714">
        <f>'Revenue (Baht)'!P80-'COST (Baht)'!P80</f>
        <v>-2502945.9241939485</v>
      </c>
      <c r="Q80" s="872">
        <f t="shared" si="73"/>
        <v>82585109.691247582</v>
      </c>
      <c r="AH80" s="147" t="s">
        <v>177</v>
      </c>
      <c r="AJ80" s="705">
        <f>SUM(AJ76:AJ79)</f>
        <v>0</v>
      </c>
      <c r="AK80" s="705">
        <f t="shared" ref="AK80:AU80" si="80">SUM(AK76:AK79)</f>
        <v>0</v>
      </c>
      <c r="AL80" s="705">
        <f t="shared" si="80"/>
        <v>0</v>
      </c>
      <c r="AM80" s="705">
        <f t="shared" si="80"/>
        <v>0</v>
      </c>
      <c r="AN80" s="705">
        <f t="shared" si="80"/>
        <v>0</v>
      </c>
      <c r="AO80" s="705">
        <f t="shared" si="80"/>
        <v>0</v>
      </c>
      <c r="AP80" s="705">
        <f t="shared" si="80"/>
        <v>0</v>
      </c>
      <c r="AQ80" s="705">
        <f t="shared" si="80"/>
        <v>0</v>
      </c>
      <c r="AR80" s="705">
        <f t="shared" si="80"/>
        <v>0</v>
      </c>
      <c r="AS80" s="705">
        <f t="shared" si="80"/>
        <v>0</v>
      </c>
      <c r="AT80" s="705">
        <f t="shared" si="80"/>
        <v>0</v>
      </c>
      <c r="AU80" s="705">
        <f t="shared" si="80"/>
        <v>0</v>
      </c>
      <c r="AV80" s="705">
        <f t="shared" si="77"/>
        <v>0</v>
      </c>
    </row>
    <row r="81" spans="1:17" ht="15.5">
      <c r="A81" s="885" t="str">
        <f>Table3[[#This Row],[Product]]</f>
        <v>LPG-D</v>
      </c>
      <c r="B81" s="28" t="s">
        <v>25</v>
      </c>
      <c r="C81" s="35" t="s">
        <v>600</v>
      </c>
      <c r="D81" s="822"/>
      <c r="E81" s="714">
        <f>Table2[[#This Row],[ม.ค.-64]]-Table5[[#This Row],[ม.ค.-64]]</f>
        <v>0</v>
      </c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886"/>
    </row>
    <row r="82" spans="1:17" ht="15.5">
      <c r="A82" s="867" t="str">
        <f>Table3[[#This Row],[Product]]</f>
        <v>LPG-D</v>
      </c>
      <c r="B82" s="28" t="s">
        <v>25</v>
      </c>
      <c r="C82" s="35" t="s">
        <v>102</v>
      </c>
      <c r="D82" s="822"/>
      <c r="E82" s="714">
        <f>Table2[[#This Row],[ม.ค.-64]]-Table5[[#This Row],[ม.ค.-64]]</f>
        <v>0</v>
      </c>
      <c r="F82" s="714">
        <f>'Revenue (Baht)'!F82-'COST (Baht)'!F82</f>
        <v>0</v>
      </c>
      <c r="G82" s="714">
        <f>'Revenue (Baht)'!G82-'COST (Baht)'!G82</f>
        <v>0</v>
      </c>
      <c r="H82" s="714">
        <f>'Revenue (Baht)'!H82-'COST (Baht)'!H82</f>
        <v>0</v>
      </c>
      <c r="I82" s="714">
        <f>'Revenue (Baht)'!I82-'COST (Baht)'!I82</f>
        <v>0</v>
      </c>
      <c r="J82" s="714">
        <f>'Revenue (Baht)'!J82-'COST (Baht)'!J82</f>
        <v>0</v>
      </c>
      <c r="K82" s="714">
        <f>'Revenue (Baht)'!K82-'COST (Baht)'!K82</f>
        <v>0</v>
      </c>
      <c r="L82" s="714">
        <f>'Revenue (Baht)'!L82-'COST (Baht)'!L82</f>
        <v>0</v>
      </c>
      <c r="M82" s="714">
        <f>'Revenue (Baht)'!M82-'COST (Baht)'!M82</f>
        <v>0</v>
      </c>
      <c r="N82" s="714">
        <f>'Revenue (Baht)'!N82-'COST (Baht)'!N82</f>
        <v>0</v>
      </c>
      <c r="O82" s="714">
        <f>'Revenue (Baht)'!O82-'COST (Baht)'!O82</f>
        <v>0</v>
      </c>
      <c r="P82" s="714">
        <f>'Revenue (Baht)'!P82-'COST (Baht)'!P82</f>
        <v>0</v>
      </c>
      <c r="Q82" s="872">
        <f t="shared" si="73"/>
        <v>0</v>
      </c>
    </row>
    <row r="83" spans="1:17" ht="15.5">
      <c r="A83" s="867" t="str">
        <f>Table3[[#This Row],[Product]]</f>
        <v>LPG-D</v>
      </c>
      <c r="B83" s="28" t="s">
        <v>25</v>
      </c>
      <c r="C83" s="35" t="s">
        <v>103</v>
      </c>
      <c r="D83" s="822"/>
      <c r="E83" s="714">
        <f>Table2[[#This Row],[ม.ค.-64]]-Table5[[#This Row],[ม.ค.-64]]</f>
        <v>2892338.2578469543</v>
      </c>
      <c r="F83" s="714">
        <f>'Revenue (Baht)'!F83-'COST (Baht)'!F83</f>
        <v>7328892.7361125834</v>
      </c>
      <c r="G83" s="714">
        <f>'Revenue (Baht)'!G83-'COST (Baht)'!G83</f>
        <v>7063054.2474807203</v>
      </c>
      <c r="H83" s="714">
        <f>'Revenue (Baht)'!H83-'COST (Baht)'!H83</f>
        <v>7963467.3249981999</v>
      </c>
      <c r="I83" s="714">
        <f>'Revenue (Baht)'!I83-'COST (Baht)'!I83</f>
        <v>6396215.953783948</v>
      </c>
      <c r="J83" s="714">
        <f>'Revenue (Baht)'!J83-'COST (Baht)'!J83</f>
        <v>4845564.4921375811</v>
      </c>
      <c r="K83" s="714">
        <f>'Revenue (Baht)'!K83-'COST (Baht)'!K83</f>
        <v>-539833.09645314515</v>
      </c>
      <c r="L83" s="714">
        <f>'Revenue (Baht)'!L83-'COST (Baht)'!L83</f>
        <v>-858524.81949587911</v>
      </c>
      <c r="M83" s="714">
        <f>'Revenue (Baht)'!M83-'COST (Baht)'!M83</f>
        <v>-83654.093916989863</v>
      </c>
      <c r="N83" s="714">
        <f>'Revenue (Baht)'!N83-'COST (Baht)'!N83</f>
        <v>7489052.9294137061</v>
      </c>
      <c r="O83" s="714">
        <f>'Revenue (Baht)'!O83-'COST (Baht)'!O83</f>
        <v>-147698.50673051924</v>
      </c>
      <c r="P83" s="714">
        <f>'Revenue (Baht)'!P83-'COST (Baht)'!P83</f>
        <v>-136537.9853849858</v>
      </c>
      <c r="Q83" s="872">
        <f t="shared" si="73"/>
        <v>42212337.439792179</v>
      </c>
    </row>
    <row r="84" spans="1:17" ht="15.5">
      <c r="A84" s="867" t="str">
        <f>Table3[[#This Row],[Product]]</f>
        <v>LPG-D</v>
      </c>
      <c r="B84" s="28" t="s">
        <v>25</v>
      </c>
      <c r="C84" s="35" t="s">
        <v>104</v>
      </c>
      <c r="D84" s="822"/>
      <c r="E84" s="714">
        <f>Table2[[#This Row],[ม.ค.-64]]-Table5[[#This Row],[ม.ค.-64]]</f>
        <v>3165923.1006613551</v>
      </c>
      <c r="F84" s="714">
        <f>'Revenue (Baht)'!F84-'COST (Baht)'!F84</f>
        <v>3168780.2487643873</v>
      </c>
      <c r="G84" s="714">
        <f>'Revenue (Baht)'!G84-'COST (Baht)'!G84</f>
        <v>3083697.3621779568</v>
      </c>
      <c r="H84" s="714">
        <f>'Revenue (Baht)'!H84-'COST (Baht)'!H84</f>
        <v>3442218.9711029604</v>
      </c>
      <c r="I84" s="714">
        <f>'Revenue (Baht)'!I84-'COST (Baht)'!I84</f>
        <v>3376940.4021572862</v>
      </c>
      <c r="J84" s="714">
        <f>'Revenue (Baht)'!J84-'COST (Baht)'!J84</f>
        <v>2181490.9041165989</v>
      </c>
      <c r="K84" s="714">
        <f>'Revenue (Baht)'!K84-'COST (Baht)'!K84</f>
        <v>-232127.84382287692</v>
      </c>
      <c r="L84" s="714">
        <f>'Revenue (Baht)'!L84-'COST (Baht)'!L84</f>
        <v>-284909.08983403817</v>
      </c>
      <c r="M84" s="714">
        <f>'Revenue (Baht)'!M84-'COST (Baht)'!M84</f>
        <v>-156935.67596423719</v>
      </c>
      <c r="N84" s="714">
        <f>'Revenue (Baht)'!N84-'COST (Baht)'!N84</f>
        <v>1104083.269215445</v>
      </c>
      <c r="O84" s="714">
        <f>'Revenue (Baht)'!O84-'COST (Baht)'!O84</f>
        <v>-168708.63680859469</v>
      </c>
      <c r="P84" s="714">
        <f>'Revenue (Baht)'!P84-'COST (Baht)'!P84</f>
        <v>-166848.54991767183</v>
      </c>
      <c r="Q84" s="872">
        <f t="shared" si="73"/>
        <v>18513604.461848576</v>
      </c>
    </row>
    <row r="85" spans="1:17" ht="15.5">
      <c r="A85" s="867" t="str">
        <f>Table3[[#This Row],[Product]]</f>
        <v>LPG-D</v>
      </c>
      <c r="B85" s="28" t="s">
        <v>25</v>
      </c>
      <c r="C85" s="38" t="s">
        <v>105</v>
      </c>
      <c r="D85" s="822"/>
      <c r="E85" s="714">
        <f>Table2[[#This Row],[ม.ค.-64]]-Table5[[#This Row],[ม.ค.-64]]</f>
        <v>0</v>
      </c>
      <c r="F85" s="714">
        <f>'Revenue (Baht)'!F85-'COST (Baht)'!F85</f>
        <v>0</v>
      </c>
      <c r="G85" s="714">
        <f>'Revenue (Baht)'!G85-'COST (Baht)'!G85</f>
        <v>0</v>
      </c>
      <c r="H85" s="714">
        <f>'Revenue (Baht)'!H85-'COST (Baht)'!H85</f>
        <v>0</v>
      </c>
      <c r="I85" s="714">
        <f>'Revenue (Baht)'!I85-'COST (Baht)'!I85</f>
        <v>0</v>
      </c>
      <c r="J85" s="714">
        <f>'Revenue (Baht)'!J85-'COST (Baht)'!J85</f>
        <v>0</v>
      </c>
      <c r="K85" s="714">
        <f>'Revenue (Baht)'!K85-'COST (Baht)'!K85</f>
        <v>0</v>
      </c>
      <c r="L85" s="714">
        <f>'Revenue (Baht)'!L85-'COST (Baht)'!L85</f>
        <v>0</v>
      </c>
      <c r="M85" s="714">
        <f>'Revenue (Baht)'!M85-'COST (Baht)'!M85</f>
        <v>0</v>
      </c>
      <c r="N85" s="714">
        <f>'Revenue (Baht)'!N85-'COST (Baht)'!N85</f>
        <v>0</v>
      </c>
      <c r="O85" s="714">
        <f>'Revenue (Baht)'!O85-'COST (Baht)'!O85</f>
        <v>0</v>
      </c>
      <c r="P85" s="714">
        <f>'Revenue (Baht)'!P85-'COST (Baht)'!P85</f>
        <v>0</v>
      </c>
      <c r="Q85" s="872">
        <f t="shared" si="73"/>
        <v>0</v>
      </c>
    </row>
    <row r="86" spans="1:17" ht="15.5">
      <c r="A86" s="867" t="str">
        <f>Table3[[#This Row],[Product]]</f>
        <v>LPG-D</v>
      </c>
      <c r="B86" s="28" t="s">
        <v>25</v>
      </c>
      <c r="C86" s="38" t="s">
        <v>106</v>
      </c>
      <c r="D86" s="822"/>
      <c r="E86" s="714">
        <f>Table2[[#This Row],[ม.ค.-64]]-Table5[[#This Row],[ม.ค.-64]]</f>
        <v>0</v>
      </c>
      <c r="F86" s="714">
        <f>'Revenue (Baht)'!F86-'COST (Baht)'!F86</f>
        <v>0</v>
      </c>
      <c r="G86" s="714">
        <f>'Revenue (Baht)'!G86-'COST (Baht)'!G86</f>
        <v>0</v>
      </c>
      <c r="H86" s="714">
        <f>'Revenue (Baht)'!H86-'COST (Baht)'!H86</f>
        <v>0</v>
      </c>
      <c r="I86" s="714">
        <f>'Revenue (Baht)'!I86-'COST (Baht)'!I86</f>
        <v>0</v>
      </c>
      <c r="J86" s="714">
        <f>'Revenue (Baht)'!J86-'COST (Baht)'!J86</f>
        <v>0</v>
      </c>
      <c r="K86" s="714">
        <f>'Revenue (Baht)'!K86-'COST (Baht)'!K86</f>
        <v>0</v>
      </c>
      <c r="L86" s="714">
        <f>'Revenue (Baht)'!L86-'COST (Baht)'!L86</f>
        <v>0</v>
      </c>
      <c r="M86" s="714">
        <f>'Revenue (Baht)'!M86-'COST (Baht)'!M86</f>
        <v>0</v>
      </c>
      <c r="N86" s="714">
        <f>'Revenue (Baht)'!N86-'COST (Baht)'!N86</f>
        <v>0</v>
      </c>
      <c r="O86" s="714">
        <f>'Revenue (Baht)'!O86-'COST (Baht)'!O86</f>
        <v>0</v>
      </c>
      <c r="P86" s="714">
        <f>'Revenue (Baht)'!P86-'COST (Baht)'!P86</f>
        <v>0</v>
      </c>
      <c r="Q86" s="872">
        <f t="shared" si="73"/>
        <v>0</v>
      </c>
    </row>
    <row r="87" spans="1:17" ht="15.5">
      <c r="A87" s="867" t="str">
        <f>Table3[[#This Row],[Product]]</f>
        <v>LPG-D</v>
      </c>
      <c r="B87" s="28" t="s">
        <v>25</v>
      </c>
      <c r="C87" s="38" t="s">
        <v>107</v>
      </c>
      <c r="D87" s="822"/>
      <c r="E87" s="714">
        <f>Table2[[#This Row],[ม.ค.-64]]-Table5[[#This Row],[ม.ค.-64]]</f>
        <v>0</v>
      </c>
      <c r="F87" s="714">
        <f>'Revenue (Baht)'!F87-'COST (Baht)'!F87</f>
        <v>0</v>
      </c>
      <c r="G87" s="714">
        <f>'Revenue (Baht)'!G87-'COST (Baht)'!G87</f>
        <v>0</v>
      </c>
      <c r="H87" s="714">
        <f>'Revenue (Baht)'!H87-'COST (Baht)'!H87</f>
        <v>0</v>
      </c>
      <c r="I87" s="714">
        <f>'Revenue (Baht)'!I87-'COST (Baht)'!I87</f>
        <v>0</v>
      </c>
      <c r="J87" s="714">
        <f>'Revenue (Baht)'!J87-'COST (Baht)'!J87</f>
        <v>0</v>
      </c>
      <c r="K87" s="714">
        <f>'Revenue (Baht)'!K87-'COST (Baht)'!K87</f>
        <v>0</v>
      </c>
      <c r="L87" s="714">
        <f>'Revenue (Baht)'!L87-'COST (Baht)'!L87</f>
        <v>0</v>
      </c>
      <c r="M87" s="714">
        <f>'Revenue (Baht)'!M87-'COST (Baht)'!M87</f>
        <v>0</v>
      </c>
      <c r="N87" s="714">
        <f>'Revenue (Baht)'!N87-'COST (Baht)'!N87</f>
        <v>0</v>
      </c>
      <c r="O87" s="714">
        <f>'Revenue (Baht)'!O87-'COST (Baht)'!O87</f>
        <v>0</v>
      </c>
      <c r="P87" s="714">
        <f>'Revenue (Baht)'!P87-'COST (Baht)'!P87</f>
        <v>0</v>
      </c>
      <c r="Q87" s="872">
        <f t="shared" si="73"/>
        <v>0</v>
      </c>
    </row>
    <row r="88" spans="1:17" ht="15.5">
      <c r="A88" s="867" t="str">
        <f>Table3[[#This Row],[Product]]</f>
        <v>LPG-D</v>
      </c>
      <c r="B88" s="28" t="s">
        <v>25</v>
      </c>
      <c r="C88" s="38" t="s">
        <v>108</v>
      </c>
      <c r="D88" s="822"/>
      <c r="E88" s="714">
        <f>Table2[[#This Row],[ม.ค.-64]]-Table5[[#This Row],[ม.ค.-64]]</f>
        <v>0</v>
      </c>
      <c r="F88" s="714">
        <f>'Revenue (Baht)'!F88-'COST (Baht)'!F88</f>
        <v>0</v>
      </c>
      <c r="G88" s="714">
        <f>'Revenue (Baht)'!G88-'COST (Baht)'!G88</f>
        <v>0</v>
      </c>
      <c r="H88" s="714">
        <f>'Revenue (Baht)'!H88-'COST (Baht)'!H88</f>
        <v>0</v>
      </c>
      <c r="I88" s="714">
        <f>'Revenue (Baht)'!I88-'COST (Baht)'!I88</f>
        <v>0</v>
      </c>
      <c r="J88" s="714">
        <f>'Revenue (Baht)'!J88-'COST (Baht)'!J88</f>
        <v>0</v>
      </c>
      <c r="K88" s="714">
        <f>'Revenue (Baht)'!K88-'COST (Baht)'!K88</f>
        <v>0</v>
      </c>
      <c r="L88" s="714">
        <f>'Revenue (Baht)'!L88-'COST (Baht)'!L88</f>
        <v>0</v>
      </c>
      <c r="M88" s="714">
        <f>'Revenue (Baht)'!M88-'COST (Baht)'!M88</f>
        <v>0</v>
      </c>
      <c r="N88" s="714">
        <f>'Revenue (Baht)'!N88-'COST (Baht)'!N88</f>
        <v>0</v>
      </c>
      <c r="O88" s="714">
        <f>'Revenue (Baht)'!O88-'COST (Baht)'!O88</f>
        <v>0</v>
      </c>
      <c r="P88" s="714">
        <f>'Revenue (Baht)'!P88-'COST (Baht)'!P88</f>
        <v>0</v>
      </c>
      <c r="Q88" s="872">
        <f t="shared" si="73"/>
        <v>0</v>
      </c>
    </row>
    <row r="89" spans="1:17" ht="15.5">
      <c r="A89" s="867" t="str">
        <f>Table3[[#This Row],[Product]]</f>
        <v>LPG-D</v>
      </c>
      <c r="B89" s="28" t="s">
        <v>25</v>
      </c>
      <c r="C89" s="38" t="s">
        <v>109</v>
      </c>
      <c r="D89" s="822"/>
      <c r="E89" s="714">
        <f>Table2[[#This Row],[ม.ค.-64]]-Table5[[#This Row],[ม.ค.-64]]</f>
        <v>0</v>
      </c>
      <c r="F89" s="714">
        <f>'Revenue (Baht)'!F89-'COST (Baht)'!F89</f>
        <v>0</v>
      </c>
      <c r="G89" s="714">
        <f>'Revenue (Baht)'!G89-'COST (Baht)'!G89</f>
        <v>0</v>
      </c>
      <c r="H89" s="714">
        <f>'Revenue (Baht)'!H89-'COST (Baht)'!H89</f>
        <v>0</v>
      </c>
      <c r="I89" s="714">
        <f>'Revenue (Baht)'!I89-'COST (Baht)'!I89</f>
        <v>0</v>
      </c>
      <c r="J89" s="714">
        <f>'Revenue (Baht)'!J89-'COST (Baht)'!J89</f>
        <v>0</v>
      </c>
      <c r="K89" s="714">
        <f>'Revenue (Baht)'!K89-'COST (Baht)'!K89</f>
        <v>0</v>
      </c>
      <c r="L89" s="714">
        <f>'Revenue (Baht)'!L89-'COST (Baht)'!L89</f>
        <v>0</v>
      </c>
      <c r="M89" s="714">
        <f>'Revenue (Baht)'!M89-'COST (Baht)'!M89</f>
        <v>0</v>
      </c>
      <c r="N89" s="714">
        <f>'Revenue (Baht)'!N89-'COST (Baht)'!N89</f>
        <v>0</v>
      </c>
      <c r="O89" s="714">
        <f>'Revenue (Baht)'!O89-'COST (Baht)'!O89</f>
        <v>0</v>
      </c>
      <c r="P89" s="714">
        <f>'Revenue (Baht)'!P89-'COST (Baht)'!P89</f>
        <v>0</v>
      </c>
      <c r="Q89" s="872">
        <f t="shared" si="73"/>
        <v>0</v>
      </c>
    </row>
    <row r="90" spans="1:17" ht="15.5">
      <c r="A90" s="867" t="str">
        <f>Table3[[#This Row],[Product]]</f>
        <v>LPG-D</v>
      </c>
      <c r="B90" s="28" t="s">
        <v>25</v>
      </c>
      <c r="C90" s="38" t="s">
        <v>110</v>
      </c>
      <c r="D90" s="822"/>
      <c r="E90" s="714">
        <f>Table2[[#This Row],[ม.ค.-64]]-Table5[[#This Row],[ม.ค.-64]]</f>
        <v>0</v>
      </c>
      <c r="F90" s="714">
        <f>'Revenue (Baht)'!F90-'COST (Baht)'!F90</f>
        <v>0</v>
      </c>
      <c r="G90" s="714">
        <f>'Revenue (Baht)'!G90-'COST (Baht)'!G90</f>
        <v>0</v>
      </c>
      <c r="H90" s="714">
        <f>'Revenue (Baht)'!H90-'COST (Baht)'!H90</f>
        <v>0</v>
      </c>
      <c r="I90" s="714">
        <f>'Revenue (Baht)'!I90-'COST (Baht)'!I90</f>
        <v>0</v>
      </c>
      <c r="J90" s="714">
        <f>'Revenue (Baht)'!J90-'COST (Baht)'!J90</f>
        <v>0</v>
      </c>
      <c r="K90" s="714">
        <f>'Revenue (Baht)'!K90-'COST (Baht)'!K90</f>
        <v>0</v>
      </c>
      <c r="L90" s="714">
        <f>'Revenue (Baht)'!L90-'COST (Baht)'!L90</f>
        <v>0</v>
      </c>
      <c r="M90" s="714">
        <f>'Revenue (Baht)'!M90-'COST (Baht)'!M90</f>
        <v>0</v>
      </c>
      <c r="N90" s="714">
        <f>'Revenue (Baht)'!N90-'COST (Baht)'!N90</f>
        <v>0</v>
      </c>
      <c r="O90" s="714">
        <f>'Revenue (Baht)'!O90-'COST (Baht)'!O90</f>
        <v>0</v>
      </c>
      <c r="P90" s="714">
        <f>'Revenue (Baht)'!P90-'COST (Baht)'!P90</f>
        <v>0</v>
      </c>
      <c r="Q90" s="872">
        <f t="shared" si="73"/>
        <v>0</v>
      </c>
    </row>
    <row r="91" spans="1:17" ht="15.5">
      <c r="A91" s="867" t="str">
        <f>Table3[[#This Row],[Product]]</f>
        <v>LPG-D</v>
      </c>
      <c r="B91" s="28" t="s">
        <v>25</v>
      </c>
      <c r="C91" s="38" t="s">
        <v>111</v>
      </c>
      <c r="D91" s="822"/>
      <c r="E91" s="714">
        <f>Table2[[#This Row],[ม.ค.-64]]-Table5[[#This Row],[ม.ค.-64]]</f>
        <v>55633534.952909559</v>
      </c>
      <c r="F91" s="714">
        <f>'Revenue (Baht)'!F91-'COST (Baht)'!F91</f>
        <v>53942816.756125152</v>
      </c>
      <c r="G91" s="714">
        <f>'Revenue (Baht)'!G91-'COST (Baht)'!G91</f>
        <v>36630842.912706792</v>
      </c>
      <c r="H91" s="714">
        <f>'Revenue (Baht)'!H91-'COST (Baht)'!H91</f>
        <v>32053641.370385468</v>
      </c>
      <c r="I91" s="714">
        <f>'Revenue (Baht)'!I91-'COST (Baht)'!I91</f>
        <v>22603596.980903238</v>
      </c>
      <c r="J91" s="714">
        <f>'Revenue (Baht)'!J91-'COST (Baht)'!J91</f>
        <v>19816709.908708811</v>
      </c>
      <c r="K91" s="714">
        <f>'Revenue (Baht)'!K91-'COST (Baht)'!K91</f>
        <v>-1433983.5895307064</v>
      </c>
      <c r="L91" s="714">
        <f>'Revenue (Baht)'!L91-'COST (Baht)'!L91</f>
        <v>0</v>
      </c>
      <c r="M91" s="714">
        <f>'Revenue (Baht)'!M91-'COST (Baht)'!M91</f>
        <v>0</v>
      </c>
      <c r="N91" s="714">
        <f>'Revenue (Baht)'!N91-'COST (Baht)'!N91</f>
        <v>0</v>
      </c>
      <c r="O91" s="714">
        <f>'Revenue (Baht)'!O91-'COST (Baht)'!O91</f>
        <v>0</v>
      </c>
      <c r="P91" s="714">
        <f>'Revenue (Baht)'!P91-'COST (Baht)'!P91</f>
        <v>0</v>
      </c>
      <c r="Q91" s="872">
        <f t="shared" si="73"/>
        <v>219247159.29220831</v>
      </c>
    </row>
    <row r="92" spans="1:17" ht="15.5">
      <c r="A92" s="867" t="str">
        <f>Table3[[#This Row],[Product]]</f>
        <v>LPG-D</v>
      </c>
      <c r="B92" s="28" t="s">
        <v>25</v>
      </c>
      <c r="C92" s="38" t="s">
        <v>112</v>
      </c>
      <c r="D92" s="822"/>
      <c r="E92" s="714">
        <f>Table2[[#This Row],[ม.ค.-64]]-Table5[[#This Row],[ม.ค.-64]]</f>
        <v>0</v>
      </c>
      <c r="F92" s="714">
        <f>'Revenue (Baht)'!F92-'COST (Baht)'!F92</f>
        <v>0</v>
      </c>
      <c r="G92" s="714">
        <f>'Revenue (Baht)'!G92-'COST (Baht)'!G92</f>
        <v>0</v>
      </c>
      <c r="H92" s="714">
        <f>'Revenue (Baht)'!H92-'COST (Baht)'!H92</f>
        <v>0</v>
      </c>
      <c r="I92" s="714">
        <f>'Revenue (Baht)'!I92-'COST (Baht)'!I92</f>
        <v>0</v>
      </c>
      <c r="J92" s="714">
        <f>'Revenue (Baht)'!J92-'COST (Baht)'!J92</f>
        <v>0</v>
      </c>
      <c r="K92" s="714">
        <f>'Revenue (Baht)'!K92-'COST (Baht)'!K92</f>
        <v>0</v>
      </c>
      <c r="L92" s="714">
        <f>'Revenue (Baht)'!L92-'COST (Baht)'!L92</f>
        <v>0</v>
      </c>
      <c r="M92" s="714">
        <f>'Revenue (Baht)'!M92-'COST (Baht)'!M92</f>
        <v>0</v>
      </c>
      <c r="N92" s="714">
        <f>'Revenue (Baht)'!N92-'COST (Baht)'!N92</f>
        <v>0</v>
      </c>
      <c r="O92" s="714">
        <f>'Revenue (Baht)'!O92-'COST (Baht)'!O92</f>
        <v>0</v>
      </c>
      <c r="P92" s="714">
        <f>'Revenue (Baht)'!P92-'COST (Baht)'!P92</f>
        <v>0</v>
      </c>
      <c r="Q92" s="872">
        <f t="shared" si="73"/>
        <v>0</v>
      </c>
    </row>
    <row r="93" spans="1:17" ht="15.5">
      <c r="A93" s="867" t="str">
        <f>Table3[[#This Row],[Product]]</f>
        <v>LPG-D</v>
      </c>
      <c r="B93" s="28" t="s">
        <v>25</v>
      </c>
      <c r="C93" s="28" t="s">
        <v>113</v>
      </c>
      <c r="D93" s="822"/>
      <c r="E93" s="714">
        <f>Table2[[#This Row],[ม.ค.-64]]-Table5[[#This Row],[ม.ค.-64]]</f>
        <v>0</v>
      </c>
      <c r="F93" s="714">
        <f>'Revenue (Baht)'!F93-'COST (Baht)'!F93</f>
        <v>0</v>
      </c>
      <c r="G93" s="714">
        <f>'Revenue (Baht)'!G93-'COST (Baht)'!G93</f>
        <v>0</v>
      </c>
      <c r="H93" s="714">
        <f>'Revenue (Baht)'!H93-'COST (Baht)'!H93</f>
        <v>0</v>
      </c>
      <c r="I93" s="714">
        <f>'Revenue (Baht)'!I93-'COST (Baht)'!I93</f>
        <v>0</v>
      </c>
      <c r="J93" s="714">
        <f>'Revenue (Baht)'!J93-'COST (Baht)'!J93</f>
        <v>0</v>
      </c>
      <c r="K93" s="714">
        <f>'Revenue (Baht)'!K93-'COST (Baht)'!K93</f>
        <v>0</v>
      </c>
      <c r="L93" s="714">
        <f>'Revenue (Baht)'!L93-'COST (Baht)'!L93</f>
        <v>0</v>
      </c>
      <c r="M93" s="714">
        <f>'Revenue (Baht)'!M93-'COST (Baht)'!M93</f>
        <v>0</v>
      </c>
      <c r="N93" s="714">
        <f>'Revenue (Baht)'!N93-'COST (Baht)'!N93</f>
        <v>0</v>
      </c>
      <c r="O93" s="714">
        <f>'Revenue (Baht)'!O93-'COST (Baht)'!O93</f>
        <v>0</v>
      </c>
      <c r="P93" s="714">
        <f>'Revenue (Baht)'!P93-'COST (Baht)'!P93</f>
        <v>0</v>
      </c>
      <c r="Q93" s="872">
        <f t="shared" si="73"/>
        <v>0</v>
      </c>
    </row>
    <row r="94" spans="1:17" ht="15.5">
      <c r="A94" s="867" t="str">
        <f>Table3[[#This Row],[Product]]</f>
        <v>LPG-D</v>
      </c>
      <c r="B94" s="28" t="s">
        <v>25</v>
      </c>
      <c r="C94" s="28" t="s">
        <v>114</v>
      </c>
      <c r="D94" s="822"/>
      <c r="E94" s="714">
        <f>Table2[[#This Row],[ม.ค.-64]]-Table5[[#This Row],[ม.ค.-64]]</f>
        <v>0</v>
      </c>
      <c r="F94" s="714">
        <f>'Revenue (Baht)'!F94-'COST (Baht)'!F94</f>
        <v>0</v>
      </c>
      <c r="G94" s="714">
        <f>'Revenue (Baht)'!G94-'COST (Baht)'!G94</f>
        <v>0</v>
      </c>
      <c r="H94" s="714">
        <f>'Revenue (Baht)'!H94-'COST (Baht)'!H94</f>
        <v>0</v>
      </c>
      <c r="I94" s="714">
        <f>'Revenue (Baht)'!I94-'COST (Baht)'!I94</f>
        <v>0</v>
      </c>
      <c r="J94" s="714">
        <f>'Revenue (Baht)'!J94-'COST (Baht)'!J94</f>
        <v>0</v>
      </c>
      <c r="K94" s="714">
        <f>'Revenue (Baht)'!K94-'COST (Baht)'!K94</f>
        <v>0</v>
      </c>
      <c r="L94" s="714">
        <f>'Revenue (Baht)'!L94-'COST (Baht)'!L94</f>
        <v>0</v>
      </c>
      <c r="M94" s="714">
        <f>'Revenue (Baht)'!M94-'COST (Baht)'!M94</f>
        <v>0</v>
      </c>
      <c r="N94" s="714">
        <f>'Revenue (Baht)'!N94-'COST (Baht)'!N94</f>
        <v>0</v>
      </c>
      <c r="O94" s="714">
        <f>'Revenue (Baht)'!O94-'COST (Baht)'!O94</f>
        <v>0</v>
      </c>
      <c r="P94" s="714">
        <f>'Revenue (Baht)'!P94-'COST (Baht)'!P94</f>
        <v>0</v>
      </c>
      <c r="Q94" s="872">
        <f t="shared" si="73"/>
        <v>0</v>
      </c>
    </row>
    <row r="95" spans="1:17" ht="15.5">
      <c r="A95" s="867" t="str">
        <f>Table3[[#This Row],[Product]]</f>
        <v>LPG-D</v>
      </c>
      <c r="B95" s="28"/>
      <c r="C95" s="34" t="s">
        <v>37</v>
      </c>
      <c r="D95" s="822">
        <f>Table2[[#This Row],[ม.ค.-64]]-Table5[[#This Row],[ม.ค.-64]]</f>
        <v>604624111.46452689</v>
      </c>
      <c r="E95" s="822">
        <f t="shared" ref="E95:P95" si="81">SUM(E70:E94)</f>
        <v>604624111.46452677</v>
      </c>
      <c r="F95" s="822">
        <f>SUM(F70:F94)</f>
        <v>480860392.66663516</v>
      </c>
      <c r="G95" s="822">
        <f t="shared" si="81"/>
        <v>327134353.72197765</v>
      </c>
      <c r="H95" s="822">
        <f t="shared" si="81"/>
        <v>354296565.71975708</v>
      </c>
      <c r="I95" s="822">
        <f t="shared" si="81"/>
        <v>353203145.2484349</v>
      </c>
      <c r="J95" s="822">
        <f t="shared" si="81"/>
        <v>245801244.31563488</v>
      </c>
      <c r="K95" s="822">
        <f t="shared" si="81"/>
        <v>-66417721.091954388</v>
      </c>
      <c r="L95" s="822">
        <f t="shared" si="81"/>
        <v>-42870979.712228298</v>
      </c>
      <c r="M95" s="822">
        <f t="shared" si="81"/>
        <v>-4802797.1880734032</v>
      </c>
      <c r="N95" s="822">
        <f t="shared" si="81"/>
        <v>310232651.71561062</v>
      </c>
      <c r="O95" s="822">
        <f t="shared" si="81"/>
        <v>-5673697.1983429408</v>
      </c>
      <c r="P95" s="822">
        <f t="shared" si="81"/>
        <v>-6591128.3658338152</v>
      </c>
      <c r="Q95" s="932">
        <f t="shared" si="73"/>
        <v>2549796141.296144</v>
      </c>
    </row>
    <row r="96" spans="1:17" ht="15.5">
      <c r="A96" s="866" t="str">
        <f>Table3[[#This Row],[Product]]</f>
        <v>LPG-Refinery</v>
      </c>
      <c r="B96" s="28" t="s">
        <v>131</v>
      </c>
      <c r="C96" s="28" t="s">
        <v>115</v>
      </c>
      <c r="D96" s="822">
        <f>Table2[[#This Row],[ม.ค.-64]]-Table5[[#This Row],[ม.ค.-64]]</f>
        <v>79769619.700000003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873">
        <f>SUM(E96:P96)</f>
        <v>0</v>
      </c>
    </row>
    <row r="97" spans="1:17" ht="15.5">
      <c r="A97" s="866" t="str">
        <f>Table3[[#This Row],[Product]]</f>
        <v>LPG-Refinery</v>
      </c>
      <c r="B97" s="28" t="s">
        <v>134</v>
      </c>
      <c r="C97" s="28" t="s">
        <v>116</v>
      </c>
      <c r="D97" s="822">
        <f>Table2[[#This Row],[ม.ค.-64]]-Table5[[#This Row],[ม.ค.-64]]</f>
        <v>0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873">
        <f t="shared" ref="Q97:Q117" si="82">SUM(E97:P97)</f>
        <v>0</v>
      </c>
    </row>
    <row r="98" spans="1:17" ht="15.5">
      <c r="A98" s="993" t="str">
        <f>Table3[[#This Row],[Product]]</f>
        <v>LPG-Refinery</v>
      </c>
      <c r="B98" s="28" t="s">
        <v>132</v>
      </c>
      <c r="C98" s="28" t="s">
        <v>643</v>
      </c>
      <c r="D98" s="822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873"/>
    </row>
    <row r="99" spans="1:17" ht="15.5">
      <c r="A99" s="866" t="str">
        <f>Table3[[#This Row],[Product]]</f>
        <v>LPG-Refinery</v>
      </c>
      <c r="B99" s="28" t="s">
        <v>134</v>
      </c>
      <c r="C99" s="35" t="s">
        <v>94</v>
      </c>
      <c r="D99" s="822">
        <f>Table2[[#This Row],[ม.ค.-64]]-Table5[[#This Row],[ม.ค.-64]]</f>
        <v>163660514.07960001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873">
        <f t="shared" si="82"/>
        <v>0</v>
      </c>
    </row>
    <row r="100" spans="1:17" ht="15.5">
      <c r="A100" s="866" t="str">
        <f>Table3[[#This Row],[Product]]</f>
        <v>LPG-Refinery</v>
      </c>
      <c r="B100" s="28" t="s">
        <v>132</v>
      </c>
      <c r="C100" s="28" t="s">
        <v>117</v>
      </c>
      <c r="D100" s="822">
        <f>Table2[[#This Row],[ม.ค.-64]]-Table5[[#This Row],[ม.ค.-64]]</f>
        <v>46663573.640599996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873">
        <f t="shared" si="82"/>
        <v>0</v>
      </c>
    </row>
    <row r="101" spans="1:17" ht="15.5">
      <c r="A101" s="866" t="str">
        <f>Table3[[#This Row],[Product]]</f>
        <v>LPG-Refinery</v>
      </c>
      <c r="B101" s="28" t="s">
        <v>134</v>
      </c>
      <c r="C101" s="28" t="s">
        <v>118</v>
      </c>
      <c r="D101" s="822">
        <f>Table2[[#This Row],[ม.ค.-64]]-Table5[[#This Row],[ม.ค.-64]]</f>
        <v>0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873">
        <f t="shared" si="82"/>
        <v>0</v>
      </c>
    </row>
    <row r="102" spans="1:17" ht="15.5">
      <c r="A102" s="866" t="str">
        <f>Table3[[#This Row],[Product]]</f>
        <v>LPG-Refinery</v>
      </c>
      <c r="B102" s="28" t="s">
        <v>133</v>
      </c>
      <c r="C102" s="28" t="s">
        <v>119</v>
      </c>
      <c r="D102" s="822">
        <f>Table2[[#This Row],[ม.ค.-64]]-Table5[[#This Row],[ม.ค.-64]]</f>
        <v>0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873">
        <f t="shared" si="82"/>
        <v>0</v>
      </c>
    </row>
    <row r="103" spans="1:17" ht="15.5">
      <c r="A103" s="866" t="str">
        <f>Table3[[#This Row],[Product]]</f>
        <v>LPG-Refinery</v>
      </c>
      <c r="B103" s="28" t="s">
        <v>134</v>
      </c>
      <c r="C103" s="28" t="s">
        <v>97</v>
      </c>
      <c r="D103" s="822">
        <f>Table2[[#This Row],[ม.ค.-64]]-Table5[[#This Row],[ม.ค.-64]]</f>
        <v>0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873">
        <f t="shared" si="82"/>
        <v>0</v>
      </c>
    </row>
    <row r="104" spans="1:17" ht="15.5">
      <c r="A104" s="866" t="str">
        <f>Table3[[#This Row],[Product]]</f>
        <v>LPG-Refinery</v>
      </c>
      <c r="B104" s="28" t="s">
        <v>134</v>
      </c>
      <c r="C104" s="28" t="s">
        <v>100</v>
      </c>
      <c r="D104" s="822">
        <f>Table2[[#This Row],[ม.ค.-64]]-Table5[[#This Row],[ม.ค.-64]]</f>
        <v>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873">
        <f t="shared" si="82"/>
        <v>0</v>
      </c>
    </row>
    <row r="105" spans="1:17" ht="15.5">
      <c r="A105" s="866" t="str">
        <f>Table3[[#This Row],[Product]]</f>
        <v>LPG-Refinery</v>
      </c>
      <c r="B105" s="28" t="s">
        <v>134</v>
      </c>
      <c r="C105" s="35" t="s">
        <v>101</v>
      </c>
      <c r="D105" s="822">
        <f>Table2[[#This Row],[ม.ค.-64]]-Table5[[#This Row],[ม.ค.-64]]</f>
        <v>62805600.021501839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873">
        <f t="shared" si="82"/>
        <v>0</v>
      </c>
    </row>
    <row r="106" spans="1:17" ht="15.5">
      <c r="A106" s="866" t="str">
        <f>Table3[[#This Row],[Product]]</f>
        <v>LPG-Refinery</v>
      </c>
      <c r="B106" s="28" t="s">
        <v>132</v>
      </c>
      <c r="C106" s="35" t="s">
        <v>120</v>
      </c>
      <c r="D106" s="822">
        <f>Table2[[#This Row],[ม.ค.-64]]-Table5[[#This Row],[ม.ค.-64]]</f>
        <v>60772617.94161693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873">
        <f t="shared" si="82"/>
        <v>0</v>
      </c>
    </row>
    <row r="107" spans="1:17" ht="15.5">
      <c r="A107" s="866" t="str">
        <f>Table3[[#This Row],[Product]]</f>
        <v>LPG-Refinery</v>
      </c>
      <c r="B107" s="28" t="s">
        <v>133</v>
      </c>
      <c r="C107" s="35" t="s">
        <v>121</v>
      </c>
      <c r="D107" s="822">
        <f>Table2[[#This Row],[ม.ค.-64]]-Table5[[#This Row],[ม.ค.-64]]</f>
        <v>0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873">
        <f t="shared" si="82"/>
        <v>0</v>
      </c>
    </row>
    <row r="108" spans="1:17" ht="15.5">
      <c r="A108" s="866" t="str">
        <f>Table3[[#This Row],[Product]]</f>
        <v>LPG-Refinery</v>
      </c>
      <c r="B108" s="28" t="s">
        <v>134</v>
      </c>
      <c r="C108" s="28" t="s">
        <v>122</v>
      </c>
      <c r="D108" s="822">
        <f>Table2[[#This Row],[ม.ค.-64]]-Table5[[#This Row],[ม.ค.-64]]</f>
        <v>0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873">
        <f t="shared" si="82"/>
        <v>0</v>
      </c>
    </row>
    <row r="109" spans="1:17" ht="15.5">
      <c r="A109" s="866" t="str">
        <f>Table3[[#This Row],[Product]]</f>
        <v>LPG-Refinery</v>
      </c>
      <c r="B109" s="28" t="s">
        <v>134</v>
      </c>
      <c r="C109" s="28" t="s">
        <v>123</v>
      </c>
      <c r="D109" s="822">
        <f>Table2[[#This Row],[ม.ค.-64]]-Table5[[#This Row],[ม.ค.-64]]</f>
        <v>40722182.911199994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873">
        <f t="shared" si="82"/>
        <v>0</v>
      </c>
    </row>
    <row r="110" spans="1:17" ht="15.5">
      <c r="A110" s="866" t="str">
        <f>Table3[[#This Row],[Product]]</f>
        <v>LPG-Refinery</v>
      </c>
      <c r="B110" s="28" t="s">
        <v>134</v>
      </c>
      <c r="C110" s="40" t="s">
        <v>124</v>
      </c>
      <c r="D110" s="822">
        <f>Table2[[#This Row],[ม.ค.-64]]-Table5[[#This Row],[ม.ค.-64]]</f>
        <v>0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873">
        <f t="shared" si="82"/>
        <v>0</v>
      </c>
    </row>
    <row r="111" spans="1:17" ht="15.5">
      <c r="A111" s="866" t="str">
        <f>Table3[[#This Row],[Product]]</f>
        <v>LPG-Refinery</v>
      </c>
      <c r="B111" s="28" t="s">
        <v>134</v>
      </c>
      <c r="C111" s="40" t="s">
        <v>125</v>
      </c>
      <c r="D111" s="822">
        <f>Table2[[#This Row],[ม.ค.-64]]-Table5[[#This Row],[ม.ค.-64]]</f>
        <v>0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873">
        <f t="shared" si="82"/>
        <v>0</v>
      </c>
    </row>
    <row r="112" spans="1:17" ht="15.5">
      <c r="A112" s="866" t="str">
        <f>Table3[[#This Row],[Product]]</f>
        <v>LPG-Refinery</v>
      </c>
      <c r="B112" s="28" t="s">
        <v>134</v>
      </c>
      <c r="C112" s="40" t="s">
        <v>126</v>
      </c>
      <c r="D112" s="822">
        <f>Table2[[#This Row],[ม.ค.-64]]-Table5[[#This Row],[ม.ค.-64]]</f>
        <v>0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873">
        <f t="shared" si="82"/>
        <v>0</v>
      </c>
    </row>
    <row r="113" spans="1:17" ht="15.5">
      <c r="A113" s="866" t="str">
        <f>Table3[[#This Row],[Product]]</f>
        <v>LPG-Refinery</v>
      </c>
      <c r="B113" s="28" t="s">
        <v>134</v>
      </c>
      <c r="C113" s="40" t="s">
        <v>127</v>
      </c>
      <c r="D113" s="822">
        <f>Table2[[#This Row],[ม.ค.-64]]-Table5[[#This Row],[ม.ค.-64]]</f>
        <v>0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873">
        <f t="shared" si="82"/>
        <v>0</v>
      </c>
    </row>
    <row r="114" spans="1:17" ht="15.5">
      <c r="A114" s="866" t="str">
        <f>Table3[[#This Row],[Product]]</f>
        <v>LPG-Refinery</v>
      </c>
      <c r="B114" s="28" t="s">
        <v>134</v>
      </c>
      <c r="C114" s="28" t="s">
        <v>128</v>
      </c>
      <c r="D114" s="822">
        <f>Table2[[#This Row],[ม.ค.-64]]-Table5[[#This Row],[ม.ค.-64]]</f>
        <v>0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873">
        <f t="shared" si="82"/>
        <v>0</v>
      </c>
    </row>
    <row r="115" spans="1:17" ht="15.5">
      <c r="A115" s="866" t="str">
        <f>Table3[[#This Row],[Product]]</f>
        <v>LPG-Refinery</v>
      </c>
      <c r="B115" s="28" t="s">
        <v>134</v>
      </c>
      <c r="C115" s="28" t="s">
        <v>129</v>
      </c>
      <c r="D115" s="822">
        <f>Table2[[#This Row],[ม.ค.-64]]-Table5[[#This Row],[ม.ค.-64]]</f>
        <v>0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873">
        <f t="shared" si="82"/>
        <v>0</v>
      </c>
    </row>
    <row r="116" spans="1:17" ht="15.5">
      <c r="A116" s="866" t="str">
        <f>Table3[[#This Row],[Product]]</f>
        <v>LPG-Refinery</v>
      </c>
      <c r="B116" s="28" t="s">
        <v>132</v>
      </c>
      <c r="C116" s="28" t="s">
        <v>130</v>
      </c>
      <c r="D116" s="822">
        <f>Table2[[#This Row],[ม.ค.-64]]-Table5[[#This Row],[ม.ค.-64]]</f>
        <v>0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873">
        <f t="shared" si="82"/>
        <v>0</v>
      </c>
    </row>
    <row r="117" spans="1:17" ht="15.5">
      <c r="A117" s="866" t="str">
        <f>Table3[[#This Row],[Product]]</f>
        <v>LPG-Refinery</v>
      </c>
      <c r="B117" s="28"/>
      <c r="C117" s="34" t="s">
        <v>37</v>
      </c>
      <c r="D117" s="822">
        <f>Table2[[#This Row],[ม.ค.-64]]-Table5[[#This Row],[ม.ค.-64]]</f>
        <v>374624488.59451878</v>
      </c>
      <c r="E117" s="28">
        <f t="shared" ref="E117:P117" si="83">SUM(E96:E116)</f>
        <v>0</v>
      </c>
      <c r="F117" s="28">
        <f t="shared" si="83"/>
        <v>0</v>
      </c>
      <c r="G117" s="28">
        <f t="shared" si="83"/>
        <v>0</v>
      </c>
      <c r="H117" s="28">
        <f t="shared" si="83"/>
        <v>0</v>
      </c>
      <c r="I117" s="28">
        <f t="shared" si="83"/>
        <v>0</v>
      </c>
      <c r="J117" s="28">
        <f t="shared" si="83"/>
        <v>0</v>
      </c>
      <c r="K117" s="28">
        <f t="shared" si="83"/>
        <v>0</v>
      </c>
      <c r="L117" s="28">
        <f t="shared" si="83"/>
        <v>0</v>
      </c>
      <c r="M117" s="28">
        <f t="shared" si="83"/>
        <v>0</v>
      </c>
      <c r="N117" s="28">
        <f t="shared" si="83"/>
        <v>0</v>
      </c>
      <c r="O117" s="28">
        <f t="shared" si="83"/>
        <v>0</v>
      </c>
      <c r="P117" s="28">
        <f t="shared" si="83"/>
        <v>0</v>
      </c>
      <c r="Q117" s="873">
        <f t="shared" si="82"/>
        <v>0</v>
      </c>
    </row>
    <row r="118" spans="1:17" ht="15.5">
      <c r="A118" s="867" t="str">
        <f>Table3[[#This Row],[Product]]</f>
        <v>LPG-Import/Re-Export</v>
      </c>
      <c r="B118" s="832" t="s">
        <v>652</v>
      </c>
      <c r="C118" s="28" t="s">
        <v>68</v>
      </c>
      <c r="D118" s="822">
        <f>Table2[[#This Row],[ม.ค.-64]]-Table5[[#This Row],[ม.ค.-64]]</f>
        <v>82255200.694199979</v>
      </c>
      <c r="E118" s="891">
        <f>Table2[[#This Row],[ม.ค.-64]]-Table5[[#This Row],[ม.ค.-64]]</f>
        <v>82255200.694199979</v>
      </c>
      <c r="F118" s="891">
        <f>Table2[[#This Row],[ก.พ.-64]]-Table5[[#This Row],[ก.พ.-64]]</f>
        <v>472391279.44919997</v>
      </c>
      <c r="G118" s="891">
        <f>Table2[[#This Row],[มี.ค.-64]]-Table5[[#This Row],[มี.ค.-64]]</f>
        <v>510779719.21319997</v>
      </c>
      <c r="H118" s="891">
        <f>Table2[[#This Row],[เม.ย.-64]]-Table5[[#This Row],[เม.ย.-64]]</f>
        <v>439709549.24159998</v>
      </c>
      <c r="I118" s="891">
        <f>Table2[[#This Row],[พ.ค.-64]]-Table5[[#This Row],[พ.ค.-64]]</f>
        <v>262957314.45599997</v>
      </c>
      <c r="J118" s="891">
        <f>Table2[[#This Row],[มิ.ย.-64]]-Table5[[#This Row],[มิ.ย.-64]]</f>
        <v>277969160.70899999</v>
      </c>
      <c r="K118" s="891">
        <f>Table2[[#This Row],[ก.ค.-64]]-Table5[[#This Row],[ก.ค.-64]]</f>
        <v>1332018716.4002333</v>
      </c>
      <c r="L118" s="891">
        <f>Table2[[#This Row],[ส.ค.-64]]-Table5[[#This Row],[ส.ค.-64]]</f>
        <v>620806580.3020066</v>
      </c>
      <c r="M118" s="891">
        <f>Table2[[#This Row],[ก.ย.-64]]-Table5[[#This Row],[ก.ย.-64]]</f>
        <v>1251604179.6761162</v>
      </c>
      <c r="N118" s="891">
        <f>Table2[[#This Row],[ต.ค.-64]]-Table5[[#This Row],[ต.ค.-64]]</f>
        <v>1234982077.4426792</v>
      </c>
      <c r="O118" s="891">
        <f>Table2[[#This Row],[พ.ย.-64]]-Table5[[#This Row],[พ.ย.-64]]</f>
        <v>412702725.70181167</v>
      </c>
      <c r="P118" s="891">
        <f>Table2[[#This Row],[ธ.ค.-64]]-Table5[[#This Row],[ธ.ค.-64]]</f>
        <v>858114645.52336717</v>
      </c>
      <c r="Q118" s="873">
        <f>SUM(E118:P118)</f>
        <v>7756291148.8094139</v>
      </c>
    </row>
    <row r="119" spans="1:17" ht="15.5">
      <c r="A119" s="867" t="str">
        <f>Table3[[#This Row],[Product]]</f>
        <v>LPG-Import/Re-Export</v>
      </c>
      <c r="B119" s="832" t="s">
        <v>34</v>
      </c>
      <c r="C119" s="28" t="s">
        <v>577</v>
      </c>
      <c r="D119" s="822">
        <f>Table2[[#This Row],[ม.ค.-64]]-Table5[[#This Row],[ม.ค.-64]]</f>
        <v>0</v>
      </c>
      <c r="E119" s="891">
        <f>Table2[[#This Row],[ม.ค.-64]]-Table5[[#This Row],[ม.ค.-64]]</f>
        <v>0</v>
      </c>
      <c r="F119" s="891">
        <f>Table2[[#This Row],[ก.พ.-64]]-Table5[[#This Row],[ก.พ.-64]]</f>
        <v>0</v>
      </c>
      <c r="G119" s="891">
        <f>Table2[[#This Row],[มี.ค.-64]]-Table5[[#This Row],[มี.ค.-64]]</f>
        <v>0</v>
      </c>
      <c r="H119" s="891">
        <f>Table2[[#This Row],[เม.ย.-64]]-Table5[[#This Row],[เม.ย.-64]]</f>
        <v>20187354.7476</v>
      </c>
      <c r="I119" s="891">
        <f>Table2[[#This Row],[พ.ค.-64]]-Table5[[#This Row],[พ.ค.-64]]</f>
        <v>0</v>
      </c>
      <c r="J119" s="891">
        <f>Table2[[#This Row],[มิ.ย.-64]]-Table5[[#This Row],[มิ.ย.-64]]</f>
        <v>0</v>
      </c>
      <c r="K119" s="891">
        <f>Table2[[#This Row],[ก.ค.-64]]-Table5[[#This Row],[ก.ค.-64]]</f>
        <v>0</v>
      </c>
      <c r="L119" s="891">
        <f>Table2[[#This Row],[ส.ค.-64]]-Table5[[#This Row],[ส.ค.-64]]</f>
        <v>0</v>
      </c>
      <c r="M119" s="891">
        <f>Table2[[#This Row],[ก.ย.-64]]-Table5[[#This Row],[ก.ย.-64]]</f>
        <v>0</v>
      </c>
      <c r="N119" s="891">
        <f>Table2[[#This Row],[ต.ค.-64]]-Table5[[#This Row],[ต.ค.-64]]</f>
        <v>0</v>
      </c>
      <c r="O119" s="891">
        <f>Table2[[#This Row],[พ.ย.-64]]-Table5[[#This Row],[พ.ย.-64]]</f>
        <v>0</v>
      </c>
      <c r="P119" s="891">
        <f>Table2[[#This Row],[ธ.ค.-64]]-Table5[[#This Row],[ธ.ค.-64]]</f>
        <v>0</v>
      </c>
      <c r="Q119" s="873"/>
    </row>
    <row r="120" spans="1:17" ht="15.5">
      <c r="A120" s="867" t="str">
        <f>Table3[[#This Row],[Product]]</f>
        <v>LPG-Import/Re-Export</v>
      </c>
      <c r="B120" s="832" t="s">
        <v>34</v>
      </c>
      <c r="C120" s="28" t="s">
        <v>226</v>
      </c>
      <c r="D120" s="822"/>
      <c r="E120" s="891">
        <f>Table2[[#This Row],[ม.ค.-64]]-Table5[[#This Row],[ม.ค.-64]]</f>
        <v>0</v>
      </c>
      <c r="F120" s="891">
        <f>Table2[[#This Row],[ก.พ.-64]]-Table5[[#This Row],[ก.พ.-64]]</f>
        <v>0</v>
      </c>
      <c r="G120" s="891">
        <f>Table2[[#This Row],[มี.ค.-64]]-Table5[[#This Row],[มี.ค.-64]]</f>
        <v>0</v>
      </c>
      <c r="H120" s="891">
        <f>Table2[[#This Row],[เม.ย.-64]]-Table5[[#This Row],[เม.ย.-64]]</f>
        <v>0</v>
      </c>
      <c r="I120" s="891">
        <f>Table2[[#This Row],[พ.ค.-64]]-Table5[[#This Row],[พ.ค.-64]]</f>
        <v>96952127.846599996</v>
      </c>
      <c r="J120" s="891">
        <f>Table2[[#This Row],[มิ.ย.-64]]-Table5[[#This Row],[มิ.ย.-64]]</f>
        <v>31165049.395999998</v>
      </c>
      <c r="K120" s="891">
        <f>Table2[[#This Row],[ก.ค.-64]]-Table5[[#This Row],[ก.ค.-64]]</f>
        <v>0</v>
      </c>
      <c r="L120" s="891">
        <f>Table2[[#This Row],[ส.ค.-64]]-Table5[[#This Row],[ส.ค.-64]]</f>
        <v>0</v>
      </c>
      <c r="M120" s="891">
        <f>Table2[[#This Row],[ก.ย.-64]]-Table5[[#This Row],[ก.ย.-64]]</f>
        <v>0</v>
      </c>
      <c r="N120" s="891">
        <f>Table2[[#This Row],[ต.ค.-64]]-Table5[[#This Row],[ต.ค.-64]]</f>
        <v>0</v>
      </c>
      <c r="O120" s="891">
        <f>Table2[[#This Row],[พ.ย.-64]]-Table5[[#This Row],[พ.ย.-64]]</f>
        <v>0</v>
      </c>
      <c r="P120" s="891">
        <f>Table2[[#This Row],[ธ.ค.-64]]-Table5[[#This Row],[ธ.ค.-64]]</f>
        <v>0</v>
      </c>
      <c r="Q120" s="873"/>
    </row>
    <row r="121" spans="1:17" ht="15.5">
      <c r="A121" s="867" t="str">
        <f>Table3[[#This Row],[Product]]</f>
        <v>LPG-Import/Re-Export</v>
      </c>
      <c r="B121" s="832" t="s">
        <v>34</v>
      </c>
      <c r="C121" s="28" t="s">
        <v>280</v>
      </c>
      <c r="D121" s="822"/>
      <c r="E121" s="891">
        <f>Table2[[#This Row],[ม.ค.-64]]-Table5[[#This Row],[ม.ค.-64]]</f>
        <v>0</v>
      </c>
      <c r="F121" s="891">
        <f>Table2[[#This Row],[ก.พ.-64]]-Table5[[#This Row],[ก.พ.-64]]</f>
        <v>0</v>
      </c>
      <c r="G121" s="891">
        <f>Table2[[#This Row],[มี.ค.-64]]-Table5[[#This Row],[มี.ค.-64]]</f>
        <v>0</v>
      </c>
      <c r="H121" s="891">
        <f>Table2[[#This Row],[เม.ย.-64]]-Table5[[#This Row],[เม.ย.-64]]</f>
        <v>0</v>
      </c>
      <c r="I121" s="891">
        <f>Table2[[#This Row],[พ.ค.-64]]-Table5[[#This Row],[พ.ค.-64]]</f>
        <v>69193212.220599994</v>
      </c>
      <c r="J121" s="891">
        <f>Table2[[#This Row],[มิ.ย.-64]]-Table5[[#This Row],[มิ.ย.-64]]</f>
        <v>120510496.4232</v>
      </c>
      <c r="K121" s="891">
        <f>Table2[[#This Row],[ก.ค.-64]]-Table5[[#This Row],[ก.ค.-64]]</f>
        <v>0</v>
      </c>
      <c r="L121" s="891">
        <f>Table2[[#This Row],[ส.ค.-64]]-Table5[[#This Row],[ส.ค.-64]]</f>
        <v>0</v>
      </c>
      <c r="M121" s="891">
        <f>Table2[[#This Row],[ก.ย.-64]]-Table5[[#This Row],[ก.ย.-64]]</f>
        <v>0</v>
      </c>
      <c r="N121" s="891">
        <f>Table2[[#This Row],[ต.ค.-64]]-Table5[[#This Row],[ต.ค.-64]]</f>
        <v>0</v>
      </c>
      <c r="O121" s="891">
        <f>Table2[[#This Row],[พ.ย.-64]]-Table5[[#This Row],[พ.ย.-64]]</f>
        <v>0</v>
      </c>
      <c r="P121" s="891">
        <f>Table2[[#This Row],[ธ.ค.-64]]-Table5[[#This Row],[ธ.ค.-64]]</f>
        <v>0</v>
      </c>
      <c r="Q121" s="873"/>
    </row>
    <row r="122" spans="1:17" ht="15.5">
      <c r="A122" s="867" t="str">
        <f>Table3[[#This Row],[Product]]</f>
        <v>LPG-Import/Re-Export</v>
      </c>
      <c r="B122" s="833" t="s">
        <v>654</v>
      </c>
      <c r="C122" s="46" t="s">
        <v>68</v>
      </c>
      <c r="D122" s="822">
        <f>Table2[[#This Row],[ม.ค.-64]]-Table5[[#This Row],[ม.ค.-64]]</f>
        <v>6340153.6400000006</v>
      </c>
      <c r="E122" s="891">
        <f>Table2[[#This Row],[ม.ค.-64]]-Table5[[#This Row],[ม.ค.-64]]</f>
        <v>6340153.6400000006</v>
      </c>
      <c r="F122" s="891">
        <f>Table2[[#This Row],[ก.พ.-64]]-Table5[[#This Row],[ก.พ.-64]]</f>
        <v>2796129.1799999997</v>
      </c>
      <c r="G122" s="891">
        <f>Table2[[#This Row],[มี.ค.-64]]-Table5[[#This Row],[มี.ค.-64]]</f>
        <v>7431326.3400000017</v>
      </c>
      <c r="H122" s="891">
        <f>Table2[[#This Row],[เม.ย.-64]]-Table5[[#This Row],[เม.ย.-64]]</f>
        <v>5140230.55</v>
      </c>
      <c r="I122" s="891">
        <f>Table2[[#This Row],[พ.ค.-64]]-Table5[[#This Row],[พ.ค.-64]]</f>
        <v>7991184.9100000011</v>
      </c>
      <c r="J122" s="891">
        <f>Table2[[#This Row],[มิ.ย.-64]]-Table5[[#This Row],[มิ.ย.-64]]</f>
        <v>26004485.869999997</v>
      </c>
      <c r="K122" s="891">
        <f>Table2[[#This Row],[ก.ค.-64]]-Table5[[#This Row],[ก.ค.-64]]</f>
        <v>0</v>
      </c>
      <c r="L122" s="891">
        <f>Table2[[#This Row],[ส.ค.-64]]-Table5[[#This Row],[ส.ค.-64]]</f>
        <v>0</v>
      </c>
      <c r="M122" s="891">
        <f>Table2[[#This Row],[ก.ย.-64]]-Table5[[#This Row],[ก.ย.-64]]</f>
        <v>0</v>
      </c>
      <c r="N122" s="891">
        <f>Table2[[#This Row],[ต.ค.-64]]-Table5[[#This Row],[ต.ค.-64]]</f>
        <v>0</v>
      </c>
      <c r="O122" s="891">
        <f>Table2[[#This Row],[พ.ย.-64]]-Table5[[#This Row],[พ.ย.-64]]</f>
        <v>0</v>
      </c>
      <c r="P122" s="891">
        <f>Table2[[#This Row],[ธ.ค.-64]]-Table5[[#This Row],[ธ.ค.-64]]</f>
        <v>0</v>
      </c>
      <c r="Q122" s="873">
        <f t="shared" ref="Q122:Q124" si="84">SUM(E122:P122)</f>
        <v>55703510.489999995</v>
      </c>
    </row>
    <row r="123" spans="1:17" ht="15.5">
      <c r="A123" s="867" t="str">
        <f>Table3[[#This Row],[Product]]</f>
        <v>LPG-Import/Re-Export</v>
      </c>
      <c r="B123" s="833" t="s">
        <v>653</v>
      </c>
      <c r="C123" s="46" t="s">
        <v>70</v>
      </c>
      <c r="D123" s="822">
        <f>Table2[[#This Row],[ม.ค.-64]]-Table5[[#This Row],[ม.ค.-64]]</f>
        <v>42764023.037086397</v>
      </c>
      <c r="E123" s="891">
        <f>Table2[[#This Row],[ม.ค.-64]]-Table5[[#This Row],[ม.ค.-64]]</f>
        <v>42764023.037086397</v>
      </c>
      <c r="F123" s="891">
        <f>Table2[[#This Row],[ก.พ.-64]]-Table5[[#This Row],[ก.พ.-64]]</f>
        <v>35293419.7461197</v>
      </c>
      <c r="G123" s="891">
        <f>Table2[[#This Row],[มี.ค.-64]]-Table5[[#This Row],[มี.ค.-64]]</f>
        <v>44660968.224522501</v>
      </c>
      <c r="H123" s="891">
        <f>Table2[[#This Row],[เม.ย.-64]]-Table5[[#This Row],[เม.ย.-64]]</f>
        <v>38138748.392150596</v>
      </c>
      <c r="I123" s="891">
        <f>Table2[[#This Row],[พ.ค.-64]]-Table5[[#This Row],[พ.ค.-64]]</f>
        <v>7035005.6137052998</v>
      </c>
      <c r="J123" s="891">
        <f>Table2[[#This Row],[มิ.ย.-64]]-Table5[[#This Row],[มิ.ย.-64]]</f>
        <v>25472186.2730565</v>
      </c>
      <c r="K123" s="891">
        <f>Table2[[#This Row],[ก.ค.-64]]-Table5[[#This Row],[ก.ค.-64]]</f>
        <v>204600000</v>
      </c>
      <c r="L123" s="891">
        <f>Table2[[#This Row],[ส.ค.-64]]-Table5[[#This Row],[ส.ค.-64]]</f>
        <v>202125000</v>
      </c>
      <c r="M123" s="891">
        <f>Table2[[#This Row],[ก.ย.-64]]-Table5[[#This Row],[ก.ย.-64]]</f>
        <v>198825000</v>
      </c>
      <c r="N123" s="891">
        <f>Table2[[#This Row],[ต.ค.-64]]-Table5[[#This Row],[ต.ค.-64]]</f>
        <v>189750000</v>
      </c>
      <c r="O123" s="891">
        <f>Table2[[#This Row],[พ.ย.-64]]-Table5[[#This Row],[พ.ย.-64]]</f>
        <v>191400000</v>
      </c>
      <c r="P123" s="891">
        <f>Table2[[#This Row],[ธ.ค.-64]]-Table5[[#This Row],[ธ.ค.-64]]</f>
        <v>193875000</v>
      </c>
      <c r="Q123" s="873">
        <f t="shared" si="84"/>
        <v>1373939351.2866411</v>
      </c>
    </row>
    <row r="124" spans="1:17" ht="15.5">
      <c r="A124" s="867" t="str">
        <f>Table3[[#This Row],[Product]]</f>
        <v>LPG-Import/Re-Export</v>
      </c>
      <c r="B124" s="28"/>
      <c r="C124" s="34" t="s">
        <v>37</v>
      </c>
      <c r="D124" s="822">
        <f>Table2[[#This Row],[ม.ค.-64]]-Table5[[#This Row],[ม.ค.-64]]</f>
        <v>131359377.37128638</v>
      </c>
      <c r="E124" s="822">
        <f>SUM(E118:E123)</f>
        <v>131359377.37128638</v>
      </c>
      <c r="F124" s="822">
        <f t="shared" ref="F124:P124" si="85">SUM(F118:F123)</f>
        <v>510480828.37531966</v>
      </c>
      <c r="G124" s="822">
        <f t="shared" si="85"/>
        <v>562872013.77772248</v>
      </c>
      <c r="H124" s="822">
        <f t="shared" si="85"/>
        <v>503175882.93135059</v>
      </c>
      <c r="I124" s="822">
        <f t="shared" si="85"/>
        <v>444128845.04690528</v>
      </c>
      <c r="J124" s="822">
        <f t="shared" si="85"/>
        <v>481121378.67125654</v>
      </c>
      <c r="K124" s="822">
        <f t="shared" si="85"/>
        <v>1536618716.4002333</v>
      </c>
      <c r="L124" s="822">
        <f t="shared" si="85"/>
        <v>822931580.3020066</v>
      </c>
      <c r="M124" s="822">
        <f t="shared" si="85"/>
        <v>1450429179.6761162</v>
      </c>
      <c r="N124" s="822">
        <f t="shared" si="85"/>
        <v>1424732077.4426792</v>
      </c>
      <c r="O124" s="822">
        <f t="shared" si="85"/>
        <v>604102725.70181167</v>
      </c>
      <c r="P124" s="822">
        <f t="shared" si="85"/>
        <v>1051989645.5233672</v>
      </c>
      <c r="Q124" s="932">
        <f t="shared" si="84"/>
        <v>9523942251.2200546</v>
      </c>
    </row>
    <row r="125" spans="1:17" ht="15.5">
      <c r="A125" s="868" t="str">
        <f>Table3[[#This Row],[Product]]</f>
        <v>NGL (m3)</v>
      </c>
      <c r="B125" s="130" t="s">
        <v>25</v>
      </c>
      <c r="C125" s="130" t="s">
        <v>72</v>
      </c>
      <c r="D125" s="822">
        <f>Table2[[#This Row],[ม.ค.-64]]-Table5[[#This Row],[ม.ค.-64]]</f>
        <v>0</v>
      </c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874">
        <f ca="1">SUM(E125:Q125)</f>
        <v>0</v>
      </c>
    </row>
    <row r="126" spans="1:17" ht="15.5">
      <c r="A126" s="868" t="str">
        <f>Table3[[#This Row],[Product]]</f>
        <v>NGL (m3)</v>
      </c>
      <c r="B126" s="130" t="s">
        <v>25</v>
      </c>
      <c r="C126" s="130" t="s">
        <v>73</v>
      </c>
      <c r="D126" s="822">
        <f>Table2[[#This Row],[ม.ค.-64]]-Table5[[#This Row],[ม.ค.-64]]</f>
        <v>0</v>
      </c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874">
        <f t="shared" ref="Q126:Q134" ca="1" si="86">SUM(E126:Q126)</f>
        <v>0</v>
      </c>
    </row>
    <row r="127" spans="1:17" ht="15.5">
      <c r="A127" s="868" t="str">
        <f>Table3[[#This Row],[Product]]</f>
        <v>NGL (m3)</v>
      </c>
      <c r="B127" s="130" t="s">
        <v>25</v>
      </c>
      <c r="C127" s="130" t="s">
        <v>74</v>
      </c>
      <c r="D127" s="822">
        <f>Table2[[#This Row],[ม.ค.-64]]-Table5[[#This Row],[ม.ค.-64]]</f>
        <v>0</v>
      </c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874">
        <f t="shared" ca="1" si="86"/>
        <v>0</v>
      </c>
    </row>
    <row r="128" spans="1:17" ht="15.5">
      <c r="A128" s="868" t="str">
        <f>Table3[[#This Row],[Product]]</f>
        <v>NGL (m3)</v>
      </c>
      <c r="B128" s="130" t="s">
        <v>25</v>
      </c>
      <c r="C128" s="130" t="s">
        <v>77</v>
      </c>
      <c r="D128" s="822">
        <f>Table2[[#This Row],[ม.ค.-64]]-Table5[[#This Row],[ม.ค.-64]]</f>
        <v>0</v>
      </c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874">
        <f t="shared" ca="1" si="86"/>
        <v>0</v>
      </c>
    </row>
    <row r="129" spans="1:17" ht="15.5">
      <c r="A129" s="868" t="str">
        <f>Table3[[#This Row],[Product]]</f>
        <v>NGL (m3)</v>
      </c>
      <c r="B129" s="130" t="s">
        <v>25</v>
      </c>
      <c r="C129" s="130" t="s">
        <v>78</v>
      </c>
      <c r="D129" s="822">
        <f>Table2[[#This Row],[ม.ค.-64]]-Table5[[#This Row],[ม.ค.-64]]</f>
        <v>0</v>
      </c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874">
        <f t="shared" ca="1" si="86"/>
        <v>0</v>
      </c>
    </row>
    <row r="130" spans="1:17" ht="15.5">
      <c r="A130" s="868" t="str">
        <f>Table3[[#This Row],[Product]]</f>
        <v>NGL (m3)</v>
      </c>
      <c r="B130" s="130" t="s">
        <v>76</v>
      </c>
      <c r="C130" s="130" t="s">
        <v>75</v>
      </c>
      <c r="D130" s="822">
        <f>Table2[[#This Row],[ม.ค.-64]]-Table5[[#This Row],[ม.ค.-64]]</f>
        <v>0</v>
      </c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874">
        <f t="shared" ca="1" si="86"/>
        <v>0</v>
      </c>
    </row>
    <row r="131" spans="1:17" ht="15.5">
      <c r="A131" s="868" t="str">
        <f>Table3[[#This Row],[Product]]</f>
        <v>NGL (m3)</v>
      </c>
      <c r="B131" s="130" t="s">
        <v>76</v>
      </c>
      <c r="C131" s="130" t="s">
        <v>531</v>
      </c>
      <c r="D131" s="822">
        <f>Table2[[#This Row],[ม.ค.-64]]-Table5[[#This Row],[ม.ค.-64]]</f>
        <v>0</v>
      </c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874"/>
    </row>
    <row r="132" spans="1:17" ht="15.5">
      <c r="A132" s="868" t="str">
        <f>Table3[[#This Row],[Product]]</f>
        <v>NGL (m3)</v>
      </c>
      <c r="B132" s="130"/>
      <c r="C132" s="132" t="s">
        <v>35</v>
      </c>
      <c r="D132" s="822">
        <f>Table2[[#This Row],[ม.ค.-64]]-Table5[[#This Row],[ม.ค.-64]]</f>
        <v>0</v>
      </c>
      <c r="E132" s="130">
        <f t="shared" ref="E132:P132" si="87">E125</f>
        <v>0</v>
      </c>
      <c r="F132" s="130">
        <f t="shared" si="87"/>
        <v>0</v>
      </c>
      <c r="G132" s="130">
        <f t="shared" si="87"/>
        <v>0</v>
      </c>
      <c r="H132" s="130">
        <f t="shared" si="87"/>
        <v>0</v>
      </c>
      <c r="I132" s="130">
        <f t="shared" si="87"/>
        <v>0</v>
      </c>
      <c r="J132" s="130">
        <f t="shared" si="87"/>
        <v>0</v>
      </c>
      <c r="K132" s="130">
        <f t="shared" si="87"/>
        <v>0</v>
      </c>
      <c r="L132" s="130">
        <f t="shared" si="87"/>
        <v>0</v>
      </c>
      <c r="M132" s="130">
        <f t="shared" si="87"/>
        <v>0</v>
      </c>
      <c r="N132" s="130">
        <f t="shared" si="87"/>
        <v>0</v>
      </c>
      <c r="O132" s="130">
        <f t="shared" si="87"/>
        <v>0</v>
      </c>
      <c r="P132" s="130">
        <f t="shared" si="87"/>
        <v>0</v>
      </c>
      <c r="Q132" s="874">
        <f t="shared" ca="1" si="86"/>
        <v>0</v>
      </c>
    </row>
    <row r="133" spans="1:17" s="131" customFormat="1" ht="15.5">
      <c r="A133" s="868" t="str">
        <f>Table3[[#This Row],[Product]]</f>
        <v>NGL (m3)</v>
      </c>
      <c r="B133" s="130"/>
      <c r="C133" s="132" t="s">
        <v>36</v>
      </c>
      <c r="D133" s="822">
        <f>Table2[[#This Row],[ม.ค.-64]]-Table5[[#This Row],[ม.ค.-64]]</f>
        <v>0</v>
      </c>
      <c r="E133" s="130">
        <f t="shared" ref="E133:P133" si="88">SUM(E126:E127)</f>
        <v>0</v>
      </c>
      <c r="F133" s="130">
        <f t="shared" si="88"/>
        <v>0</v>
      </c>
      <c r="G133" s="130">
        <f t="shared" si="88"/>
        <v>0</v>
      </c>
      <c r="H133" s="130">
        <f t="shared" si="88"/>
        <v>0</v>
      </c>
      <c r="I133" s="130">
        <f t="shared" si="88"/>
        <v>0</v>
      </c>
      <c r="J133" s="130">
        <f t="shared" si="88"/>
        <v>0</v>
      </c>
      <c r="K133" s="130">
        <f t="shared" si="88"/>
        <v>0</v>
      </c>
      <c r="L133" s="130">
        <f t="shared" si="88"/>
        <v>0</v>
      </c>
      <c r="M133" s="130">
        <f t="shared" si="88"/>
        <v>0</v>
      </c>
      <c r="N133" s="130">
        <f t="shared" si="88"/>
        <v>0</v>
      </c>
      <c r="O133" s="130">
        <f t="shared" si="88"/>
        <v>0</v>
      </c>
      <c r="P133" s="130">
        <f t="shared" si="88"/>
        <v>0</v>
      </c>
      <c r="Q133" s="874">
        <f t="shared" ca="1" si="86"/>
        <v>0</v>
      </c>
    </row>
    <row r="134" spans="1:17" s="131" customFormat="1" ht="15.5">
      <c r="A134" s="868" t="str">
        <f>Table3[[#This Row],[Product]]</f>
        <v>NGL (m3)</v>
      </c>
      <c r="B134" s="130"/>
      <c r="C134" s="133" t="s">
        <v>37</v>
      </c>
      <c r="D134" s="822">
        <f>Table2[[#This Row],[ม.ค.-64]]-Table5[[#This Row],[ม.ค.-64]]</f>
        <v>0</v>
      </c>
      <c r="E134" s="130">
        <f t="shared" ref="E134:P134" si="89">SUM(E125:E130)</f>
        <v>0</v>
      </c>
      <c r="F134" s="130">
        <f t="shared" si="89"/>
        <v>0</v>
      </c>
      <c r="G134" s="130">
        <f t="shared" si="89"/>
        <v>0</v>
      </c>
      <c r="H134" s="130">
        <f t="shared" si="89"/>
        <v>0</v>
      </c>
      <c r="I134" s="130">
        <f t="shared" si="89"/>
        <v>0</v>
      </c>
      <c r="J134" s="130">
        <f t="shared" si="89"/>
        <v>0</v>
      </c>
      <c r="K134" s="130">
        <f t="shared" si="89"/>
        <v>0</v>
      </c>
      <c r="L134" s="130">
        <f t="shared" si="89"/>
        <v>0</v>
      </c>
      <c r="M134" s="130">
        <f t="shared" si="89"/>
        <v>0</v>
      </c>
      <c r="N134" s="130">
        <f t="shared" si="89"/>
        <v>0</v>
      </c>
      <c r="O134" s="130">
        <f t="shared" si="89"/>
        <v>0</v>
      </c>
      <c r="P134" s="130">
        <f t="shared" si="89"/>
        <v>0</v>
      </c>
      <c r="Q134" s="874">
        <f t="shared" ca="1" si="86"/>
        <v>0</v>
      </c>
    </row>
    <row r="135" spans="1:17" s="131" customFormat="1" ht="15.5">
      <c r="A135" s="867" t="str">
        <f>Table3[[#This Row],[Product]]</f>
        <v>NGL (Ton)</v>
      </c>
      <c r="B135" s="28" t="s">
        <v>25</v>
      </c>
      <c r="C135" s="28" t="s">
        <v>72</v>
      </c>
      <c r="D135" s="822"/>
      <c r="E135" s="28">
        <f>'Revenue (Baht)'!E135-'COST (Baht)'!E135</f>
        <v>175436728.29063949</v>
      </c>
      <c r="F135" s="28">
        <f>'Revenue (Baht)'!F135-'COST (Baht)'!F135</f>
        <v>225286808.66760466</v>
      </c>
      <c r="G135" s="28">
        <f>'Revenue (Baht)'!G135-'COST (Baht)'!G135</f>
        <v>232897674.86660713</v>
      </c>
      <c r="H135" s="28">
        <f>'Revenue (Baht)'!H135-'COST (Baht)'!H135</f>
        <v>175508208.08747831</v>
      </c>
      <c r="I135" s="28">
        <f>'Revenue (Baht)'!I135-'COST (Baht)'!I135</f>
        <v>258268482.43152073</v>
      </c>
      <c r="J135" s="28">
        <f>'Revenue (Baht)'!J135-'COST (Baht)'!J135</f>
        <v>147903389.28378582</v>
      </c>
      <c r="K135" s="28">
        <f>'Revenue (Baht)'!K135-'COST (Baht)'!K135</f>
        <v>146948745.45105168</v>
      </c>
      <c r="L135" s="28">
        <f>'Revenue (Baht)'!L135-'COST (Baht)'!L135</f>
        <v>172689084.65570268</v>
      </c>
      <c r="M135" s="28">
        <f>'Revenue (Baht)'!M135-'COST (Baht)'!M135</f>
        <v>143451707.94829839</v>
      </c>
      <c r="N135" s="28">
        <f>'Revenue (Baht)'!N135-'COST (Baht)'!N135</f>
        <v>120715008.83464345</v>
      </c>
      <c r="O135" s="28">
        <f>'Revenue (Baht)'!O135-'COST (Baht)'!O135</f>
        <v>139878567.1043185</v>
      </c>
      <c r="P135" s="28">
        <f>'Revenue (Baht)'!P135-'COST (Baht)'!P135</f>
        <v>143306685.0751037</v>
      </c>
      <c r="Q135" s="873">
        <f>SUM(E135:P135)</f>
        <v>2082291090.6967545</v>
      </c>
    </row>
    <row r="136" spans="1:17" s="131" customFormat="1" ht="15.5">
      <c r="A136" s="867" t="str">
        <f>Table3[[#This Row],[Product]]</f>
        <v>NGL (Ton)</v>
      </c>
      <c r="B136" s="28" t="s">
        <v>25</v>
      </c>
      <c r="C136" s="28" t="s">
        <v>73</v>
      </c>
      <c r="D136" s="822"/>
      <c r="E136" s="28">
        <f>'Revenue (Baht)'!E136-'COST (Baht)'!E136</f>
        <v>0</v>
      </c>
      <c r="F136" s="28">
        <f>'Revenue (Baht)'!F136-'COST (Baht)'!F136</f>
        <v>0</v>
      </c>
      <c r="G136" s="28">
        <f>'Revenue (Baht)'!G136-'COST (Baht)'!G136</f>
        <v>0</v>
      </c>
      <c r="H136" s="28">
        <f>'Revenue (Baht)'!H136-'COST (Baht)'!H136</f>
        <v>0</v>
      </c>
      <c r="I136" s="28">
        <f>'Revenue (Baht)'!I136-'COST (Baht)'!I136</f>
        <v>0</v>
      </c>
      <c r="J136" s="28">
        <f>'Revenue (Baht)'!J136-'COST (Baht)'!J136</f>
        <v>0</v>
      </c>
      <c r="K136" s="28">
        <f>'Revenue (Baht)'!K136-'COST (Baht)'!K136</f>
        <v>174895869.59584942</v>
      </c>
      <c r="L136" s="28">
        <f>'Revenue (Baht)'!L136-'COST (Baht)'!L136</f>
        <v>222345252.79027396</v>
      </c>
      <c r="M136" s="28">
        <f>'Revenue (Baht)'!M136-'COST (Baht)'!M136</f>
        <v>206980859.44554967</v>
      </c>
      <c r="N136" s="28">
        <f>'Revenue (Baht)'!N136-'COST (Baht)'!N136</f>
        <v>180003373.14594948</v>
      </c>
      <c r="O136" s="28">
        <f>'Revenue (Baht)'!O136-'COST (Baht)'!O136</f>
        <v>187097111.99873918</v>
      </c>
      <c r="P136" s="28">
        <f>'Revenue (Baht)'!P136-'COST (Baht)'!P136</f>
        <v>193355822.878254</v>
      </c>
      <c r="Q136" s="873">
        <f t="shared" ref="Q136:Q144" si="90">SUM(E136:P136)</f>
        <v>1164678289.8546157</v>
      </c>
    </row>
    <row r="137" spans="1:17" s="131" customFormat="1" ht="15.5">
      <c r="A137" s="867" t="str">
        <f>Table3[[#This Row],[Product]]</f>
        <v>NGL (Ton)</v>
      </c>
      <c r="B137" s="28" t="s">
        <v>25</v>
      </c>
      <c r="C137" s="28" t="s">
        <v>74</v>
      </c>
      <c r="D137" s="822"/>
      <c r="E137" s="28">
        <f>'Revenue (Baht)'!E137-'COST (Baht)'!E137</f>
        <v>212628083.67509785</v>
      </c>
      <c r="F137" s="28">
        <f>'Revenue (Baht)'!F137-'COST (Baht)'!F137</f>
        <v>237295170.93345389</v>
      </c>
      <c r="G137" s="28">
        <f>'Revenue (Baht)'!G137-'COST (Baht)'!G137</f>
        <v>249626766.92095849</v>
      </c>
      <c r="H137" s="28">
        <f>'Revenue (Baht)'!H137-'COST (Baht)'!H137</f>
        <v>260713352.19731572</v>
      </c>
      <c r="I137" s="28">
        <f>'Revenue (Baht)'!I137-'COST (Baht)'!I137</f>
        <v>277016133.602965</v>
      </c>
      <c r="J137" s="28">
        <f>'Revenue (Baht)'!J137-'COST (Baht)'!J137</f>
        <v>239497841.5677141</v>
      </c>
      <c r="K137" s="28">
        <f>'Revenue (Baht)'!K137-'COST (Baht)'!K137</f>
        <v>0</v>
      </c>
      <c r="L137" s="28">
        <f>'Revenue (Baht)'!L137-'COST (Baht)'!L137</f>
        <v>0</v>
      </c>
      <c r="M137" s="28">
        <f>'Revenue (Baht)'!M137-'COST (Baht)'!M137</f>
        <v>0</v>
      </c>
      <c r="N137" s="28">
        <f>'Revenue (Baht)'!N137-'COST (Baht)'!N137</f>
        <v>0</v>
      </c>
      <c r="O137" s="28">
        <f>'Revenue (Baht)'!O137-'COST (Baht)'!O137</f>
        <v>0</v>
      </c>
      <c r="P137" s="28">
        <f>'Revenue (Baht)'!P137-'COST (Baht)'!P137</f>
        <v>0</v>
      </c>
      <c r="Q137" s="873">
        <f t="shared" si="90"/>
        <v>1476777348.8975053</v>
      </c>
    </row>
    <row r="138" spans="1:17" s="131" customFormat="1" ht="15.5">
      <c r="A138" s="867" t="str">
        <f>Table3[[#This Row],[Product]]</f>
        <v>NGL (Ton)</v>
      </c>
      <c r="B138" s="28" t="s">
        <v>25</v>
      </c>
      <c r="C138" s="28" t="s">
        <v>77</v>
      </c>
      <c r="D138" s="822"/>
      <c r="E138" s="28">
        <f>'Revenue (Baht)'!E138-'COST (Baht)'!E138</f>
        <v>0</v>
      </c>
      <c r="F138" s="28">
        <f>'Revenue (Baht)'!F138-'COST (Baht)'!F138</f>
        <v>8546696.8192381412</v>
      </c>
      <c r="G138" s="28">
        <f>'Revenue (Baht)'!G138-'COST (Baht)'!G138</f>
        <v>0</v>
      </c>
      <c r="H138" s="28">
        <f>'Revenue (Baht)'!H138-'COST (Baht)'!H138</f>
        <v>0</v>
      </c>
      <c r="I138" s="28">
        <f>'Revenue (Baht)'!I138-'COST (Baht)'!I138</f>
        <v>0</v>
      </c>
      <c r="J138" s="28">
        <f>'Revenue (Baht)'!J138-'COST (Baht)'!J138</f>
        <v>0</v>
      </c>
      <c r="K138" s="28">
        <f>'Revenue (Baht)'!K138-'COST (Baht)'!K138</f>
        <v>6751244.8254266586</v>
      </c>
      <c r="L138" s="28">
        <f>'Revenue (Baht)'!L138-'COST (Baht)'!L138</f>
        <v>0</v>
      </c>
      <c r="M138" s="28">
        <f>'Revenue (Baht)'!M138-'COST (Baht)'!M138</f>
        <v>0</v>
      </c>
      <c r="N138" s="28">
        <f>'Revenue (Baht)'!N138-'COST (Baht)'!N138</f>
        <v>0</v>
      </c>
      <c r="O138" s="28">
        <f>'Revenue (Baht)'!O138-'COST (Baht)'!O138</f>
        <v>0</v>
      </c>
      <c r="P138" s="28">
        <f>'Revenue (Baht)'!P138-'COST (Baht)'!P138</f>
        <v>0</v>
      </c>
      <c r="Q138" s="873">
        <f t="shared" si="90"/>
        <v>15297941.6446648</v>
      </c>
    </row>
    <row r="139" spans="1:17" s="131" customFormat="1" ht="15.5">
      <c r="A139" s="867" t="str">
        <f>Table3[[#This Row],[Product]]</f>
        <v>NGL (Ton)</v>
      </c>
      <c r="B139" s="28" t="s">
        <v>25</v>
      </c>
      <c r="C139" s="28" t="s">
        <v>78</v>
      </c>
      <c r="D139" s="822"/>
      <c r="E139" s="28">
        <f>'Revenue (Baht)'!E139-'COST (Baht)'!E139</f>
        <v>0</v>
      </c>
      <c r="F139" s="28">
        <f>'Revenue (Baht)'!F139-'COST (Baht)'!F139</f>
        <v>0</v>
      </c>
      <c r="G139" s="28">
        <f>'Revenue (Baht)'!G139-'COST (Baht)'!G139</f>
        <v>0</v>
      </c>
      <c r="H139" s="28">
        <f>'Revenue (Baht)'!H139-'COST (Baht)'!H139</f>
        <v>0</v>
      </c>
      <c r="I139" s="28">
        <f>'Revenue (Baht)'!I139-'COST (Baht)'!I139</f>
        <v>0</v>
      </c>
      <c r="J139" s="28">
        <f>'Revenue (Baht)'!J139-'COST (Baht)'!J139</f>
        <v>0</v>
      </c>
      <c r="K139" s="28">
        <f>'Revenue (Baht)'!K139-'COST (Baht)'!K139</f>
        <v>0</v>
      </c>
      <c r="L139" s="28">
        <f>'Revenue (Baht)'!L139-'COST (Baht)'!L139</f>
        <v>0</v>
      </c>
      <c r="M139" s="28">
        <f>'Revenue (Baht)'!M139-'COST (Baht)'!M139</f>
        <v>0</v>
      </c>
      <c r="N139" s="28">
        <f>'Revenue (Baht)'!N139-'COST (Baht)'!N139</f>
        <v>0</v>
      </c>
      <c r="O139" s="28">
        <f>'Revenue (Baht)'!O139-'COST (Baht)'!O139</f>
        <v>0</v>
      </c>
      <c r="P139" s="28">
        <f>'Revenue (Baht)'!P139-'COST (Baht)'!P139</f>
        <v>0</v>
      </c>
      <c r="Q139" s="873">
        <f t="shared" si="90"/>
        <v>0</v>
      </c>
    </row>
    <row r="140" spans="1:17" s="131" customFormat="1" ht="15.5">
      <c r="A140" s="867" t="str">
        <f>Table3[[#This Row],[Product]]</f>
        <v>NGL (Ton)</v>
      </c>
      <c r="B140" s="28" t="s">
        <v>76</v>
      </c>
      <c r="C140" s="28" t="s">
        <v>75</v>
      </c>
      <c r="D140" s="822"/>
      <c r="E140" s="28">
        <f>'Revenue (Baht)'!E140-'COST (Baht)'!E140</f>
        <v>2121046.4773233607</v>
      </c>
      <c r="F140" s="28">
        <f>'Revenue (Baht)'!F140-'COST (Baht)'!F140</f>
        <v>0</v>
      </c>
      <c r="G140" s="28">
        <f>'Revenue (Baht)'!G140-'COST (Baht)'!G140</f>
        <v>62703.613285265863</v>
      </c>
      <c r="H140" s="28">
        <f>'Revenue (Baht)'!H140-'COST (Baht)'!H140</f>
        <v>4475596.8865116704</v>
      </c>
      <c r="I140" s="28">
        <f>'Revenue (Baht)'!I140-'COST (Baht)'!I140</f>
        <v>4552077.6896775048</v>
      </c>
      <c r="J140" s="28">
        <f>'Revenue (Baht)'!J140-'COST (Baht)'!J140</f>
        <v>9280060.9628883749</v>
      </c>
      <c r="K140" s="28">
        <f>'Revenue (Baht)'!K140-'COST (Baht)'!K140</f>
        <v>3425095.010827966</v>
      </c>
      <c r="L140" s="28">
        <f>'Revenue (Baht)'!L140-'COST (Baht)'!L140</f>
        <v>19655847.298035771</v>
      </c>
      <c r="M140" s="28">
        <f>'Revenue (Baht)'!M140-'COST (Baht)'!M140</f>
        <v>12495549.477378674</v>
      </c>
      <c r="N140" s="28">
        <f>'Revenue (Baht)'!N140-'COST (Baht)'!N140</f>
        <v>18191770.875888519</v>
      </c>
      <c r="O140" s="28">
        <f>'Revenue (Baht)'!O140-'COST (Baht)'!O140</f>
        <v>11519471.819514345</v>
      </c>
      <c r="P140" s="28">
        <f>'Revenue (Baht)'!P140-'COST (Baht)'!P140</f>
        <v>17089479.422506347</v>
      </c>
      <c r="Q140" s="873">
        <f t="shared" si="90"/>
        <v>102868699.5338378</v>
      </c>
    </row>
    <row r="141" spans="1:17" s="131" customFormat="1" ht="15.5">
      <c r="A141" s="867" t="str">
        <f>Table3[[#This Row],[Product]]</f>
        <v>NGL (Ton)</v>
      </c>
      <c r="B141" s="28" t="s">
        <v>76</v>
      </c>
      <c r="C141" s="28" t="s">
        <v>531</v>
      </c>
      <c r="D141" s="822"/>
      <c r="E141" s="891">
        <f>Table2[[#This Row],[ม.ค.-64]]-Table5[[#This Row],[ม.ค.-64]]</f>
        <v>2199460.2306185458</v>
      </c>
      <c r="F141" s="28">
        <f>'Revenue (Baht)'!F141-'COST (Baht)'!F141</f>
        <v>3992088.5832843799</v>
      </c>
      <c r="G141" s="28">
        <f>'Revenue (Baht)'!G141-'COST (Baht)'!G141</f>
        <v>2123513.4899052456</v>
      </c>
      <c r="H141" s="28">
        <f>'Revenue (Baht)'!H141-'COST (Baht)'!H141</f>
        <v>6615111.1460976545</v>
      </c>
      <c r="I141" s="28">
        <f>'Revenue (Baht)'!I141-'COST (Baht)'!I141</f>
        <v>9801484.1055062786</v>
      </c>
      <c r="J141" s="28">
        <f>'Revenue (Baht)'!J141-'COST (Baht)'!J141</f>
        <v>8598545.0046289936</v>
      </c>
      <c r="K141" s="28">
        <f>'Revenue (Baht)'!K141-'COST (Baht)'!K141</f>
        <v>0</v>
      </c>
      <c r="L141" s="28">
        <f>'Revenue (Baht)'!L141-'COST (Baht)'!L141</f>
        <v>0</v>
      </c>
      <c r="M141" s="28">
        <f>'Revenue (Baht)'!M141-'COST (Baht)'!M141</f>
        <v>0</v>
      </c>
      <c r="N141" s="28">
        <f>'Revenue (Baht)'!N141-'COST (Baht)'!N141</f>
        <v>0</v>
      </c>
      <c r="O141" s="28">
        <f>'Revenue (Baht)'!O141-'COST (Baht)'!O141</f>
        <v>0</v>
      </c>
      <c r="P141" s="28">
        <f>'Revenue (Baht)'!P141-'COST (Baht)'!P141</f>
        <v>0</v>
      </c>
      <c r="Q141" s="873"/>
    </row>
    <row r="142" spans="1:17" s="131" customFormat="1" ht="15.5">
      <c r="A142" s="867" t="str">
        <f>Table3[[#This Row],[Product]]</f>
        <v>NGL (Ton)</v>
      </c>
      <c r="B142" s="28"/>
      <c r="C142" s="33" t="s">
        <v>35</v>
      </c>
      <c r="D142" s="822"/>
      <c r="E142" s="822">
        <f t="shared" ref="E142:P142" si="91">E135</f>
        <v>175436728.29063949</v>
      </c>
      <c r="F142" s="822">
        <f t="shared" si="91"/>
        <v>225286808.66760466</v>
      </c>
      <c r="G142" s="822">
        <f t="shared" si="91"/>
        <v>232897674.86660713</v>
      </c>
      <c r="H142" s="822">
        <f t="shared" si="91"/>
        <v>175508208.08747831</v>
      </c>
      <c r="I142" s="822">
        <f t="shared" si="91"/>
        <v>258268482.43152073</v>
      </c>
      <c r="J142" s="822">
        <f t="shared" si="91"/>
        <v>147903389.28378582</v>
      </c>
      <c r="K142" s="822">
        <f t="shared" si="91"/>
        <v>146948745.45105168</v>
      </c>
      <c r="L142" s="822">
        <f t="shared" si="91"/>
        <v>172689084.65570268</v>
      </c>
      <c r="M142" s="822">
        <f t="shared" si="91"/>
        <v>143451707.94829839</v>
      </c>
      <c r="N142" s="822">
        <f t="shared" si="91"/>
        <v>120715008.83464345</v>
      </c>
      <c r="O142" s="822">
        <f t="shared" si="91"/>
        <v>139878567.1043185</v>
      </c>
      <c r="P142" s="822">
        <f t="shared" si="91"/>
        <v>143306685.0751037</v>
      </c>
      <c r="Q142" s="932">
        <f t="shared" si="90"/>
        <v>2082291090.6967545</v>
      </c>
    </row>
    <row r="143" spans="1:17" ht="15.5">
      <c r="A143" s="867" t="str">
        <f>Table3[[#This Row],[Product]]</f>
        <v>NGL (Ton)</v>
      </c>
      <c r="B143" s="28"/>
      <c r="C143" s="33" t="s">
        <v>36</v>
      </c>
      <c r="D143" s="822"/>
      <c r="E143" s="822">
        <f t="shared" ref="E143:P143" si="92">SUM(E136:E137)</f>
        <v>212628083.67509785</v>
      </c>
      <c r="F143" s="822">
        <f t="shared" si="92"/>
        <v>237295170.93345389</v>
      </c>
      <c r="G143" s="822">
        <f t="shared" si="92"/>
        <v>249626766.92095849</v>
      </c>
      <c r="H143" s="822">
        <f t="shared" si="92"/>
        <v>260713352.19731572</v>
      </c>
      <c r="I143" s="822">
        <f t="shared" si="92"/>
        <v>277016133.602965</v>
      </c>
      <c r="J143" s="822">
        <f t="shared" si="92"/>
        <v>239497841.5677141</v>
      </c>
      <c r="K143" s="822">
        <f t="shared" si="92"/>
        <v>174895869.59584942</v>
      </c>
      <c r="L143" s="822">
        <f t="shared" si="92"/>
        <v>222345252.79027396</v>
      </c>
      <c r="M143" s="822">
        <f t="shared" si="92"/>
        <v>206980859.44554967</v>
      </c>
      <c r="N143" s="822">
        <f t="shared" si="92"/>
        <v>180003373.14594948</v>
      </c>
      <c r="O143" s="822">
        <f t="shared" si="92"/>
        <v>187097111.99873918</v>
      </c>
      <c r="P143" s="822">
        <f t="shared" si="92"/>
        <v>193355822.878254</v>
      </c>
      <c r="Q143" s="932">
        <f t="shared" si="90"/>
        <v>2641455638.752121</v>
      </c>
    </row>
    <row r="144" spans="1:17" ht="15.5">
      <c r="A144" s="867" t="str">
        <f>Table3[[#This Row],[Product]]</f>
        <v>NGL (Ton)</v>
      </c>
      <c r="B144" s="28"/>
      <c r="C144" s="34" t="s">
        <v>37</v>
      </c>
      <c r="D144" s="822">
        <f>Table2[[#This Row],[ม.ค.-64]]-Table5[[#This Row],[ม.ค.-64]]</f>
        <v>392385318.67367923</v>
      </c>
      <c r="E144" s="822">
        <f>SUM(E135:E141)</f>
        <v>392385318.67367923</v>
      </c>
      <c r="F144" s="822">
        <f t="shared" ref="F144:P144" si="93">SUM(F135:F141)</f>
        <v>475120765.00358105</v>
      </c>
      <c r="G144" s="822">
        <f t="shared" si="93"/>
        <v>484710658.89075607</v>
      </c>
      <c r="H144" s="822">
        <f t="shared" si="93"/>
        <v>447312268.31740338</v>
      </c>
      <c r="I144" s="822">
        <f t="shared" si="93"/>
        <v>549638177.82966948</v>
      </c>
      <c r="J144" s="822">
        <f t="shared" si="93"/>
        <v>405279836.81901729</v>
      </c>
      <c r="K144" s="822">
        <f t="shared" si="93"/>
        <v>332020954.8831557</v>
      </c>
      <c r="L144" s="822">
        <f t="shared" si="93"/>
        <v>414690184.74401236</v>
      </c>
      <c r="M144" s="822">
        <f t="shared" si="93"/>
        <v>362928116.87122673</v>
      </c>
      <c r="N144" s="822">
        <f t="shared" si="93"/>
        <v>318910152.85648149</v>
      </c>
      <c r="O144" s="822">
        <f t="shared" si="93"/>
        <v>338495150.92257202</v>
      </c>
      <c r="P144" s="822">
        <f t="shared" si="93"/>
        <v>353751987.37586403</v>
      </c>
      <c r="Q144" s="932">
        <f t="shared" si="90"/>
        <v>4875243573.1874189</v>
      </c>
    </row>
    <row r="145" spans="1:17" ht="15.5">
      <c r="A145" s="866" t="str">
        <f>Table3[[#This Row],[Product]]</f>
        <v>Pentane</v>
      </c>
      <c r="B145" s="28" t="s">
        <v>25</v>
      </c>
      <c r="C145" s="28" t="s">
        <v>80</v>
      </c>
      <c r="D145" s="822">
        <f>Table2[[#This Row],[ม.ค.-64]]-Table5[[#This Row],[ม.ค.-64]]</f>
        <v>0</v>
      </c>
      <c r="E145" s="822">
        <f>'Revenue (Baht)'!E145-'COST (Baht)'!E145</f>
        <v>0</v>
      </c>
      <c r="F145" s="28">
        <f>'Revenue (Baht)'!F145-'COST (Baht)'!F145</f>
        <v>0</v>
      </c>
      <c r="G145" s="28">
        <f>'Revenue (Baht)'!G145-'COST (Baht)'!G145</f>
        <v>0</v>
      </c>
      <c r="H145" s="28">
        <f>'Revenue (Baht)'!H145-'COST (Baht)'!H145</f>
        <v>0</v>
      </c>
      <c r="I145" s="28">
        <f>'Revenue (Baht)'!I145-'COST (Baht)'!I145</f>
        <v>0</v>
      </c>
      <c r="J145" s="28">
        <f>'Revenue (Baht)'!J145-'COST (Baht)'!J145</f>
        <v>0</v>
      </c>
      <c r="K145" s="28">
        <f>'Revenue (Baht)'!K145-'COST (Baht)'!K145</f>
        <v>0</v>
      </c>
      <c r="L145" s="28">
        <f>'Revenue (Baht)'!L145-'COST (Baht)'!L145</f>
        <v>0</v>
      </c>
      <c r="M145" s="28">
        <f>'Revenue (Baht)'!M145-'COST (Baht)'!M145</f>
        <v>0</v>
      </c>
      <c r="N145" s="28">
        <f>'Revenue (Baht)'!N145-'COST (Baht)'!N145</f>
        <v>0</v>
      </c>
      <c r="O145" s="28">
        <f>'Revenue (Baht)'!O145-'COST (Baht)'!O145</f>
        <v>0</v>
      </c>
      <c r="P145" s="28">
        <f>'Revenue (Baht)'!P145-'COST (Baht)'!P145</f>
        <v>0</v>
      </c>
      <c r="Q145" s="875">
        <f>SUM(E145:P145)</f>
        <v>0</v>
      </c>
    </row>
    <row r="146" spans="1:17" ht="15.5">
      <c r="A146" s="866" t="str">
        <f>Table3[[#This Row],[Product]]</f>
        <v>Pentane</v>
      </c>
      <c r="B146" s="28" t="s">
        <v>25</v>
      </c>
      <c r="C146" s="28" t="s">
        <v>81</v>
      </c>
      <c r="D146" s="822">
        <f>Table2[[#This Row],[ม.ค.-64]]-Table5[[#This Row],[ม.ค.-64]]</f>
        <v>5658977.5632821359</v>
      </c>
      <c r="E146" s="822">
        <f>Table2[[#This Row],[ม.ค.-64]]-Table5[[#This Row],[ม.ค.-64]]</f>
        <v>5658977.5632821359</v>
      </c>
      <c r="F146" s="28">
        <f>'Revenue (Baht)'!F146-'COST (Baht)'!F146</f>
        <v>17495479.24735599</v>
      </c>
      <c r="G146" s="28">
        <f>'Revenue (Baht)'!G146-'COST (Baht)'!G146</f>
        <v>18234983.846570574</v>
      </c>
      <c r="H146" s="28">
        <f>'Revenue (Baht)'!H146-'COST (Baht)'!H146</f>
        <v>16775455.483938262</v>
      </c>
      <c r="I146" s="28">
        <f>'Revenue (Baht)'!I146-'COST (Baht)'!I146</f>
        <v>20281413.054128259</v>
      </c>
      <c r="J146" s="28">
        <f>'Revenue (Baht)'!J146-'COST (Baht)'!J146</f>
        <v>22756269.073162667</v>
      </c>
      <c r="K146" s="28">
        <f>'Revenue (Baht)'!K146-'COST (Baht)'!K146</f>
        <v>24725288.871860817</v>
      </c>
      <c r="L146" s="28">
        <f>'Revenue (Baht)'!L146-'COST (Baht)'!L146</f>
        <v>23322185.177411675</v>
      </c>
      <c r="M146" s="28">
        <f>'Revenue (Baht)'!M146-'COST (Baht)'!M146</f>
        <v>21276388.333507836</v>
      </c>
      <c r="N146" s="28">
        <f>'Revenue (Baht)'!N146-'COST (Baht)'!N146</f>
        <v>19980341.143402852</v>
      </c>
      <c r="O146" s="28">
        <f>'Revenue (Baht)'!O146-'COST (Baht)'!O146</f>
        <v>18136849.262958817</v>
      </c>
      <c r="P146" s="28">
        <f>'Revenue (Baht)'!P146-'COST (Baht)'!P146</f>
        <v>18744906.770250611</v>
      </c>
      <c r="Q146" s="875">
        <f t="shared" ref="Q146:Q148" si="94">SUM(E146:P146)</f>
        <v>227388537.82783052</v>
      </c>
    </row>
    <row r="147" spans="1:17" ht="15.5">
      <c r="A147" s="866" t="str">
        <f>Table3[[#This Row],[Product]]</f>
        <v>Pentane</v>
      </c>
      <c r="B147" s="28" t="s">
        <v>25</v>
      </c>
      <c r="C147" s="28" t="s">
        <v>82</v>
      </c>
      <c r="D147" s="822">
        <f>Table2[[#This Row],[ม.ค.-64]]-Table5[[#This Row],[ม.ค.-64]]</f>
        <v>0</v>
      </c>
      <c r="E147" s="822">
        <f>'Revenue (Baht)'!E147-'COST (Baht)'!E147</f>
        <v>0</v>
      </c>
      <c r="F147" s="28">
        <f>'Revenue (Baht)'!F147-'COST (Baht)'!F147</f>
        <v>0</v>
      </c>
      <c r="G147" s="28">
        <f>'Revenue (Baht)'!G147-'COST (Baht)'!G147</f>
        <v>0</v>
      </c>
      <c r="H147" s="28">
        <f>'Revenue (Baht)'!H147-'COST (Baht)'!H147</f>
        <v>0</v>
      </c>
      <c r="I147" s="28">
        <f>'Revenue (Baht)'!I147-'COST (Baht)'!I147</f>
        <v>0</v>
      </c>
      <c r="J147" s="28">
        <f>'Revenue (Baht)'!J147-'COST (Baht)'!J147</f>
        <v>0</v>
      </c>
      <c r="K147" s="28">
        <f>'Revenue (Baht)'!K147-'COST (Baht)'!K147</f>
        <v>0</v>
      </c>
      <c r="L147" s="28">
        <f>'Revenue (Baht)'!L147-'COST (Baht)'!L147</f>
        <v>0</v>
      </c>
      <c r="M147" s="28">
        <f>'Revenue (Baht)'!M147-'COST (Baht)'!M147</f>
        <v>0</v>
      </c>
      <c r="N147" s="28">
        <f>'Revenue (Baht)'!N147-'COST (Baht)'!N147</f>
        <v>0</v>
      </c>
      <c r="O147" s="28">
        <f>'Revenue (Baht)'!O147-'COST (Baht)'!O147</f>
        <v>0</v>
      </c>
      <c r="P147" s="28">
        <f>'Revenue (Baht)'!P147-'COST (Baht)'!P147</f>
        <v>0</v>
      </c>
      <c r="Q147" s="875">
        <f t="shared" si="94"/>
        <v>0</v>
      </c>
    </row>
    <row r="148" spans="1:17" ht="15.5">
      <c r="A148" s="866" t="str">
        <f>Table3[[#This Row],[Product]]</f>
        <v>Pentane</v>
      </c>
      <c r="B148" s="28"/>
      <c r="C148" s="34" t="s">
        <v>37</v>
      </c>
      <c r="D148" s="822">
        <f>Table2[[#This Row],[ม.ค.-64]]-Table5[[#This Row],[ม.ค.-64]]</f>
        <v>5658977.5632821359</v>
      </c>
      <c r="E148" s="822">
        <f t="shared" ref="E148:P148" si="95">SUM(E145:E147)</f>
        <v>5658977.5632821359</v>
      </c>
      <c r="F148" s="822">
        <f t="shared" si="95"/>
        <v>17495479.24735599</v>
      </c>
      <c r="G148" s="822">
        <f t="shared" si="95"/>
        <v>18234983.846570574</v>
      </c>
      <c r="H148" s="822">
        <f t="shared" si="95"/>
        <v>16775455.483938262</v>
      </c>
      <c r="I148" s="822">
        <f t="shared" si="95"/>
        <v>20281413.054128259</v>
      </c>
      <c r="J148" s="822">
        <f t="shared" si="95"/>
        <v>22756269.073162667</v>
      </c>
      <c r="K148" s="822">
        <f t="shared" si="95"/>
        <v>24725288.871860817</v>
      </c>
      <c r="L148" s="822">
        <f t="shared" si="95"/>
        <v>23322185.177411675</v>
      </c>
      <c r="M148" s="822">
        <f t="shared" si="95"/>
        <v>21276388.333507836</v>
      </c>
      <c r="N148" s="822">
        <f t="shared" si="95"/>
        <v>19980341.143402852</v>
      </c>
      <c r="O148" s="822">
        <f t="shared" si="95"/>
        <v>18136849.262958817</v>
      </c>
      <c r="P148" s="822">
        <f t="shared" si="95"/>
        <v>18744906.770250611</v>
      </c>
      <c r="Q148" s="932">
        <f t="shared" si="94"/>
        <v>227388537.82783052</v>
      </c>
    </row>
    <row r="149" spans="1:17" ht="15.5">
      <c r="A149" s="867" t="str">
        <f>Table3[[#This Row],[Product]]</f>
        <v>CO2</v>
      </c>
      <c r="B149" s="28" t="s">
        <v>25</v>
      </c>
      <c r="C149" s="28" t="s">
        <v>84</v>
      </c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873">
        <f>SUM(E149:P149)</f>
        <v>0</v>
      </c>
    </row>
    <row r="150" spans="1:17" ht="15.5">
      <c r="A150" s="867" t="str">
        <f>Table3[[#This Row],[Product]]</f>
        <v>CO2</v>
      </c>
      <c r="B150" s="28" t="s">
        <v>25</v>
      </c>
      <c r="C150" s="28" t="s">
        <v>85</v>
      </c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873">
        <f t="shared" ref="Q150:Q151" si="96">SUM(E150:P150)</f>
        <v>0</v>
      </c>
    </row>
    <row r="151" spans="1:17" ht="15.5">
      <c r="A151" s="870" t="str">
        <f>Table3[[#This Row],[Product]]</f>
        <v>CO2</v>
      </c>
      <c r="B151" s="848"/>
      <c r="C151" s="836" t="s">
        <v>37</v>
      </c>
      <c r="D151" s="848">
        <f>SUM(D149:D150)</f>
        <v>0</v>
      </c>
      <c r="E151" s="848">
        <f t="shared" ref="E151:P151" si="97">SUM(E149:E150)</f>
        <v>0</v>
      </c>
      <c r="F151" s="848">
        <f t="shared" si="97"/>
        <v>0</v>
      </c>
      <c r="G151" s="848">
        <f t="shared" si="97"/>
        <v>0</v>
      </c>
      <c r="H151" s="848">
        <f t="shared" si="97"/>
        <v>0</v>
      </c>
      <c r="I151" s="848">
        <f t="shared" si="97"/>
        <v>0</v>
      </c>
      <c r="J151" s="848">
        <f t="shared" si="97"/>
        <v>0</v>
      </c>
      <c r="K151" s="848">
        <f t="shared" si="97"/>
        <v>0</v>
      </c>
      <c r="L151" s="848">
        <f t="shared" si="97"/>
        <v>0</v>
      </c>
      <c r="M151" s="848">
        <f t="shared" si="97"/>
        <v>0</v>
      </c>
      <c r="N151" s="848">
        <f t="shared" si="97"/>
        <v>0</v>
      </c>
      <c r="O151" s="848">
        <f t="shared" si="97"/>
        <v>0</v>
      </c>
      <c r="P151" s="848">
        <f t="shared" si="97"/>
        <v>0</v>
      </c>
      <c r="Q151" s="877">
        <f t="shared" si="96"/>
        <v>0</v>
      </c>
    </row>
    <row r="152" spans="1:17" ht="15.5">
      <c r="A152" s="870"/>
      <c r="B152" s="848"/>
      <c r="C152" s="848" t="s">
        <v>633</v>
      </c>
      <c r="D152" s="848"/>
      <c r="E152" s="954">
        <f>'Revenue (Baht)'!E3-'Margin (Baht)'!E3</f>
        <v>8280576060.4301958</v>
      </c>
      <c r="F152" s="848"/>
      <c r="G152" s="848"/>
      <c r="H152" s="848"/>
      <c r="I152" s="848"/>
      <c r="J152" s="848"/>
      <c r="K152" s="848"/>
      <c r="L152" s="848"/>
      <c r="M152" s="848"/>
      <c r="N152" s="848"/>
      <c r="O152" s="848"/>
      <c r="P152" s="848"/>
      <c r="Q152" s="877"/>
    </row>
  </sheetData>
  <mergeCells count="5">
    <mergeCell ref="AY36:BM36"/>
    <mergeCell ref="B2:C2"/>
    <mergeCell ref="B3:B8"/>
    <mergeCell ref="B9:B10"/>
    <mergeCell ref="AY2:BL2"/>
  </mergeCells>
  <conditionalFormatting sqref="E3:P3">
    <cfRule type="cellIs" dxfId="52" priority="1" operator="greaterThan">
      <formula>0</formula>
    </cfRule>
    <cfRule type="cellIs" dxfId="51" priority="2" operator="lessThan">
      <formula>0</formula>
    </cfRule>
    <cfRule type="cellIs" dxfId="50" priority="3" operator="lessThan">
      <formula>"จ"</formula>
    </cfRule>
    <cfRule type="cellIs" dxfId="49" priority="4" operator="lessThan">
      <formula>"จ"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tabColor theme="9"/>
  </sheetPr>
  <dimension ref="A1:AN266"/>
  <sheetViews>
    <sheetView zoomScale="60" zoomScaleNormal="60" workbookViewId="0">
      <pane xSplit="2" topLeftCell="F1" activePane="topRight" state="frozen"/>
      <selection activeCell="C116" sqref="C116"/>
      <selection pane="topRight" activeCell="K27" sqref="K27"/>
    </sheetView>
  </sheetViews>
  <sheetFormatPr defaultColWidth="9.08984375" defaultRowHeight="14"/>
  <cols>
    <col min="1" max="1" width="29" style="97" customWidth="1"/>
    <col min="2" max="2" width="34.6328125" style="97" customWidth="1"/>
    <col min="3" max="3" width="16" style="97" customWidth="1"/>
    <col min="4" max="4" width="17.36328125" style="126" customWidth="1"/>
    <col min="5" max="5" width="16.81640625" style="97" customWidth="1"/>
    <col min="6" max="6" width="14.6328125" style="97" customWidth="1"/>
    <col min="7" max="7" width="16.81640625" style="97" customWidth="1"/>
    <col min="8" max="8" width="16.36328125" style="97" customWidth="1"/>
    <col min="9" max="9" width="19" style="97" customWidth="1"/>
    <col min="10" max="10" width="17.81640625" style="97" customWidth="1"/>
    <col min="11" max="11" width="17.453125" style="97" customWidth="1"/>
    <col min="12" max="12" width="17.81640625" style="97" customWidth="1"/>
    <col min="13" max="13" width="18.81640625" style="97" customWidth="1"/>
    <col min="14" max="14" width="17.36328125" style="97" customWidth="1"/>
    <col min="15" max="15" width="14.6328125" style="97" customWidth="1"/>
    <col min="16" max="16384" width="9.08984375" style="97"/>
  </cols>
  <sheetData>
    <row r="1" spans="1:40">
      <c r="A1" s="98"/>
      <c r="B1" s="98"/>
      <c r="C1" s="98"/>
      <c r="D1" s="99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spans="1:40" ht="33.65" customHeight="1">
      <c r="A2" s="75" t="s">
        <v>168</v>
      </c>
      <c r="B2" s="76" t="s">
        <v>169</v>
      </c>
      <c r="C2" s="43">
        <v>242492</v>
      </c>
      <c r="D2" s="43">
        <v>23377</v>
      </c>
      <c r="E2" s="43">
        <v>23408</v>
      </c>
      <c r="F2" s="43">
        <v>23437</v>
      </c>
      <c r="G2" s="43">
        <v>23468</v>
      </c>
      <c r="H2" s="43">
        <v>23498</v>
      </c>
      <c r="I2" s="43">
        <v>23529</v>
      </c>
      <c r="J2" s="43">
        <v>23559</v>
      </c>
      <c r="K2" s="43">
        <v>23590</v>
      </c>
      <c r="L2" s="43">
        <v>23621</v>
      </c>
      <c r="M2" s="43">
        <v>23651</v>
      </c>
      <c r="N2" s="43">
        <v>23682</v>
      </c>
      <c r="O2" s="43">
        <v>23712</v>
      </c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ht="17.399999999999999" customHeight="1">
      <c r="A3" s="77" t="s">
        <v>21</v>
      </c>
      <c r="B3" s="77" t="s">
        <v>170</v>
      </c>
      <c r="C3" s="101"/>
      <c r="D3" s="102">
        <v>29060.888999999999</v>
      </c>
      <c r="E3" s="102">
        <v>26062.287000000008</v>
      </c>
      <c r="F3" s="103">
        <v>28817.103000000003</v>
      </c>
      <c r="G3" s="103">
        <v>23817.321999999996</v>
      </c>
      <c r="H3" s="103">
        <v>29195.077000000001</v>
      </c>
      <c r="I3" s="103">
        <v>27027.818252000001</v>
      </c>
      <c r="J3" s="103"/>
      <c r="K3" s="104"/>
      <c r="L3" s="103"/>
      <c r="M3" s="103"/>
      <c r="N3" s="103"/>
      <c r="O3" s="103"/>
      <c r="P3" s="100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spans="1:40" ht="17.399999999999999" customHeight="1">
      <c r="A4" s="78" t="s">
        <v>171</v>
      </c>
      <c r="B4" s="78" t="s">
        <v>172</v>
      </c>
      <c r="C4" s="105"/>
      <c r="D4" s="106">
        <v>5052.7869999999994</v>
      </c>
      <c r="E4" s="106">
        <v>5196.7669999999998</v>
      </c>
      <c r="F4" s="107">
        <v>5531.9389999999994</v>
      </c>
      <c r="G4" s="107">
        <v>5490.9039999999995</v>
      </c>
      <c r="H4" s="107">
        <v>5292.4319999999998</v>
      </c>
      <c r="I4" s="107">
        <v>5215.256374999999</v>
      </c>
      <c r="J4" s="107"/>
      <c r="K4" s="108"/>
      <c r="L4" s="107"/>
      <c r="M4" s="107"/>
      <c r="N4" s="107"/>
      <c r="O4" s="107"/>
      <c r="P4" s="100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</row>
    <row r="5" spans="1:40" ht="17.399999999999999" customHeight="1">
      <c r="A5" s="78"/>
      <c r="B5" s="78" t="s">
        <v>173</v>
      </c>
      <c r="C5" s="105"/>
      <c r="D5" s="106">
        <v>7260.5399999999991</v>
      </c>
      <c r="E5" s="106">
        <v>6672.4969999999985</v>
      </c>
      <c r="F5" s="107">
        <v>7057.5150000000003</v>
      </c>
      <c r="G5" s="107">
        <v>6944.869999999999</v>
      </c>
      <c r="H5" s="107">
        <v>7127.8219999999992</v>
      </c>
      <c r="I5" s="107">
        <v>7301.4072870000018</v>
      </c>
      <c r="J5" s="107"/>
      <c r="K5" s="108"/>
      <c r="L5" s="107"/>
      <c r="M5" s="107"/>
      <c r="N5" s="107"/>
      <c r="O5" s="107"/>
      <c r="P5" s="100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</row>
    <row r="6" spans="1:40" ht="17.399999999999999" customHeight="1">
      <c r="A6" s="78"/>
      <c r="B6" s="78" t="s">
        <v>174</v>
      </c>
      <c r="C6" s="105"/>
      <c r="D6" s="106">
        <v>46119.115999999995</v>
      </c>
      <c r="E6" s="106">
        <v>43085.500999999997</v>
      </c>
      <c r="F6" s="107">
        <v>48497.048000000003</v>
      </c>
      <c r="G6" s="107">
        <v>36796.513000000006</v>
      </c>
      <c r="H6" s="107">
        <v>48690.659999999996</v>
      </c>
      <c r="I6" s="107">
        <v>47109.578000000001</v>
      </c>
      <c r="J6" s="107"/>
      <c r="K6" s="108"/>
      <c r="L6" s="107"/>
      <c r="M6" s="107"/>
      <c r="N6" s="107"/>
      <c r="O6" s="107"/>
      <c r="P6" s="100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</row>
    <row r="7" spans="1:40" ht="17.399999999999999" customHeight="1">
      <c r="A7" s="78"/>
      <c r="B7" s="78" t="s">
        <v>175</v>
      </c>
      <c r="C7" s="105"/>
      <c r="D7" s="106">
        <v>47980.153000000013</v>
      </c>
      <c r="E7" s="106">
        <v>44189.454000000005</v>
      </c>
      <c r="F7" s="107">
        <v>44976.051999999996</v>
      </c>
      <c r="G7" s="107">
        <v>37733.123683999991</v>
      </c>
      <c r="H7" s="107">
        <v>45196.663</v>
      </c>
      <c r="I7" s="107">
        <v>47131.124349000005</v>
      </c>
      <c r="J7" s="107"/>
      <c r="K7" s="108"/>
      <c r="L7" s="107"/>
      <c r="M7" s="107"/>
      <c r="N7" s="107"/>
      <c r="O7" s="107"/>
      <c r="P7" s="100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</row>
    <row r="8" spans="1:40" ht="17.399999999999999" customHeight="1">
      <c r="A8" s="78"/>
      <c r="B8" s="78" t="s">
        <v>176</v>
      </c>
      <c r="C8" s="105"/>
      <c r="D8" s="106">
        <v>64251.63</v>
      </c>
      <c r="E8" s="106">
        <v>57312.15</v>
      </c>
      <c r="F8" s="107">
        <v>65246.527000000002</v>
      </c>
      <c r="G8" s="107">
        <v>58759.151272000003</v>
      </c>
      <c r="H8" s="107">
        <v>64553.992000000006</v>
      </c>
      <c r="I8" s="107">
        <v>62161.755395999993</v>
      </c>
      <c r="J8" s="107"/>
      <c r="K8" s="108"/>
      <c r="L8" s="107"/>
      <c r="M8" s="107"/>
      <c r="N8" s="107"/>
      <c r="O8" s="107"/>
      <c r="P8" s="100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</row>
    <row r="9" spans="1:40" s="113" customFormat="1" ht="17.399999999999999" customHeight="1">
      <c r="A9" s="79"/>
      <c r="B9" s="79" t="s">
        <v>177</v>
      </c>
      <c r="C9" s="109"/>
      <c r="D9" s="110">
        <f>SUM(D3:D8)</f>
        <v>199725.11500000002</v>
      </c>
      <c r="E9" s="110">
        <f t="shared" ref="E9:O9" si="0">SUM(E3:E8)</f>
        <v>182518.65599999999</v>
      </c>
      <c r="F9" s="110">
        <f t="shared" si="0"/>
        <v>200126.18400000001</v>
      </c>
      <c r="G9" s="110">
        <f t="shared" si="0"/>
        <v>169541.88395599998</v>
      </c>
      <c r="H9" s="110">
        <f t="shared" si="0"/>
        <v>200056.64599999998</v>
      </c>
      <c r="I9" s="110">
        <f t="shared" si="0"/>
        <v>195946.93965900003</v>
      </c>
      <c r="J9" s="110">
        <f t="shared" si="0"/>
        <v>0</v>
      </c>
      <c r="K9" s="110">
        <f t="shared" si="0"/>
        <v>0</v>
      </c>
      <c r="L9" s="110">
        <f t="shared" si="0"/>
        <v>0</v>
      </c>
      <c r="M9" s="110">
        <f t="shared" si="0"/>
        <v>0</v>
      </c>
      <c r="N9" s="110">
        <f t="shared" si="0"/>
        <v>0</v>
      </c>
      <c r="O9" s="110">
        <f t="shared" si="0"/>
        <v>0</v>
      </c>
      <c r="P9" s="111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</row>
    <row r="10" spans="1:40" ht="17.399999999999999" customHeight="1">
      <c r="A10" s="80" t="s">
        <v>152</v>
      </c>
      <c r="B10" s="80" t="s">
        <v>170</v>
      </c>
      <c r="C10" s="101"/>
      <c r="D10" s="102">
        <v>13216.441000000004</v>
      </c>
      <c r="E10" s="102">
        <v>11994.227999999999</v>
      </c>
      <c r="F10" s="103">
        <v>13474.819000000003</v>
      </c>
      <c r="G10" s="103">
        <v>10803.397999999999</v>
      </c>
      <c r="H10" s="103">
        <v>11679.523999999998</v>
      </c>
      <c r="I10" s="103">
        <v>12229.537</v>
      </c>
      <c r="J10" s="103"/>
      <c r="K10" s="104"/>
      <c r="L10" s="103"/>
      <c r="M10" s="103"/>
      <c r="N10" s="103"/>
      <c r="O10" s="103"/>
      <c r="P10" s="100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</row>
    <row r="11" spans="1:40" ht="17.399999999999999" customHeight="1">
      <c r="A11" s="81" t="s">
        <v>171</v>
      </c>
      <c r="B11" s="81" t="s">
        <v>172</v>
      </c>
      <c r="C11" s="105"/>
      <c r="D11" s="106">
        <v>5619.1380000000008</v>
      </c>
      <c r="E11" s="106">
        <v>6481.4880000000003</v>
      </c>
      <c r="F11" s="107">
        <v>6325.2519999999986</v>
      </c>
      <c r="G11" s="107">
        <v>6310.755000000001</v>
      </c>
      <c r="H11" s="107">
        <v>6394.0110000000004</v>
      </c>
      <c r="I11" s="107">
        <v>6220.6819999999998</v>
      </c>
      <c r="J11" s="107"/>
      <c r="K11" s="108"/>
      <c r="L11" s="107"/>
      <c r="M11" s="107"/>
      <c r="N11" s="107"/>
      <c r="O11" s="107"/>
      <c r="P11" s="100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</row>
    <row r="12" spans="1:40" ht="17.399999999999999" customHeight="1">
      <c r="A12" s="81"/>
      <c r="B12" s="81" t="s">
        <v>173</v>
      </c>
      <c r="C12" s="105"/>
      <c r="D12" s="106">
        <v>10997.522000000001</v>
      </c>
      <c r="E12" s="106">
        <v>8308.3709999999992</v>
      </c>
      <c r="F12" s="107">
        <v>7904.3150000000023</v>
      </c>
      <c r="G12" s="107">
        <v>7921.9309999999987</v>
      </c>
      <c r="H12" s="107">
        <v>10165.681999999999</v>
      </c>
      <c r="I12" s="107">
        <v>9581.3449999999993</v>
      </c>
      <c r="J12" s="107"/>
      <c r="K12" s="108"/>
      <c r="L12" s="107"/>
      <c r="M12" s="107"/>
      <c r="N12" s="107"/>
      <c r="O12" s="107"/>
      <c r="P12" s="100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</row>
    <row r="13" spans="1:40" ht="17.399999999999999" customHeight="1">
      <c r="A13" s="81"/>
      <c r="B13" s="81" t="s">
        <v>174</v>
      </c>
      <c r="C13" s="105"/>
      <c r="D13" s="106">
        <v>8278.7559999999976</v>
      </c>
      <c r="E13" s="106">
        <v>11184.541999999998</v>
      </c>
      <c r="F13" s="107">
        <v>16705.649000000001</v>
      </c>
      <c r="G13" s="107">
        <v>12066.131000000001</v>
      </c>
      <c r="H13" s="107">
        <v>10271.395999999997</v>
      </c>
      <c r="I13" s="107">
        <v>11503.635000000002</v>
      </c>
      <c r="J13" s="107"/>
      <c r="K13" s="108"/>
      <c r="L13" s="107"/>
      <c r="M13" s="107"/>
      <c r="N13" s="107"/>
      <c r="O13" s="107"/>
      <c r="P13" s="100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</row>
    <row r="14" spans="1:40" ht="17.399999999999999" customHeight="1">
      <c r="A14" s="81"/>
      <c r="B14" s="81" t="s">
        <v>176</v>
      </c>
      <c r="C14" s="105"/>
      <c r="D14" s="106">
        <v>52306.346999999994</v>
      </c>
      <c r="E14" s="106">
        <v>46729.061999999998</v>
      </c>
      <c r="F14" s="107">
        <v>53745.682999999997</v>
      </c>
      <c r="G14" s="107">
        <v>47449.596000000005</v>
      </c>
      <c r="H14" s="107">
        <v>50414.902999999998</v>
      </c>
      <c r="I14" s="107">
        <v>53417.518999999993</v>
      </c>
      <c r="J14" s="107"/>
      <c r="K14" s="108"/>
      <c r="L14" s="107"/>
      <c r="M14" s="107"/>
      <c r="N14" s="107"/>
      <c r="O14" s="107"/>
      <c r="P14" s="100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</row>
    <row r="15" spans="1:40" s="113" customFormat="1" ht="17.399999999999999" customHeight="1">
      <c r="A15" s="82"/>
      <c r="B15" s="82" t="s">
        <v>177</v>
      </c>
      <c r="C15" s="114"/>
      <c r="D15" s="115">
        <f>SUM(D10:D14)</f>
        <v>90418.203999999998</v>
      </c>
      <c r="E15" s="115">
        <f t="shared" ref="E15:N15" si="1">SUM(E10:E14)</f>
        <v>84697.690999999992</v>
      </c>
      <c r="F15" s="115">
        <f t="shared" si="1"/>
        <v>98155.717999999993</v>
      </c>
      <c r="G15" s="115">
        <f t="shared" si="1"/>
        <v>84551.811000000002</v>
      </c>
      <c r="H15" s="115">
        <f t="shared" si="1"/>
        <v>88925.516000000003</v>
      </c>
      <c r="I15" s="115">
        <f t="shared" si="1"/>
        <v>92952.717999999993</v>
      </c>
      <c r="J15" s="115">
        <f t="shared" si="1"/>
        <v>0</v>
      </c>
      <c r="K15" s="115">
        <f t="shared" si="1"/>
        <v>0</v>
      </c>
      <c r="L15" s="115">
        <f t="shared" si="1"/>
        <v>0</v>
      </c>
      <c r="M15" s="115">
        <f t="shared" si="1"/>
        <v>0</v>
      </c>
      <c r="N15" s="115">
        <f t="shared" si="1"/>
        <v>0</v>
      </c>
      <c r="O15" s="115">
        <f>SUM(O10:O14)</f>
        <v>0</v>
      </c>
      <c r="P15" s="111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</row>
    <row r="16" spans="1:40" ht="17.399999999999999" customHeight="1">
      <c r="A16" s="83" t="s">
        <v>171</v>
      </c>
      <c r="B16" s="83" t="s">
        <v>156</v>
      </c>
      <c r="C16" s="116"/>
      <c r="D16" s="882">
        <v>33191.091999999997</v>
      </c>
      <c r="E16" s="882">
        <v>30081.143999999993</v>
      </c>
      <c r="F16" s="117">
        <v>33903.527999999998</v>
      </c>
      <c r="G16" s="117">
        <v>30090.912000000004</v>
      </c>
      <c r="H16" s="117">
        <v>32135.827999999998</v>
      </c>
      <c r="I16" s="117">
        <v>33659.811999999991</v>
      </c>
      <c r="J16" s="117"/>
      <c r="K16" s="118"/>
      <c r="L16" s="117"/>
      <c r="M16" s="117"/>
      <c r="N16" s="117"/>
      <c r="O16" s="117"/>
      <c r="P16" s="100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</row>
    <row r="17" spans="1:40" ht="17.399999999999999" customHeight="1">
      <c r="A17" s="84" t="s">
        <v>50</v>
      </c>
      <c r="B17" s="84" t="s">
        <v>170</v>
      </c>
      <c r="C17" s="101"/>
      <c r="D17" s="102">
        <v>26041.665000000005</v>
      </c>
      <c r="E17" s="102">
        <v>23047.278000000002</v>
      </c>
      <c r="F17" s="103">
        <v>26048.985999999997</v>
      </c>
      <c r="G17" s="103">
        <v>24934.523000000012</v>
      </c>
      <c r="H17" s="103">
        <v>27761.208000000002</v>
      </c>
      <c r="I17" s="103">
        <v>25809.9</v>
      </c>
      <c r="J17" s="103"/>
      <c r="K17" s="104"/>
      <c r="L17" s="103"/>
      <c r="M17" s="103"/>
      <c r="N17" s="103"/>
      <c r="O17" s="103"/>
      <c r="P17" s="100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</row>
    <row r="18" spans="1:40" ht="17.399999999999999" customHeight="1">
      <c r="A18" s="85" t="s">
        <v>171</v>
      </c>
      <c r="B18" s="85" t="s">
        <v>172</v>
      </c>
      <c r="C18" s="105"/>
      <c r="D18" s="106">
        <v>29134.954999999991</v>
      </c>
      <c r="E18" s="106">
        <v>26558.150999999994</v>
      </c>
      <c r="F18" s="107">
        <v>29775.600999999999</v>
      </c>
      <c r="G18" s="107">
        <v>29039.788999999997</v>
      </c>
      <c r="H18" s="107">
        <v>29964.944999999992</v>
      </c>
      <c r="I18" s="107">
        <v>29378.629999999997</v>
      </c>
      <c r="J18" s="107"/>
      <c r="K18" s="108"/>
      <c r="L18" s="107"/>
      <c r="M18" s="107"/>
      <c r="N18" s="107"/>
      <c r="O18" s="107"/>
      <c r="P18" s="100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</row>
    <row r="19" spans="1:40" ht="17.399999999999999" customHeight="1">
      <c r="A19" s="85"/>
      <c r="B19" s="85" t="s">
        <v>173</v>
      </c>
      <c r="C19" s="105"/>
      <c r="D19" s="106">
        <v>41606.437999999995</v>
      </c>
      <c r="E19" s="106">
        <v>39259.826999999997</v>
      </c>
      <c r="F19" s="107">
        <v>42150.699000000001</v>
      </c>
      <c r="G19" s="107">
        <v>40521.144000000008</v>
      </c>
      <c r="H19" s="107">
        <v>42624.648000000008</v>
      </c>
      <c r="I19" s="107">
        <v>42012.409999999996</v>
      </c>
      <c r="J19" s="107"/>
      <c r="K19" s="108"/>
      <c r="L19" s="107"/>
      <c r="M19" s="107"/>
      <c r="N19" s="107"/>
      <c r="O19" s="107"/>
      <c r="P19" s="100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</row>
    <row r="20" spans="1:40" ht="17.399999999999999" customHeight="1">
      <c r="A20" s="85"/>
      <c r="B20" s="85" t="s">
        <v>174</v>
      </c>
      <c r="C20" s="105"/>
      <c r="D20" s="106">
        <v>52369.328000000009</v>
      </c>
      <c r="E20" s="106">
        <v>45523.310999999987</v>
      </c>
      <c r="F20" s="107">
        <v>50646.373000000007</v>
      </c>
      <c r="G20" s="107">
        <v>43747.393000000004</v>
      </c>
      <c r="H20" s="107">
        <v>57627.65</v>
      </c>
      <c r="I20" s="107">
        <v>55960.830000000009</v>
      </c>
      <c r="J20" s="107"/>
      <c r="K20" s="108"/>
      <c r="L20" s="107"/>
      <c r="M20" s="107"/>
      <c r="N20" s="107"/>
      <c r="O20" s="107"/>
      <c r="P20" s="100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spans="1:40" ht="17.399999999999999" customHeight="1">
      <c r="A21" s="85"/>
      <c r="B21" s="85" t="s">
        <v>176</v>
      </c>
      <c r="C21" s="105"/>
      <c r="D21" s="106">
        <v>4392.6079999999993</v>
      </c>
      <c r="E21" s="106">
        <v>3966.5680000000002</v>
      </c>
      <c r="F21" s="107">
        <v>4391.6540000000005</v>
      </c>
      <c r="G21" s="107">
        <v>11099.696999999996</v>
      </c>
      <c r="H21" s="107">
        <v>9582.8990000000013</v>
      </c>
      <c r="I21" s="107">
        <v>3821.3900000000008</v>
      </c>
      <c r="J21" s="107"/>
      <c r="K21" s="108"/>
      <c r="L21" s="107"/>
      <c r="M21" s="107"/>
      <c r="N21" s="107"/>
      <c r="O21" s="107"/>
      <c r="P21" s="100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</row>
    <row r="22" spans="1:40" s="113" customFormat="1" ht="17.399999999999999" customHeight="1">
      <c r="A22" s="86"/>
      <c r="B22" s="86" t="s">
        <v>178</v>
      </c>
      <c r="C22" s="114"/>
      <c r="D22" s="883">
        <f>SUM(D17:D21)</f>
        <v>153544.99400000001</v>
      </c>
      <c r="E22" s="883">
        <f t="shared" ref="E22:O22" si="2">SUM(E17:E21)</f>
        <v>138355.13499999998</v>
      </c>
      <c r="F22" s="883">
        <f t="shared" si="2"/>
        <v>153013.31299999999</v>
      </c>
      <c r="G22" s="883">
        <f t="shared" si="2"/>
        <v>149342.546</v>
      </c>
      <c r="H22" s="883">
        <f t="shared" si="2"/>
        <v>167561.35</v>
      </c>
      <c r="I22" s="883">
        <f t="shared" si="2"/>
        <v>156983.16000000003</v>
      </c>
      <c r="J22" s="883">
        <f t="shared" si="2"/>
        <v>0</v>
      </c>
      <c r="K22" s="883">
        <f t="shared" si="2"/>
        <v>0</v>
      </c>
      <c r="L22" s="883">
        <f t="shared" si="2"/>
        <v>0</v>
      </c>
      <c r="M22" s="883">
        <f t="shared" si="2"/>
        <v>0</v>
      </c>
      <c r="N22" s="883">
        <f t="shared" si="2"/>
        <v>0</v>
      </c>
      <c r="O22" s="883">
        <f t="shared" si="2"/>
        <v>0</v>
      </c>
      <c r="P22" s="111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</row>
    <row r="23" spans="1:40" s="113" customFormat="1" ht="17.399999999999999" customHeight="1">
      <c r="A23" s="86"/>
      <c r="B23" s="86" t="s">
        <v>179</v>
      </c>
      <c r="C23" s="114"/>
      <c r="D23" s="883">
        <f>SUM(D15:D16,D22)</f>
        <v>277154.29000000004</v>
      </c>
      <c r="E23" s="883">
        <f t="shared" ref="E23:O23" si="3">SUM(E15:E16,E22)</f>
        <v>253133.96999999997</v>
      </c>
      <c r="F23" s="883">
        <f t="shared" si="3"/>
        <v>285072.55900000001</v>
      </c>
      <c r="G23" s="883">
        <f t="shared" si="3"/>
        <v>263985.26899999997</v>
      </c>
      <c r="H23" s="883">
        <f t="shared" si="3"/>
        <v>288622.69400000002</v>
      </c>
      <c r="I23" s="883">
        <f t="shared" si="3"/>
        <v>283595.69</v>
      </c>
      <c r="J23" s="883">
        <f t="shared" si="3"/>
        <v>0</v>
      </c>
      <c r="K23" s="883">
        <f t="shared" si="3"/>
        <v>0</v>
      </c>
      <c r="L23" s="883">
        <f t="shared" si="3"/>
        <v>0</v>
      </c>
      <c r="M23" s="883">
        <f t="shared" si="3"/>
        <v>0</v>
      </c>
      <c r="N23" s="883">
        <f t="shared" si="3"/>
        <v>0</v>
      </c>
      <c r="O23" s="883">
        <f t="shared" si="3"/>
        <v>0</v>
      </c>
      <c r="P23" s="111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</row>
    <row r="24" spans="1:40" ht="31.25" customHeight="1">
      <c r="A24" s="85"/>
      <c r="B24" s="85" t="s">
        <v>150</v>
      </c>
      <c r="C24" s="105"/>
      <c r="D24" s="106">
        <v>11828.368000000002</v>
      </c>
      <c r="E24" s="106">
        <v>7225.0809999999983</v>
      </c>
      <c r="F24" s="107">
        <v>12471.752000000004</v>
      </c>
      <c r="G24" s="127">
        <v>14560.467000000001</v>
      </c>
      <c r="H24" s="107">
        <v>15352.329000000003</v>
      </c>
      <c r="I24" s="107">
        <v>13908.582999999999</v>
      </c>
      <c r="J24" s="107"/>
      <c r="K24" s="108"/>
      <c r="L24" s="107"/>
      <c r="M24" s="107"/>
      <c r="N24" s="107"/>
      <c r="O24" s="107"/>
      <c r="P24" s="100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spans="1:40" s="113" customFormat="1" ht="17.399999999999999" customHeight="1">
      <c r="A25" s="86"/>
      <c r="B25" s="86" t="s">
        <v>180</v>
      </c>
      <c r="C25" s="114"/>
      <c r="D25" s="883">
        <f>+D22+D24</f>
        <v>165373.36200000002</v>
      </c>
      <c r="E25" s="883">
        <f t="shared" ref="E25:O25" si="4">+E22+E24</f>
        <v>145580.21599999999</v>
      </c>
      <c r="F25" s="883">
        <f t="shared" si="4"/>
        <v>165485.065</v>
      </c>
      <c r="G25" s="883">
        <f t="shared" si="4"/>
        <v>163903.01300000001</v>
      </c>
      <c r="H25" s="883">
        <f t="shared" si="4"/>
        <v>182913.679</v>
      </c>
      <c r="I25" s="883">
        <f t="shared" si="4"/>
        <v>170891.74300000002</v>
      </c>
      <c r="J25" s="883">
        <f t="shared" si="4"/>
        <v>0</v>
      </c>
      <c r="K25" s="883">
        <f t="shared" si="4"/>
        <v>0</v>
      </c>
      <c r="L25" s="883">
        <f t="shared" si="4"/>
        <v>0</v>
      </c>
      <c r="M25" s="883">
        <f t="shared" si="4"/>
        <v>0</v>
      </c>
      <c r="N25" s="883">
        <f t="shared" si="4"/>
        <v>0</v>
      </c>
      <c r="O25" s="883">
        <f t="shared" si="4"/>
        <v>0</v>
      </c>
      <c r="P25" s="111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</row>
    <row r="26" spans="1:40" s="113" customFormat="1" ht="17.399999999999999" customHeight="1">
      <c r="A26" s="87"/>
      <c r="B26" s="87" t="s">
        <v>181</v>
      </c>
      <c r="C26" s="119"/>
      <c r="D26" s="884">
        <f>D15+D16+D22+D24</f>
        <v>288982.65800000005</v>
      </c>
      <c r="E26" s="884">
        <f t="shared" ref="E26:O26" si="5">E15+E16+E22+E24</f>
        <v>260359.05099999998</v>
      </c>
      <c r="F26" s="884">
        <f t="shared" si="5"/>
        <v>297544.31099999999</v>
      </c>
      <c r="G26" s="884">
        <f t="shared" si="5"/>
        <v>278545.73599999998</v>
      </c>
      <c r="H26" s="884">
        <f t="shared" si="5"/>
        <v>303975.02300000004</v>
      </c>
      <c r="I26" s="884">
        <f t="shared" si="5"/>
        <v>297504.27299999999</v>
      </c>
      <c r="J26" s="884">
        <f t="shared" si="5"/>
        <v>0</v>
      </c>
      <c r="K26" s="884">
        <f t="shared" si="5"/>
        <v>0</v>
      </c>
      <c r="L26" s="884">
        <f t="shared" si="5"/>
        <v>0</v>
      </c>
      <c r="M26" s="884">
        <f t="shared" si="5"/>
        <v>0</v>
      </c>
      <c r="N26" s="884">
        <f t="shared" si="5"/>
        <v>0</v>
      </c>
      <c r="O26" s="884">
        <f t="shared" si="5"/>
        <v>0</v>
      </c>
      <c r="P26" s="111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</row>
    <row r="27" spans="1:40" ht="17.399999999999999" customHeight="1">
      <c r="A27" s="88" t="s">
        <v>71</v>
      </c>
      <c r="B27" s="88" t="s">
        <v>170</v>
      </c>
      <c r="C27" s="101"/>
      <c r="D27" s="102">
        <v>9488.2951609999964</v>
      </c>
      <c r="E27" s="102">
        <v>8576.9721039999986</v>
      </c>
      <c r="F27" s="103">
        <v>9454.7589290000014</v>
      </c>
      <c r="G27" s="128">
        <v>8661.7266830000008</v>
      </c>
      <c r="H27" s="103">
        <v>9560.3948130000008</v>
      </c>
      <c r="I27" s="103">
        <v>9297.7744540000003</v>
      </c>
      <c r="J27" s="103"/>
      <c r="K27" s="104"/>
      <c r="L27" s="103"/>
      <c r="M27" s="103"/>
      <c r="N27" s="103"/>
      <c r="O27" s="103"/>
      <c r="P27" s="100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</row>
    <row r="28" spans="1:40" ht="17.399999999999999" customHeight="1">
      <c r="A28" s="89" t="s">
        <v>182</v>
      </c>
      <c r="B28" s="89" t="s">
        <v>172</v>
      </c>
      <c r="C28" s="105"/>
      <c r="D28" s="106">
        <v>9636.9069299999992</v>
      </c>
      <c r="E28" s="106">
        <v>8798.7562529999977</v>
      </c>
      <c r="F28" s="107">
        <v>9799.4982670000009</v>
      </c>
      <c r="G28" s="127">
        <v>9286.2492509999993</v>
      </c>
      <c r="H28" s="107">
        <v>10079.005033000001</v>
      </c>
      <c r="I28" s="107">
        <v>9351.7235469999996</v>
      </c>
      <c r="J28" s="107"/>
      <c r="K28" s="108"/>
      <c r="L28" s="107"/>
      <c r="M28" s="107"/>
      <c r="N28" s="107"/>
      <c r="O28" s="107"/>
      <c r="P28" s="100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</row>
    <row r="29" spans="1:40" ht="17.399999999999999" customHeight="1">
      <c r="A29" s="89"/>
      <c r="B29" s="89" t="s">
        <v>173</v>
      </c>
      <c r="C29" s="105"/>
      <c r="D29" s="106">
        <v>12954.821080000002</v>
      </c>
      <c r="E29" s="106">
        <v>11540.653489</v>
      </c>
      <c r="F29" s="107">
        <v>12783.903098999999</v>
      </c>
      <c r="G29" s="127">
        <v>11973.383437999999</v>
      </c>
      <c r="H29" s="107">
        <v>13912.056941999999</v>
      </c>
      <c r="I29" s="107">
        <v>13510.035958</v>
      </c>
      <c r="J29" s="107"/>
      <c r="K29" s="108"/>
      <c r="L29" s="107"/>
      <c r="M29" s="107"/>
      <c r="N29" s="107"/>
      <c r="O29" s="107"/>
      <c r="P29" s="100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</row>
    <row r="30" spans="1:40" ht="17.399999999999999" customHeight="1">
      <c r="A30" s="89"/>
      <c r="B30" s="89" t="s">
        <v>174</v>
      </c>
      <c r="C30" s="105"/>
      <c r="D30" s="106">
        <v>13583.936453999999</v>
      </c>
      <c r="E30" s="106">
        <v>12528.270858000003</v>
      </c>
      <c r="F30" s="107">
        <v>14244.626439</v>
      </c>
      <c r="G30" s="127">
        <v>11297.187053000003</v>
      </c>
      <c r="H30" s="107">
        <v>14344.135642000001</v>
      </c>
      <c r="I30" s="107">
        <v>13820.755752999999</v>
      </c>
      <c r="J30" s="107"/>
      <c r="K30" s="108"/>
      <c r="L30" s="107"/>
      <c r="M30" s="107"/>
      <c r="N30" s="107"/>
      <c r="O30" s="107"/>
      <c r="P30" s="100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spans="1:40" ht="17.399999999999999" customHeight="1">
      <c r="A31" s="89"/>
      <c r="B31" s="89" t="s">
        <v>176</v>
      </c>
      <c r="C31" s="105"/>
      <c r="D31" s="106">
        <v>19144.437775999999</v>
      </c>
      <c r="E31" s="106">
        <v>16382.717093999996</v>
      </c>
      <c r="F31" s="107">
        <v>18734.160929000001</v>
      </c>
      <c r="G31" s="127">
        <v>17397.256603999998</v>
      </c>
      <c r="H31" s="107">
        <v>19285.287771000003</v>
      </c>
      <c r="I31" s="107">
        <v>19378.839883000008</v>
      </c>
      <c r="J31" s="107"/>
      <c r="K31" s="108"/>
      <c r="L31" s="107"/>
      <c r="M31" s="107"/>
      <c r="N31" s="107"/>
      <c r="O31" s="107"/>
      <c r="P31" s="100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</row>
    <row r="32" spans="1:40" s="113" customFormat="1" ht="17.399999999999999" customHeight="1">
      <c r="A32" s="90"/>
      <c r="B32" s="90" t="s">
        <v>178</v>
      </c>
      <c r="C32" s="114"/>
      <c r="D32" s="883">
        <f>SUM(D27:D31)</f>
        <v>64808.397400999995</v>
      </c>
      <c r="E32" s="883">
        <f t="shared" ref="E32:O32" si="6">SUM(E27:E31)</f>
        <v>57827.369798</v>
      </c>
      <c r="F32" s="883">
        <f t="shared" si="6"/>
        <v>65016.947662999999</v>
      </c>
      <c r="G32" s="883">
        <f t="shared" si="6"/>
        <v>58615.803029000002</v>
      </c>
      <c r="H32" s="883">
        <f t="shared" si="6"/>
        <v>67180.880200999993</v>
      </c>
      <c r="I32" s="883">
        <f t="shared" si="6"/>
        <v>65359.129595000006</v>
      </c>
      <c r="J32" s="883">
        <f t="shared" si="6"/>
        <v>0</v>
      </c>
      <c r="K32" s="883">
        <f t="shared" si="6"/>
        <v>0</v>
      </c>
      <c r="L32" s="883">
        <f t="shared" si="6"/>
        <v>0</v>
      </c>
      <c r="M32" s="883">
        <f t="shared" si="6"/>
        <v>0</v>
      </c>
      <c r="N32" s="883">
        <f t="shared" si="6"/>
        <v>0</v>
      </c>
      <c r="O32" s="883">
        <f t="shared" si="6"/>
        <v>0</v>
      </c>
      <c r="P32" s="111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</row>
    <row r="33" spans="1:40" ht="17.25" customHeight="1">
      <c r="A33" s="89"/>
      <c r="B33" s="89" t="s">
        <v>150</v>
      </c>
      <c r="C33" s="105"/>
      <c r="D33" s="106">
        <v>3709.0240986610006</v>
      </c>
      <c r="E33" s="106">
        <v>2234.6767556399996</v>
      </c>
      <c r="F33" s="107">
        <v>3911.7938926429993</v>
      </c>
      <c r="G33" s="127">
        <v>4733.0474416360003</v>
      </c>
      <c r="H33" s="107">
        <v>4851.9449156640012</v>
      </c>
      <c r="I33" s="107">
        <v>4521.3393667165992</v>
      </c>
      <c r="J33" s="107"/>
      <c r="K33" s="108"/>
      <c r="L33" s="107"/>
      <c r="M33" s="107"/>
      <c r="N33" s="107"/>
      <c r="O33" s="107"/>
      <c r="P33" s="100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</row>
    <row r="34" spans="1:40" ht="17.399999999999999" customHeight="1">
      <c r="A34" s="89"/>
      <c r="B34" s="89" t="s">
        <v>183</v>
      </c>
      <c r="C34" s="105"/>
      <c r="D34" s="106">
        <v>17401.637932000001</v>
      </c>
      <c r="E34" s="106">
        <v>17419.920445</v>
      </c>
      <c r="F34" s="107">
        <v>17663.492460000001</v>
      </c>
      <c r="G34" s="127">
        <v>17403.192807000003</v>
      </c>
      <c r="H34" s="107">
        <v>14722.152495999997</v>
      </c>
      <c r="I34" s="107">
        <v>17140.329847000001</v>
      </c>
      <c r="J34" s="107"/>
      <c r="K34" s="108"/>
      <c r="L34" s="107"/>
      <c r="M34" s="107"/>
      <c r="N34" s="107"/>
      <c r="O34" s="107"/>
      <c r="P34" s="100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</row>
    <row r="35" spans="1:40" s="113" customFormat="1" ht="17.399999999999999" customHeight="1">
      <c r="A35" s="91"/>
      <c r="B35" s="91" t="s">
        <v>177</v>
      </c>
      <c r="C35" s="119"/>
      <c r="D35" s="884">
        <f>SUM(D32:D34)</f>
        <v>85919.059431660993</v>
      </c>
      <c r="E35" s="884">
        <f t="shared" ref="E35:O35" si="7">SUM(E32:E34)</f>
        <v>77481.966998639997</v>
      </c>
      <c r="F35" s="884">
        <f t="shared" si="7"/>
        <v>86592.234015642985</v>
      </c>
      <c r="G35" s="884">
        <f t="shared" si="7"/>
        <v>80752.04327763601</v>
      </c>
      <c r="H35" s="884">
        <f t="shared" si="7"/>
        <v>86754.977612663992</v>
      </c>
      <c r="I35" s="884">
        <f t="shared" si="7"/>
        <v>87020.798808716601</v>
      </c>
      <c r="J35" s="884">
        <f t="shared" si="7"/>
        <v>0</v>
      </c>
      <c r="K35" s="884">
        <f t="shared" si="7"/>
        <v>0</v>
      </c>
      <c r="L35" s="884">
        <f t="shared" si="7"/>
        <v>0</v>
      </c>
      <c r="M35" s="884">
        <f t="shared" si="7"/>
        <v>0</v>
      </c>
      <c r="N35" s="884">
        <f t="shared" si="7"/>
        <v>0</v>
      </c>
      <c r="O35" s="884">
        <f t="shared" si="7"/>
        <v>0</v>
      </c>
      <c r="P35" s="111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</row>
    <row r="36" spans="1:40" ht="17.399999999999999" customHeight="1">
      <c r="A36" s="92" t="s">
        <v>71</v>
      </c>
      <c r="B36" s="92" t="s">
        <v>170</v>
      </c>
      <c r="C36" s="101"/>
      <c r="D36" s="120">
        <v>6094.1869999999999</v>
      </c>
      <c r="E36" s="120">
        <v>5522.2780000000012</v>
      </c>
      <c r="F36" s="103">
        <v>6081.893</v>
      </c>
      <c r="G36" s="128">
        <v>5571.7650000000003</v>
      </c>
      <c r="H36" s="103">
        <v>6145.1729999999989</v>
      </c>
      <c r="I36" s="103">
        <v>5998.7179999999998</v>
      </c>
      <c r="J36" s="103"/>
      <c r="K36" s="104"/>
      <c r="L36" s="103"/>
      <c r="M36" s="103"/>
      <c r="N36" s="103"/>
      <c r="O36" s="103"/>
      <c r="P36" s="100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</row>
    <row r="37" spans="1:40" ht="17.399999999999999" customHeight="1">
      <c r="A37" s="93" t="s">
        <v>171</v>
      </c>
      <c r="B37" s="93" t="s">
        <v>172</v>
      </c>
      <c r="C37" s="105"/>
      <c r="D37" s="121">
        <v>6199.0619999999999</v>
      </c>
      <c r="E37" s="121">
        <v>5638.6840000000002</v>
      </c>
      <c r="F37" s="107">
        <v>6294.0680000000011</v>
      </c>
      <c r="G37" s="127">
        <v>5964.4160000000011</v>
      </c>
      <c r="H37" s="107">
        <v>6473.5909999999994</v>
      </c>
      <c r="I37" s="107">
        <v>6144.3819999999996</v>
      </c>
      <c r="J37" s="107"/>
      <c r="K37" s="108"/>
      <c r="L37" s="107"/>
      <c r="M37" s="107"/>
      <c r="N37" s="107"/>
      <c r="O37" s="107"/>
      <c r="P37" s="100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</row>
    <row r="38" spans="1:40" ht="17.399999999999999" customHeight="1">
      <c r="A38" s="93"/>
      <c r="B38" s="93" t="s">
        <v>173</v>
      </c>
      <c r="C38" s="105"/>
      <c r="D38" s="121">
        <v>8917.4770000000026</v>
      </c>
      <c r="E38" s="121">
        <v>7423.6709999999985</v>
      </c>
      <c r="F38" s="107">
        <v>8223.4070000000011</v>
      </c>
      <c r="G38" s="127">
        <v>7702.0300000000007</v>
      </c>
      <c r="H38" s="107">
        <v>8922.3450000000012</v>
      </c>
      <c r="I38" s="107">
        <v>8568.4449999999997</v>
      </c>
      <c r="J38" s="107"/>
      <c r="K38" s="108"/>
      <c r="L38" s="107"/>
      <c r="M38" s="107"/>
      <c r="N38" s="107"/>
      <c r="O38" s="107"/>
      <c r="P38" s="100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</row>
    <row r="39" spans="1:40" ht="17.399999999999999" customHeight="1">
      <c r="A39" s="93"/>
      <c r="B39" s="93" t="s">
        <v>174</v>
      </c>
      <c r="C39" s="105"/>
      <c r="D39" s="121">
        <v>8691.0960000000014</v>
      </c>
      <c r="E39" s="121">
        <v>8003.4249999999993</v>
      </c>
      <c r="F39" s="107">
        <v>9113.81</v>
      </c>
      <c r="G39" s="127">
        <v>7228.0179999999991</v>
      </c>
      <c r="H39" s="107">
        <v>9155.5010000000002</v>
      </c>
      <c r="I39" s="107">
        <v>8592.3770000000004</v>
      </c>
      <c r="J39" s="107"/>
      <c r="K39" s="108"/>
      <c r="L39" s="107"/>
      <c r="M39" s="107"/>
      <c r="N39" s="107"/>
      <c r="O39" s="107"/>
      <c r="P39" s="100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</row>
    <row r="40" spans="1:40" ht="17.399999999999999" customHeight="1">
      <c r="A40" s="93"/>
      <c r="B40" s="93" t="s">
        <v>176</v>
      </c>
      <c r="C40" s="105"/>
      <c r="D40" s="121">
        <v>12364.841000000004</v>
      </c>
      <c r="E40" s="121">
        <v>10573.113999999998</v>
      </c>
      <c r="F40" s="107">
        <v>12099.855000000003</v>
      </c>
      <c r="G40" s="127">
        <v>11236.386999999997</v>
      </c>
      <c r="H40" s="107">
        <v>12455.813999999998</v>
      </c>
      <c r="I40" s="107">
        <v>12187.322999999999</v>
      </c>
      <c r="J40" s="107"/>
      <c r="K40" s="108"/>
      <c r="L40" s="107"/>
      <c r="M40" s="107"/>
      <c r="N40" s="107"/>
      <c r="O40" s="107"/>
      <c r="P40" s="100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</row>
    <row r="41" spans="1:40" s="113" customFormat="1" ht="17.399999999999999" customHeight="1">
      <c r="A41" s="94"/>
      <c r="B41" s="94" t="s">
        <v>178</v>
      </c>
      <c r="C41" s="114"/>
      <c r="D41" s="883">
        <f>SUM(D36:D40)</f>
        <v>42266.663000000008</v>
      </c>
      <c r="E41" s="883">
        <f t="shared" ref="E41:O41" si="8">SUM(E36:E40)</f>
        <v>37161.171999999999</v>
      </c>
      <c r="F41" s="883">
        <f t="shared" si="8"/>
        <v>41813.033000000003</v>
      </c>
      <c r="G41" s="883">
        <f t="shared" si="8"/>
        <v>37702.616000000002</v>
      </c>
      <c r="H41" s="883">
        <f t="shared" si="8"/>
        <v>43152.423999999999</v>
      </c>
      <c r="I41" s="883">
        <f t="shared" si="8"/>
        <v>41491.244999999995</v>
      </c>
      <c r="J41" s="883">
        <f t="shared" si="8"/>
        <v>0</v>
      </c>
      <c r="K41" s="883">
        <f t="shared" si="8"/>
        <v>0</v>
      </c>
      <c r="L41" s="883">
        <f t="shared" si="8"/>
        <v>0</v>
      </c>
      <c r="M41" s="883">
        <f t="shared" si="8"/>
        <v>0</v>
      </c>
      <c r="N41" s="883">
        <f t="shared" si="8"/>
        <v>0</v>
      </c>
      <c r="O41" s="883">
        <f t="shared" si="8"/>
        <v>0</v>
      </c>
      <c r="P41" s="111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</row>
    <row r="42" spans="1:40" ht="17.399999999999999" customHeight="1">
      <c r="A42" s="93"/>
      <c r="B42" s="93" t="s">
        <v>150</v>
      </c>
      <c r="C42" s="105"/>
      <c r="D42" s="121">
        <v>2403.4476159323285</v>
      </c>
      <c r="E42" s="121">
        <v>1448.0705376547198</v>
      </c>
      <c r="F42" s="107">
        <v>2534.8424424326636</v>
      </c>
      <c r="G42" s="127">
        <v>3067.0147421801285</v>
      </c>
      <c r="H42" s="107">
        <v>3144.0603053502728</v>
      </c>
      <c r="I42" s="107">
        <v>2929.8279096323563</v>
      </c>
      <c r="J42" s="107"/>
      <c r="K42" s="108"/>
      <c r="L42" s="107"/>
      <c r="M42" s="107"/>
      <c r="N42" s="107"/>
      <c r="O42" s="107"/>
      <c r="P42" s="100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</row>
    <row r="43" spans="1:40" ht="17.399999999999999" customHeight="1">
      <c r="A43" s="93"/>
      <c r="B43" s="93" t="s">
        <v>183</v>
      </c>
      <c r="C43" s="105"/>
      <c r="D43" s="121">
        <v>11732.515999999998</v>
      </c>
      <c r="E43" s="121">
        <v>11815.499000000003</v>
      </c>
      <c r="F43" s="107">
        <v>11900.411</v>
      </c>
      <c r="G43" s="127">
        <v>11725.040209999999</v>
      </c>
      <c r="H43" s="107">
        <v>9918.7459999999992</v>
      </c>
      <c r="I43" s="107">
        <v>11521.585000000003</v>
      </c>
      <c r="J43" s="107"/>
      <c r="K43" s="108"/>
      <c r="L43" s="107"/>
      <c r="M43" s="107"/>
      <c r="N43" s="107"/>
      <c r="O43" s="107"/>
      <c r="P43" s="100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</row>
    <row r="44" spans="1:40" s="113" customFormat="1" ht="17.399999999999999" customHeight="1">
      <c r="A44" s="95"/>
      <c r="B44" s="95" t="s">
        <v>177</v>
      </c>
      <c r="C44" s="119"/>
      <c r="D44" s="884">
        <f>SUM(D36:D40,D42:D43)</f>
        <v>56402.626615932335</v>
      </c>
      <c r="E44" s="884">
        <f t="shared" ref="E44:O44" si="9">SUM(E36:E40,E42:E43)</f>
        <v>50424.741537654721</v>
      </c>
      <c r="F44" s="884">
        <f t="shared" si="9"/>
        <v>56248.286442432669</v>
      </c>
      <c r="G44" s="884">
        <f t="shared" si="9"/>
        <v>52494.670952180131</v>
      </c>
      <c r="H44" s="884">
        <f t="shared" si="9"/>
        <v>56215.230305350269</v>
      </c>
      <c r="I44" s="884">
        <f t="shared" si="9"/>
        <v>55942.657909632355</v>
      </c>
      <c r="J44" s="884">
        <f t="shared" si="9"/>
        <v>0</v>
      </c>
      <c r="K44" s="884">
        <f t="shared" si="9"/>
        <v>0</v>
      </c>
      <c r="L44" s="884">
        <f t="shared" si="9"/>
        <v>0</v>
      </c>
      <c r="M44" s="884">
        <f t="shared" si="9"/>
        <v>0</v>
      </c>
      <c r="N44" s="884">
        <f t="shared" si="9"/>
        <v>0</v>
      </c>
      <c r="O44" s="884">
        <f t="shared" si="9"/>
        <v>0</v>
      </c>
      <c r="P44" s="111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</row>
    <row r="45" spans="1:40" ht="17.399999999999999" customHeight="1">
      <c r="A45" s="96" t="s">
        <v>184</v>
      </c>
      <c r="B45" s="96" t="s">
        <v>185</v>
      </c>
      <c r="C45" s="47"/>
      <c r="D45" s="122">
        <v>2233.1689999999999</v>
      </c>
      <c r="E45" s="122">
        <v>4039.64</v>
      </c>
      <c r="F45" s="123">
        <v>4487.4249999999984</v>
      </c>
      <c r="G45" s="129">
        <v>4161.7179999999989</v>
      </c>
      <c r="H45" s="123">
        <v>3977.7330000000011</v>
      </c>
      <c r="I45" s="123">
        <v>3788.7819999999988</v>
      </c>
      <c r="J45" s="123"/>
      <c r="K45" s="124"/>
      <c r="L45" s="123"/>
      <c r="M45" s="123"/>
      <c r="N45" s="123"/>
      <c r="O45" s="123"/>
      <c r="P45" s="100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</row>
    <row r="46" spans="1:40" ht="17.399999999999999" customHeight="1">
      <c r="A46" s="96" t="s">
        <v>186</v>
      </c>
      <c r="B46" s="96" t="s">
        <v>185</v>
      </c>
      <c r="C46" s="47"/>
      <c r="D46" s="122">
        <v>3668.6151289999998</v>
      </c>
      <c r="E46" s="122">
        <v>6632.596638</v>
      </c>
      <c r="F46" s="123">
        <v>7360.4460689999969</v>
      </c>
      <c r="G46" s="129">
        <v>6826.3444129999998</v>
      </c>
      <c r="H46" s="123">
        <v>6536.7783609999997</v>
      </c>
      <c r="I46" s="123">
        <v>6226.3643959999999</v>
      </c>
      <c r="J46" s="123"/>
      <c r="K46" s="124"/>
      <c r="L46" s="123"/>
      <c r="M46" s="123"/>
      <c r="N46" s="123"/>
      <c r="O46" s="123"/>
      <c r="P46" s="100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</row>
    <row r="47" spans="1:40" ht="17.399999999999999" customHeight="1">
      <c r="A47" s="98"/>
      <c r="B47" s="98"/>
      <c r="C47" s="98"/>
      <c r="D47" s="99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</row>
    <row r="48" spans="1:40" ht="17.399999999999999" customHeight="1">
      <c r="A48" s="98"/>
      <c r="B48" s="98"/>
      <c r="C48" s="98"/>
      <c r="D48" s="99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</row>
    <row r="49" spans="1:40" ht="17.399999999999999" customHeight="1">
      <c r="A49" s="98"/>
      <c r="B49" s="98"/>
      <c r="C49" s="98"/>
      <c r="D49" s="99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</row>
    <row r="50" spans="1:40" ht="17.399999999999999" customHeight="1">
      <c r="A50" s="98"/>
      <c r="B50" s="98"/>
      <c r="C50" s="98"/>
      <c r="D50" s="43">
        <v>23377</v>
      </c>
      <c r="E50" s="43">
        <v>23408</v>
      </c>
      <c r="F50" s="43">
        <v>23437</v>
      </c>
      <c r="G50" s="43">
        <v>23468</v>
      </c>
      <c r="H50" s="43">
        <v>23498</v>
      </c>
      <c r="I50" s="43">
        <v>23529</v>
      </c>
      <c r="J50" s="43">
        <v>23559</v>
      </c>
      <c r="K50" s="43">
        <v>23590</v>
      </c>
      <c r="L50" s="43">
        <v>23621</v>
      </c>
      <c r="M50" s="43">
        <v>23651</v>
      </c>
      <c r="N50" s="43">
        <v>23682</v>
      </c>
      <c r="O50" s="43">
        <v>23712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</row>
    <row r="51" spans="1:40" ht="17.399999999999999" customHeight="1">
      <c r="A51" s="98" t="s">
        <v>21</v>
      </c>
      <c r="B51" s="98"/>
      <c r="C51" s="98" t="s">
        <v>21</v>
      </c>
      <c r="D51" s="125">
        <f>D9/1000</f>
        <v>199.72511500000002</v>
      </c>
      <c r="E51" s="125">
        <f t="shared" ref="E51:O51" si="10">E9/1000</f>
        <v>182.51865599999999</v>
      </c>
      <c r="F51" s="125">
        <f t="shared" si="10"/>
        <v>200.12618399999999</v>
      </c>
      <c r="G51" s="125">
        <f t="shared" si="10"/>
        <v>169.54188395599996</v>
      </c>
      <c r="H51" s="125">
        <f t="shared" si="10"/>
        <v>200.05664599999997</v>
      </c>
      <c r="I51" s="125">
        <f t="shared" si="10"/>
        <v>195.94693965900004</v>
      </c>
      <c r="J51" s="125">
        <f t="shared" si="10"/>
        <v>0</v>
      </c>
      <c r="K51" s="125">
        <f t="shared" si="10"/>
        <v>0</v>
      </c>
      <c r="L51" s="125">
        <f t="shared" si="10"/>
        <v>0</v>
      </c>
      <c r="M51" s="125">
        <f t="shared" si="10"/>
        <v>0</v>
      </c>
      <c r="N51" s="125">
        <f t="shared" si="10"/>
        <v>0</v>
      </c>
      <c r="O51" s="125">
        <f t="shared" si="10"/>
        <v>0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</row>
    <row r="52" spans="1:40" ht="17.399999999999999" customHeight="1">
      <c r="A52" s="98" t="s">
        <v>152</v>
      </c>
      <c r="B52" s="98"/>
      <c r="C52" s="98" t="s">
        <v>152</v>
      </c>
      <c r="D52" s="125">
        <f>D15/1000</f>
        <v>90.418204000000003</v>
      </c>
      <c r="E52" s="125">
        <f t="shared" ref="E52:O52" si="11">E15/1000</f>
        <v>84.697690999999992</v>
      </c>
      <c r="F52" s="125">
        <f t="shared" si="11"/>
        <v>98.155717999999993</v>
      </c>
      <c r="G52" s="125">
        <f t="shared" si="11"/>
        <v>84.551811000000001</v>
      </c>
      <c r="H52" s="125">
        <f t="shared" si="11"/>
        <v>88.925516000000002</v>
      </c>
      <c r="I52" s="125">
        <f t="shared" si="11"/>
        <v>92.95271799999999</v>
      </c>
      <c r="J52" s="125">
        <f t="shared" si="11"/>
        <v>0</v>
      </c>
      <c r="K52" s="125">
        <f t="shared" si="11"/>
        <v>0</v>
      </c>
      <c r="L52" s="125">
        <f t="shared" si="11"/>
        <v>0</v>
      </c>
      <c r="M52" s="125">
        <f t="shared" si="11"/>
        <v>0</v>
      </c>
      <c r="N52" s="125">
        <f t="shared" si="11"/>
        <v>0</v>
      </c>
      <c r="O52" s="125">
        <f t="shared" si="11"/>
        <v>0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</row>
    <row r="53" spans="1:40" ht="17.399999999999999" customHeight="1">
      <c r="A53" s="98" t="s">
        <v>50</v>
      </c>
      <c r="B53" s="98"/>
      <c r="C53" s="98" t="s">
        <v>50</v>
      </c>
      <c r="D53" s="125">
        <f>D22/1000</f>
        <v>153.544994</v>
      </c>
      <c r="E53" s="125">
        <f t="shared" ref="E53:O53" si="12">E22/1000</f>
        <v>138.35513499999999</v>
      </c>
      <c r="F53" s="125">
        <f t="shared" si="12"/>
        <v>153.01331299999998</v>
      </c>
      <c r="G53" s="125">
        <f t="shared" si="12"/>
        <v>149.342546</v>
      </c>
      <c r="H53" s="125">
        <f t="shared" si="12"/>
        <v>167.56135</v>
      </c>
      <c r="I53" s="125">
        <f t="shared" si="12"/>
        <v>156.98316000000003</v>
      </c>
      <c r="J53" s="125">
        <f t="shared" si="12"/>
        <v>0</v>
      </c>
      <c r="K53" s="125">
        <f t="shared" si="12"/>
        <v>0</v>
      </c>
      <c r="L53" s="125">
        <f t="shared" si="12"/>
        <v>0</v>
      </c>
      <c r="M53" s="125">
        <f t="shared" si="12"/>
        <v>0</v>
      </c>
      <c r="N53" s="125">
        <f t="shared" si="12"/>
        <v>0</v>
      </c>
      <c r="O53" s="125">
        <f t="shared" si="12"/>
        <v>0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</row>
    <row r="54" spans="1:40" ht="17.399999999999999" customHeight="1">
      <c r="A54" s="98" t="s">
        <v>71</v>
      </c>
      <c r="B54" s="98"/>
      <c r="C54" s="98" t="s">
        <v>71</v>
      </c>
      <c r="D54" s="125">
        <f>D41/1000</f>
        <v>42.266663000000008</v>
      </c>
      <c r="E54" s="125">
        <f t="shared" ref="E54:O54" si="13">E41/1000</f>
        <v>37.161172000000001</v>
      </c>
      <c r="F54" s="125">
        <f t="shared" si="13"/>
        <v>41.813033000000004</v>
      </c>
      <c r="G54" s="125">
        <f t="shared" si="13"/>
        <v>37.702615999999999</v>
      </c>
      <c r="H54" s="125">
        <f t="shared" si="13"/>
        <v>43.152423999999996</v>
      </c>
      <c r="I54" s="125">
        <f t="shared" si="13"/>
        <v>41.491244999999992</v>
      </c>
      <c r="J54" s="125">
        <f t="shared" si="13"/>
        <v>0</v>
      </c>
      <c r="K54" s="125">
        <f t="shared" si="13"/>
        <v>0</v>
      </c>
      <c r="L54" s="125">
        <f t="shared" si="13"/>
        <v>0</v>
      </c>
      <c r="M54" s="125">
        <f t="shared" si="13"/>
        <v>0</v>
      </c>
      <c r="N54" s="125">
        <f t="shared" si="13"/>
        <v>0</v>
      </c>
      <c r="O54" s="125">
        <f t="shared" si="13"/>
        <v>0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</row>
    <row r="55" spans="1:40" ht="17.399999999999999" customHeight="1">
      <c r="A55" s="98" t="s">
        <v>79</v>
      </c>
      <c r="B55" s="98"/>
      <c r="C55" s="98" t="s">
        <v>79</v>
      </c>
      <c r="D55" s="125">
        <f>D45/1000</f>
        <v>2.2331689999999997</v>
      </c>
      <c r="E55" s="125">
        <f t="shared" ref="E55:O55" si="14">E45/1000</f>
        <v>4.0396399999999995</v>
      </c>
      <c r="F55" s="125">
        <f t="shared" si="14"/>
        <v>4.4874249999999982</v>
      </c>
      <c r="G55" s="125">
        <f t="shared" si="14"/>
        <v>4.1617179999999987</v>
      </c>
      <c r="H55" s="125">
        <f t="shared" si="14"/>
        <v>3.9777330000000011</v>
      </c>
      <c r="I55" s="125">
        <f t="shared" si="14"/>
        <v>3.788781999999999</v>
      </c>
      <c r="J55" s="125">
        <f t="shared" si="14"/>
        <v>0</v>
      </c>
      <c r="K55" s="125">
        <f t="shared" si="14"/>
        <v>0</v>
      </c>
      <c r="L55" s="125">
        <f t="shared" si="14"/>
        <v>0</v>
      </c>
      <c r="M55" s="125">
        <f t="shared" si="14"/>
        <v>0</v>
      </c>
      <c r="N55" s="125">
        <f t="shared" si="14"/>
        <v>0</v>
      </c>
      <c r="O55" s="125">
        <f t="shared" si="14"/>
        <v>0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</row>
    <row r="56" spans="1:40" ht="17.399999999999999" customHeight="1">
      <c r="A56" s="98"/>
      <c r="B56" s="98"/>
      <c r="C56" s="98"/>
      <c r="D56" s="99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</row>
    <row r="57" spans="1:40" ht="17.399999999999999" customHeight="1">
      <c r="A57" s="98"/>
      <c r="B57" s="98"/>
      <c r="C57" s="98"/>
      <c r="D57" s="99"/>
      <c r="E57" s="100">
        <f>SUM(E51:E55)</f>
        <v>446.77229399999999</v>
      </c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</row>
    <row r="58" spans="1:40" ht="17.399999999999999" customHeight="1">
      <c r="A58" s="98"/>
      <c r="B58" s="98"/>
      <c r="C58" s="98"/>
      <c r="D58" s="99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</row>
    <row r="59" spans="1:40" ht="17.399999999999999" customHeight="1">
      <c r="A59" s="98"/>
      <c r="B59" s="98"/>
      <c r="C59" s="98"/>
      <c r="D59" s="99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</row>
    <row r="60" spans="1:40" ht="17.399999999999999" customHeight="1">
      <c r="A60" s="98"/>
      <c r="B60" s="98"/>
      <c r="C60" s="98"/>
      <c r="D60" s="99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</row>
    <row r="61" spans="1:40" ht="17.399999999999999" customHeight="1">
      <c r="A61" s="98"/>
      <c r="B61" s="98"/>
      <c r="C61" s="98"/>
      <c r="D61" s="99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</row>
    <row r="62" spans="1:40" ht="17.399999999999999" customHeight="1">
      <c r="A62" s="98"/>
      <c r="B62" s="98"/>
      <c r="C62" s="98"/>
      <c r="D62" s="99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</row>
    <row r="63" spans="1:40" ht="17.399999999999999" customHeight="1">
      <c r="A63" s="98"/>
      <c r="B63" s="98"/>
      <c r="C63" s="98"/>
      <c r="D63" s="99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</row>
    <row r="64" spans="1:40" ht="17.399999999999999" customHeight="1">
      <c r="A64" s="98"/>
      <c r="B64" s="98"/>
      <c r="C64" s="98"/>
      <c r="D64" s="99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</row>
    <row r="65" spans="1:40" ht="17.399999999999999" customHeight="1">
      <c r="A65" s="98"/>
      <c r="B65" s="98"/>
      <c r="C65" s="98"/>
      <c r="D65" s="99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</row>
    <row r="66" spans="1:40" ht="17.399999999999999" customHeight="1">
      <c r="A66" s="98"/>
      <c r="B66" s="98"/>
      <c r="C66" s="98"/>
      <c r="D66" s="99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</row>
    <row r="67" spans="1:40" ht="17.399999999999999" customHeight="1">
      <c r="A67" s="98"/>
      <c r="B67" s="98"/>
      <c r="C67" s="98"/>
      <c r="D67" s="99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</row>
    <row r="68" spans="1:40" ht="17.399999999999999" customHeight="1">
      <c r="A68" s="98"/>
      <c r="B68" s="98"/>
      <c r="C68" s="98"/>
      <c r="D68" s="99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</row>
    <row r="69" spans="1:40" ht="17.399999999999999" customHeight="1">
      <c r="A69" s="98"/>
      <c r="B69" s="98"/>
      <c r="C69" s="98"/>
      <c r="D69" s="99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</row>
    <row r="70" spans="1:40" ht="17.399999999999999" customHeight="1">
      <c r="A70" s="98"/>
      <c r="B70" s="98"/>
      <c r="C70" s="98"/>
      <c r="D70" s="99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</row>
    <row r="71" spans="1:40" ht="17.399999999999999" customHeight="1">
      <c r="A71" s="98"/>
      <c r="B71" s="98"/>
      <c r="C71" s="98"/>
      <c r="D71" s="99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</row>
    <row r="72" spans="1:40" ht="17.399999999999999" customHeight="1">
      <c r="A72" s="98"/>
      <c r="B72" s="98"/>
      <c r="C72" s="98"/>
      <c r="D72" s="99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</row>
    <row r="73" spans="1:40" ht="17.399999999999999" customHeight="1">
      <c r="A73" s="98"/>
      <c r="B73" s="98"/>
      <c r="C73" s="98"/>
      <c r="D73" s="99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</row>
    <row r="74" spans="1:40" ht="17.399999999999999" customHeight="1">
      <c r="A74" s="98"/>
      <c r="B74" s="98"/>
      <c r="C74" s="98"/>
      <c r="D74" s="99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</row>
    <row r="75" spans="1:40" ht="17.399999999999999" customHeight="1">
      <c r="A75" s="98"/>
      <c r="B75" s="98"/>
      <c r="C75" s="98"/>
      <c r="D75" s="99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</row>
    <row r="76" spans="1:40" ht="39" customHeight="1">
      <c r="A76" s="98"/>
      <c r="B76" s="98"/>
      <c r="C76" s="98"/>
      <c r="D76" s="99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</row>
    <row r="77" spans="1:40" ht="17.399999999999999" customHeight="1">
      <c r="A77" s="98"/>
      <c r="B77" s="98"/>
      <c r="C77" s="98"/>
      <c r="D77" s="99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</row>
    <row r="78" spans="1:40" ht="17.399999999999999" customHeight="1">
      <c r="A78" s="98"/>
      <c r="B78" s="98"/>
      <c r="C78" s="98"/>
      <c r="D78" s="99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</row>
    <row r="79" spans="1:40" ht="17.399999999999999" customHeight="1">
      <c r="A79" s="98"/>
      <c r="B79" s="98"/>
      <c r="C79" s="98"/>
      <c r="D79" s="99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</row>
    <row r="80" spans="1:40" ht="17.399999999999999" customHeight="1">
      <c r="A80" s="98"/>
      <c r="B80" s="98"/>
      <c r="C80" s="98"/>
      <c r="D80" s="99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</row>
    <row r="81" spans="1:40" ht="17.399999999999999" customHeight="1">
      <c r="A81" s="98"/>
      <c r="B81" s="98"/>
      <c r="C81" s="98"/>
      <c r="D81" s="99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</row>
    <row r="82" spans="1:40" ht="17.399999999999999" customHeight="1">
      <c r="A82" s="98"/>
      <c r="B82" s="98"/>
      <c r="C82" s="98"/>
      <c r="D82" s="99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</row>
    <row r="83" spans="1:40" ht="17.399999999999999" customHeight="1">
      <c r="A83" s="98"/>
      <c r="B83" s="98"/>
      <c r="C83" s="98"/>
      <c r="D83" s="99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</row>
    <row r="84" spans="1:40" ht="17.399999999999999" customHeight="1">
      <c r="A84" s="98"/>
      <c r="B84" s="98"/>
      <c r="C84" s="98"/>
      <c r="D84" s="99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</row>
    <row r="85" spans="1:40" ht="17.399999999999999" customHeight="1">
      <c r="A85" s="98"/>
      <c r="B85" s="98"/>
      <c r="C85" s="98"/>
      <c r="D85" s="99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</row>
    <row r="86" spans="1:40" ht="17.399999999999999" customHeight="1">
      <c r="A86" s="98"/>
      <c r="B86" s="98"/>
      <c r="C86" s="98"/>
      <c r="D86" s="99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</row>
    <row r="87" spans="1:40" ht="17.399999999999999" customHeight="1">
      <c r="A87" s="98"/>
      <c r="B87" s="98"/>
      <c r="C87" s="98"/>
      <c r="D87" s="99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</row>
    <row r="88" spans="1:40" ht="51" customHeight="1">
      <c r="A88" s="98"/>
      <c r="B88" s="98"/>
      <c r="C88" s="98"/>
      <c r="D88" s="99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</row>
    <row r="89" spans="1:40" ht="33" customHeight="1">
      <c r="A89" s="98"/>
      <c r="B89" s="98"/>
      <c r="C89" s="98"/>
      <c r="D89" s="99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</row>
    <row r="90" spans="1:40" ht="17.399999999999999" customHeight="1">
      <c r="A90" s="98"/>
      <c r="B90" s="98"/>
      <c r="C90" s="98"/>
      <c r="D90" s="99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</row>
    <row r="91" spans="1:40" ht="17.399999999999999" customHeight="1">
      <c r="A91" s="98"/>
      <c r="B91" s="98"/>
      <c r="C91" s="98"/>
      <c r="D91" s="99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</row>
    <row r="92" spans="1:40" ht="17.399999999999999" customHeight="1">
      <c r="A92" s="98"/>
      <c r="B92" s="98"/>
      <c r="C92" s="98"/>
      <c r="D92" s="99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</row>
    <row r="93" spans="1:40" ht="17.399999999999999" customHeight="1">
      <c r="A93" s="98"/>
      <c r="B93" s="98"/>
      <c r="C93" s="98"/>
      <c r="D93" s="99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</row>
    <row r="94" spans="1:40" ht="17.399999999999999" customHeight="1">
      <c r="A94" s="98"/>
      <c r="B94" s="98"/>
      <c r="C94" s="98"/>
      <c r="D94" s="99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</row>
    <row r="95" spans="1:40" ht="17.399999999999999" customHeight="1">
      <c r="A95" s="98"/>
      <c r="B95" s="98"/>
      <c r="C95" s="98"/>
      <c r="D95" s="99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</row>
    <row r="96" spans="1:40" ht="17.399999999999999" customHeight="1">
      <c r="A96" s="98"/>
      <c r="B96" s="98"/>
      <c r="C96" s="98"/>
      <c r="D96" s="99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</row>
    <row r="97" spans="1:40" ht="17.399999999999999" customHeight="1">
      <c r="A97" s="98"/>
      <c r="B97" s="98"/>
      <c r="C97" s="98"/>
      <c r="D97" s="99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</row>
    <row r="98" spans="1:40" ht="17.399999999999999" customHeight="1">
      <c r="A98" s="98"/>
      <c r="B98" s="98"/>
      <c r="C98" s="98"/>
      <c r="D98" s="99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</row>
    <row r="99" spans="1:40" ht="17.399999999999999" customHeight="1">
      <c r="A99" s="98"/>
      <c r="B99" s="98"/>
      <c r="C99" s="98"/>
      <c r="D99" s="99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</row>
    <row r="100" spans="1:40" ht="17.399999999999999" customHeight="1">
      <c r="A100" s="98"/>
      <c r="B100" s="98"/>
      <c r="C100" s="98"/>
      <c r="D100" s="99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</row>
    <row r="101" spans="1:40" ht="17.399999999999999" customHeight="1">
      <c r="A101" s="98"/>
      <c r="B101" s="98"/>
      <c r="C101" s="98"/>
      <c r="D101" s="99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</row>
    <row r="102" spans="1:40" ht="17.399999999999999" customHeight="1">
      <c r="A102" s="98"/>
      <c r="B102" s="98"/>
      <c r="C102" s="98"/>
      <c r="D102" s="99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</row>
    <row r="103" spans="1:40" ht="17.399999999999999" customHeight="1">
      <c r="A103" s="98" t="s">
        <v>134</v>
      </c>
      <c r="B103" s="226"/>
      <c r="C103" s="98"/>
      <c r="D103" s="99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</row>
    <row r="104" spans="1:40" ht="17.399999999999999" customHeight="1">
      <c r="A104" s="98"/>
      <c r="B104" s="226"/>
      <c r="C104" s="98"/>
      <c r="D104" s="99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</row>
    <row r="105" spans="1:40" ht="17.399999999999999" customHeight="1">
      <c r="A105" s="98"/>
      <c r="B105" s="226"/>
      <c r="C105" s="98"/>
      <c r="D105" s="99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</row>
    <row r="106" spans="1:40" ht="17.399999999999999" customHeight="1">
      <c r="A106" s="98"/>
      <c r="B106" s="226"/>
      <c r="C106" s="98"/>
      <c r="D106" s="99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</row>
    <row r="107" spans="1:40" ht="17.399999999999999" customHeight="1">
      <c r="A107" s="49" t="s">
        <v>134</v>
      </c>
      <c r="B107" s="226" t="s">
        <v>97</v>
      </c>
      <c r="C107" s="98"/>
      <c r="D107" s="99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</row>
    <row r="108" spans="1:40" ht="17.399999999999999" customHeight="1">
      <c r="A108" s="98" t="s">
        <v>134</v>
      </c>
      <c r="B108" s="226" t="s">
        <v>100</v>
      </c>
      <c r="C108" s="98"/>
      <c r="D108" s="99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</row>
    <row r="109" spans="1:40" ht="17.399999999999999" customHeight="1">
      <c r="A109" s="98" t="s">
        <v>134</v>
      </c>
      <c r="B109" s="226" t="s">
        <v>101</v>
      </c>
      <c r="C109" s="98"/>
      <c r="D109" s="99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</row>
    <row r="110" spans="1:40" ht="17.399999999999999" customHeight="1">
      <c r="A110" s="98" t="s">
        <v>132</v>
      </c>
      <c r="B110" s="226" t="s">
        <v>120</v>
      </c>
      <c r="C110" s="98"/>
      <c r="D110" s="99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</row>
    <row r="111" spans="1:40" ht="17.399999999999999" customHeight="1">
      <c r="A111" s="98" t="s">
        <v>133</v>
      </c>
      <c r="B111" s="226" t="s">
        <v>121</v>
      </c>
      <c r="C111" s="98"/>
      <c r="D111" s="99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</row>
    <row r="112" spans="1:40" ht="17.399999999999999" customHeight="1">
      <c r="A112" s="98"/>
      <c r="B112" s="98"/>
      <c r="C112" s="98"/>
      <c r="D112" s="99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</row>
    <row r="113" spans="1:40" ht="17.399999999999999" customHeight="1">
      <c r="A113" s="98"/>
      <c r="B113" s="98"/>
      <c r="C113" s="98"/>
      <c r="D113" s="99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</row>
    <row r="114" spans="1:40" ht="17.399999999999999" customHeight="1">
      <c r="A114" s="49"/>
      <c r="B114" s="49"/>
      <c r="C114" s="49"/>
      <c r="D114" s="99"/>
      <c r="E114" s="49"/>
      <c r="F114" s="49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</row>
    <row r="115" spans="1:40" ht="17.399999999999999" customHeight="1">
      <c r="A115" s="49"/>
      <c r="B115" s="49"/>
      <c r="C115" s="49"/>
      <c r="D115" s="99"/>
      <c r="E115" s="49"/>
      <c r="F115" s="49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</row>
    <row r="116" spans="1:40" ht="17.399999999999999" customHeight="1">
      <c r="A116" s="49"/>
      <c r="B116" s="49"/>
      <c r="C116" s="49"/>
      <c r="D116" s="99"/>
      <c r="E116" s="49"/>
      <c r="F116" s="49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</row>
    <row r="117" spans="1:40" ht="17.399999999999999" customHeight="1">
      <c r="A117" s="49"/>
      <c r="B117" s="49"/>
      <c r="C117" s="49"/>
      <c r="D117" s="99"/>
      <c r="E117" s="49"/>
      <c r="F117" s="49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</row>
    <row r="118" spans="1:40" ht="17.399999999999999" customHeight="1">
      <c r="A118" s="49"/>
      <c r="B118" s="49"/>
      <c r="C118" s="49"/>
      <c r="D118" s="99"/>
      <c r="E118" s="49"/>
      <c r="F118" s="49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</row>
    <row r="119" spans="1:40" ht="17.399999999999999" customHeight="1">
      <c r="A119" s="49"/>
      <c r="B119" s="49"/>
      <c r="C119" s="49"/>
      <c r="D119" s="99"/>
      <c r="E119" s="49"/>
      <c r="F119" s="49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</row>
    <row r="120" spans="1:40" ht="17.399999999999999" customHeight="1">
      <c r="A120" s="49"/>
      <c r="B120" s="49"/>
      <c r="C120" s="49"/>
      <c r="D120" s="99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</row>
    <row r="121" spans="1:40" ht="17.399999999999999" customHeight="1">
      <c r="A121" s="49"/>
      <c r="B121" s="49"/>
      <c r="C121" s="49"/>
      <c r="D121" s="99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</row>
    <row r="122" spans="1:40" ht="17.399999999999999" customHeight="1">
      <c r="A122" s="49"/>
      <c r="B122" s="49"/>
      <c r="C122" s="49"/>
      <c r="D122" s="99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</row>
    <row r="123" spans="1:40" ht="17.399999999999999" customHeight="1">
      <c r="A123" s="49"/>
      <c r="B123" s="49"/>
      <c r="C123" s="49"/>
      <c r="D123" s="99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</row>
    <row r="124" spans="1:40" ht="17.399999999999999" customHeight="1">
      <c r="A124" s="49"/>
      <c r="B124" s="49"/>
      <c r="C124" s="49"/>
      <c r="D124" s="99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</row>
    <row r="125" spans="1:40" ht="17.399999999999999" customHeight="1">
      <c r="A125" s="49"/>
      <c r="B125" s="49"/>
      <c r="C125" s="49"/>
      <c r="D125" s="99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</row>
    <row r="126" spans="1:40" ht="17.399999999999999" customHeight="1">
      <c r="A126" s="49"/>
      <c r="B126" s="49"/>
      <c r="C126" s="49"/>
      <c r="D126" s="99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</row>
    <row r="127" spans="1:40" ht="17.399999999999999" customHeight="1">
      <c r="A127" s="49"/>
      <c r="B127" s="49"/>
      <c r="C127" s="49"/>
      <c r="D127" s="99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</row>
    <row r="128" spans="1:40" ht="17.399999999999999" customHeight="1">
      <c r="A128" s="49"/>
      <c r="B128" s="49"/>
      <c r="C128" s="49"/>
      <c r="D128" s="99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</row>
    <row r="129" spans="1:40" ht="17.399999999999999" customHeight="1">
      <c r="A129" s="49"/>
      <c r="B129" s="49"/>
      <c r="C129" s="49"/>
      <c r="D129" s="99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</row>
    <row r="130" spans="1:40" ht="17.399999999999999" customHeight="1">
      <c r="A130" s="49"/>
      <c r="B130" s="49"/>
      <c r="C130" s="49"/>
      <c r="D130" s="99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</row>
    <row r="131" spans="1:40" ht="17.399999999999999" customHeight="1">
      <c r="A131" s="49"/>
      <c r="B131" s="49"/>
      <c r="C131" s="49"/>
      <c r="D131" s="99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</row>
    <row r="132" spans="1:40" ht="17.399999999999999" customHeight="1">
      <c r="A132" s="49"/>
      <c r="B132" s="49"/>
      <c r="C132" s="49"/>
      <c r="D132" s="99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</row>
    <row r="133" spans="1:40" ht="17.399999999999999" customHeight="1">
      <c r="A133" s="49"/>
      <c r="B133" s="49"/>
      <c r="C133" s="49"/>
      <c r="D133" s="99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</row>
    <row r="134" spans="1:40" ht="17.399999999999999" customHeight="1">
      <c r="A134" s="49"/>
      <c r="B134" s="49"/>
      <c r="C134" s="49"/>
      <c r="D134" s="99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</row>
    <row r="135" spans="1:40" ht="17.399999999999999" customHeight="1">
      <c r="A135" s="49"/>
      <c r="B135" s="49"/>
      <c r="C135" s="49"/>
      <c r="D135" s="99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</row>
    <row r="136" spans="1:40" ht="17.399999999999999" customHeight="1">
      <c r="A136" s="49"/>
      <c r="B136" s="49"/>
      <c r="C136" s="49"/>
      <c r="D136" s="99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</row>
    <row r="137" spans="1:40" ht="17.399999999999999" customHeight="1">
      <c r="A137" s="49"/>
      <c r="B137" s="49"/>
      <c r="C137" s="49"/>
      <c r="D137" s="99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</row>
    <row r="138" spans="1:40" ht="17.399999999999999" customHeight="1">
      <c r="A138" s="49"/>
      <c r="B138" s="49"/>
      <c r="C138" s="49"/>
      <c r="D138" s="99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</row>
    <row r="139" spans="1:40" ht="17.399999999999999" customHeight="1">
      <c r="A139" s="49"/>
      <c r="B139" s="49"/>
      <c r="C139" s="49"/>
      <c r="D139" s="99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</row>
    <row r="140" spans="1:40" ht="17.399999999999999" customHeight="1">
      <c r="A140" s="49"/>
      <c r="B140" s="49"/>
      <c r="C140" s="49"/>
      <c r="D140" s="99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</row>
    <row r="141" spans="1:40" ht="17.399999999999999" customHeight="1">
      <c r="A141" s="49"/>
      <c r="B141" s="49"/>
      <c r="C141" s="49"/>
      <c r="D141" s="99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</row>
    <row r="142" spans="1:40" ht="17.399999999999999" customHeight="1">
      <c r="A142" s="49"/>
      <c r="B142" s="49"/>
      <c r="C142" s="49"/>
      <c r="D142" s="99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</row>
    <row r="143" spans="1:40" ht="17.399999999999999" customHeight="1">
      <c r="A143" s="49"/>
      <c r="B143" s="49"/>
      <c r="C143" s="49"/>
      <c r="D143" s="99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</row>
    <row r="144" spans="1:40" ht="17.399999999999999" customHeight="1">
      <c r="A144" s="49"/>
      <c r="B144" s="49"/>
      <c r="C144" s="49"/>
      <c r="D144" s="99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</row>
    <row r="145" spans="1:40" ht="17.399999999999999" customHeight="1">
      <c r="A145" s="49"/>
      <c r="B145" s="49"/>
      <c r="C145" s="49"/>
      <c r="D145" s="99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</row>
    <row r="146" spans="1:40" ht="17.399999999999999" customHeight="1">
      <c r="A146" s="49"/>
      <c r="B146" s="49"/>
      <c r="C146" s="49"/>
      <c r="D146" s="692">
        <f>D31+$B$143</f>
        <v>19144.437775999999</v>
      </c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</row>
    <row r="147" spans="1:40" ht="17.399999999999999" customHeight="1">
      <c r="A147" s="49"/>
      <c r="B147" s="49" t="s">
        <v>531</v>
      </c>
      <c r="C147" s="49"/>
      <c r="D147" s="196">
        <f>D31+$B$143</f>
        <v>19144.437775999999</v>
      </c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</row>
    <row r="148" spans="1:40" ht="17.399999999999999" customHeight="1">
      <c r="A148" s="49"/>
      <c r="B148" s="49"/>
      <c r="C148" s="49"/>
      <c r="D148" s="99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</row>
    <row r="149" spans="1:40" ht="17.399999999999999" customHeight="1">
      <c r="A149" s="49"/>
      <c r="B149" s="49"/>
      <c r="C149" s="49"/>
      <c r="D149" s="99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</row>
    <row r="150" spans="1:40" ht="17.399999999999999" customHeight="1">
      <c r="A150" s="49"/>
      <c r="B150" s="49"/>
      <c r="C150" s="49"/>
      <c r="D150" s="99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</row>
    <row r="151" spans="1:40" ht="17.399999999999999" customHeight="1">
      <c r="A151" s="49"/>
      <c r="B151" s="49"/>
      <c r="C151" s="49"/>
      <c r="D151" s="99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</row>
    <row r="152" spans="1:40" ht="17.399999999999999" customHeight="1">
      <c r="A152" s="49"/>
      <c r="B152" s="49"/>
      <c r="C152" s="49"/>
      <c r="D152" s="99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</row>
    <row r="153" spans="1:40" ht="17.399999999999999" customHeight="1">
      <c r="A153" s="49"/>
      <c r="B153" s="49"/>
      <c r="C153" s="49"/>
      <c r="D153" s="99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</row>
    <row r="154" spans="1:40" ht="17.399999999999999" customHeight="1">
      <c r="A154" s="49"/>
      <c r="B154" s="49"/>
      <c r="C154" s="49"/>
      <c r="D154" s="99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</row>
    <row r="155" spans="1:40" ht="17.399999999999999" customHeight="1">
      <c r="A155" s="49"/>
      <c r="B155" s="49"/>
      <c r="C155" s="49"/>
      <c r="D155" s="99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</row>
    <row r="156" spans="1:40" ht="17.399999999999999" customHeight="1">
      <c r="A156" s="49"/>
      <c r="B156" s="49"/>
      <c r="C156" s="49"/>
      <c r="D156" s="99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</row>
    <row r="157" spans="1:40" ht="17.399999999999999" customHeight="1">
      <c r="A157" s="49"/>
      <c r="B157" s="49"/>
      <c r="C157" s="49"/>
      <c r="D157" s="99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</row>
    <row r="158" spans="1:40" ht="17.399999999999999" customHeight="1">
      <c r="A158" s="49"/>
      <c r="B158" s="49"/>
      <c r="C158" s="49"/>
      <c r="D158" s="99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</row>
    <row r="159" spans="1:40" ht="17.399999999999999" customHeight="1">
      <c r="A159" s="49"/>
      <c r="B159" s="49"/>
      <c r="C159" s="49"/>
      <c r="D159" s="99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</row>
    <row r="160" spans="1:40" ht="17.399999999999999" customHeight="1">
      <c r="A160" s="49"/>
      <c r="B160" s="49"/>
      <c r="C160" s="49"/>
      <c r="D160" s="99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</row>
    <row r="161" spans="1:40" ht="17.399999999999999" customHeight="1">
      <c r="A161" s="49"/>
      <c r="B161" s="49"/>
      <c r="C161" s="49"/>
      <c r="D161" s="99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</row>
    <row r="162" spans="1:40" ht="17.399999999999999" customHeight="1">
      <c r="A162" s="49"/>
      <c r="B162" s="49"/>
      <c r="C162" s="49"/>
      <c r="D162" s="99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</row>
    <row r="163" spans="1:40" ht="17.399999999999999" customHeight="1">
      <c r="A163" s="49"/>
      <c r="B163" s="49"/>
      <c r="C163" s="49"/>
      <c r="D163" s="99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</row>
    <row r="164" spans="1:40" ht="17.399999999999999" customHeight="1">
      <c r="A164" s="49"/>
      <c r="B164" s="49"/>
      <c r="C164" s="49"/>
      <c r="D164" s="99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</row>
    <row r="165" spans="1:40" ht="17.399999999999999" customHeight="1">
      <c r="A165" s="49"/>
      <c r="B165" s="49"/>
      <c r="C165" s="49"/>
      <c r="D165" s="99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</row>
    <row r="166" spans="1:40" ht="17.399999999999999" customHeight="1">
      <c r="A166" s="49"/>
      <c r="B166" s="49"/>
      <c r="C166" s="49"/>
      <c r="D166" s="99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</row>
    <row r="167" spans="1:40" ht="17.399999999999999" customHeight="1">
      <c r="A167" s="49"/>
      <c r="B167" s="49"/>
      <c r="C167" s="49"/>
      <c r="D167" s="99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</row>
    <row r="168" spans="1:40" ht="17.399999999999999" customHeight="1">
      <c r="A168" s="49"/>
      <c r="B168" s="49"/>
      <c r="C168" s="49"/>
      <c r="D168" s="99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</row>
    <row r="169" spans="1:40" ht="17.399999999999999" customHeight="1">
      <c r="A169" s="49"/>
      <c r="B169" s="49"/>
      <c r="C169" s="49"/>
      <c r="D169" s="99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</row>
    <row r="170" spans="1:40" ht="17.399999999999999" customHeight="1">
      <c r="A170" s="49"/>
      <c r="B170" s="49"/>
      <c r="C170" s="49"/>
      <c r="D170" s="99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</row>
    <row r="171" spans="1:40" ht="17.399999999999999" customHeight="1">
      <c r="A171" s="49"/>
      <c r="B171" s="49"/>
      <c r="C171" s="49"/>
      <c r="D171" s="99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</row>
    <row r="172" spans="1:40" ht="17.399999999999999" customHeight="1">
      <c r="A172" s="49"/>
      <c r="B172" s="49"/>
      <c r="C172" s="49"/>
      <c r="D172" s="99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</row>
    <row r="173" spans="1:40" ht="17.399999999999999" customHeight="1">
      <c r="A173" s="49"/>
      <c r="B173" s="49"/>
      <c r="C173" s="49"/>
      <c r="D173" s="99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</row>
    <row r="174" spans="1:40" ht="17.399999999999999" customHeight="1">
      <c r="A174" s="49"/>
      <c r="B174" s="49"/>
      <c r="C174" s="49"/>
      <c r="D174" s="99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</row>
    <row r="175" spans="1:40" ht="17.399999999999999" customHeight="1">
      <c r="A175" s="49"/>
      <c r="B175" s="49"/>
      <c r="C175" s="49"/>
      <c r="D175" s="99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</row>
    <row r="176" spans="1:40" ht="17.399999999999999" customHeight="1">
      <c r="A176" s="49"/>
      <c r="B176" s="49"/>
      <c r="C176" s="49"/>
      <c r="D176" s="99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</row>
    <row r="177" spans="1:40" ht="17.399999999999999" customHeight="1">
      <c r="A177" s="49"/>
      <c r="B177" s="49"/>
      <c r="C177" s="49"/>
      <c r="D177" s="99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</row>
    <row r="178" spans="1:40" ht="17.399999999999999" customHeight="1">
      <c r="A178" s="49"/>
      <c r="B178" s="49"/>
      <c r="C178" s="49"/>
      <c r="D178" s="99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</row>
    <row r="179" spans="1:40" ht="17.399999999999999" customHeight="1">
      <c r="A179" s="49"/>
      <c r="B179" s="49"/>
      <c r="C179" s="49"/>
      <c r="D179" s="99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</row>
    <row r="180" spans="1:40" ht="17.399999999999999" customHeight="1">
      <c r="A180" s="49"/>
      <c r="B180" s="49"/>
      <c r="C180" s="49"/>
      <c r="D180" s="99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</row>
    <row r="181" spans="1:40" ht="17.399999999999999" customHeight="1">
      <c r="A181" s="49"/>
      <c r="B181" s="49"/>
      <c r="C181" s="49"/>
      <c r="D181" s="99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</row>
    <row r="182" spans="1:40" ht="17.399999999999999" customHeight="1">
      <c r="A182" s="49"/>
      <c r="B182" s="49"/>
      <c r="C182" s="49"/>
      <c r="D182" s="99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</row>
    <row r="183" spans="1:40" ht="17.399999999999999" customHeight="1">
      <c r="A183" s="49"/>
      <c r="B183" s="49"/>
      <c r="C183" s="49"/>
      <c r="D183" s="99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</row>
    <row r="184" spans="1:40" ht="17.399999999999999" customHeight="1">
      <c r="A184" s="49"/>
      <c r="B184" s="49"/>
      <c r="C184" s="49"/>
      <c r="D184" s="99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</row>
    <row r="185" spans="1:40" ht="17.399999999999999" customHeight="1">
      <c r="A185" s="49"/>
      <c r="B185" s="49"/>
      <c r="C185" s="49"/>
      <c r="D185" s="99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</row>
    <row r="186" spans="1:40" ht="17.399999999999999" customHeight="1">
      <c r="A186" s="49"/>
      <c r="B186" s="49"/>
      <c r="C186" s="49"/>
      <c r="D186" s="99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</row>
    <row r="187" spans="1:40" ht="17.399999999999999" customHeight="1">
      <c r="A187" s="49"/>
      <c r="B187" s="49"/>
      <c r="C187" s="49"/>
      <c r="D187" s="99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</row>
    <row r="188" spans="1:40" ht="17.399999999999999" customHeight="1">
      <c r="A188" s="49"/>
      <c r="B188" s="49"/>
      <c r="C188" s="49"/>
      <c r="D188" s="99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</row>
    <row r="189" spans="1:40" ht="17.399999999999999" customHeight="1">
      <c r="A189" s="49"/>
      <c r="B189" s="49"/>
      <c r="C189" s="49"/>
      <c r="D189" s="99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</row>
    <row r="190" spans="1:40" ht="17.399999999999999" customHeight="1">
      <c r="A190" s="49"/>
      <c r="B190" s="49"/>
      <c r="C190" s="49"/>
      <c r="D190" s="99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</row>
    <row r="191" spans="1:40" ht="17.399999999999999" customHeight="1">
      <c r="A191" s="49"/>
      <c r="B191" s="49"/>
      <c r="C191" s="49"/>
      <c r="D191" s="99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</row>
    <row r="192" spans="1:40" ht="17.399999999999999" customHeight="1">
      <c r="A192" s="49"/>
      <c r="B192" s="49"/>
      <c r="C192" s="49"/>
      <c r="D192" s="99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</row>
    <row r="193" spans="1:40" ht="17.399999999999999" customHeight="1">
      <c r="A193" s="49"/>
      <c r="B193" s="49"/>
      <c r="C193" s="49"/>
      <c r="D193" s="99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</row>
    <row r="194" spans="1:40" ht="17.399999999999999" customHeight="1">
      <c r="A194" s="49"/>
      <c r="B194" s="49"/>
      <c r="C194" s="49"/>
      <c r="D194" s="99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</row>
    <row r="195" spans="1:40" ht="17.399999999999999" customHeight="1">
      <c r="A195" s="98"/>
      <c r="B195" s="98"/>
      <c r="C195" s="98"/>
      <c r="D195" s="99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</row>
    <row r="196" spans="1:40" ht="17.399999999999999" customHeight="1">
      <c r="A196" s="98"/>
      <c r="B196" s="98"/>
      <c r="C196" s="98"/>
      <c r="D196" s="99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</row>
    <row r="197" spans="1:40" ht="17.399999999999999" customHeight="1">
      <c r="A197" s="98"/>
      <c r="B197" s="98"/>
      <c r="C197" s="98"/>
      <c r="D197" s="99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</row>
    <row r="198" spans="1:40" ht="17.399999999999999" customHeight="1">
      <c r="A198" s="98"/>
      <c r="B198" s="98"/>
      <c r="C198" s="98"/>
      <c r="D198" s="99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</row>
    <row r="199" spans="1:40" ht="17.399999999999999" customHeight="1">
      <c r="A199" s="98"/>
      <c r="B199" s="98"/>
      <c r="C199" s="98"/>
      <c r="D199" s="99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</row>
    <row r="200" spans="1:40" ht="17.399999999999999" customHeight="1">
      <c r="A200" s="98"/>
      <c r="B200" s="98"/>
      <c r="C200" s="98"/>
      <c r="D200" s="99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</row>
    <row r="201" spans="1:40" ht="17.399999999999999" customHeight="1">
      <c r="A201" s="98"/>
      <c r="B201" s="98"/>
      <c r="C201" s="98"/>
      <c r="D201" s="99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</row>
    <row r="202" spans="1:40" ht="17.399999999999999" customHeight="1">
      <c r="A202" s="98"/>
      <c r="B202" s="98"/>
      <c r="C202" s="98"/>
      <c r="D202" s="99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</row>
    <row r="203" spans="1:40" ht="17.399999999999999" customHeight="1">
      <c r="A203" s="98"/>
      <c r="B203" s="98"/>
      <c r="C203" s="98"/>
      <c r="D203" s="99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</row>
    <row r="204" spans="1:40" ht="17.399999999999999" customHeight="1">
      <c r="A204" s="98"/>
      <c r="B204" s="98"/>
      <c r="C204" s="98"/>
      <c r="D204" s="99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</row>
    <row r="205" spans="1:40" ht="17.399999999999999" customHeight="1">
      <c r="A205" s="98"/>
      <c r="B205" s="98"/>
      <c r="C205" s="98"/>
      <c r="D205" s="99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</row>
    <row r="206" spans="1:40" ht="17.399999999999999" customHeight="1">
      <c r="A206" s="98"/>
      <c r="B206" s="98"/>
      <c r="C206" s="98"/>
      <c r="D206" s="99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</row>
    <row r="207" spans="1:40" ht="17.399999999999999" customHeight="1">
      <c r="A207" s="98"/>
      <c r="B207" s="98"/>
      <c r="C207" s="98"/>
      <c r="D207" s="99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</row>
    <row r="208" spans="1:40" ht="17.399999999999999" customHeight="1">
      <c r="A208" s="98"/>
      <c r="B208" s="98"/>
      <c r="C208" s="98"/>
      <c r="D208" s="99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</row>
    <row r="209" spans="1:40" ht="17.399999999999999" customHeight="1">
      <c r="A209" s="98"/>
      <c r="B209" s="98"/>
      <c r="C209" s="98"/>
      <c r="D209" s="99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</row>
    <row r="210" spans="1:40" ht="17.399999999999999" customHeight="1">
      <c r="A210" s="98"/>
      <c r="B210" s="98"/>
      <c r="C210" s="98"/>
      <c r="D210" s="99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</row>
    <row r="211" spans="1:40" ht="17.399999999999999" customHeight="1">
      <c r="A211" s="98"/>
      <c r="B211" s="98"/>
      <c r="C211" s="98"/>
      <c r="D211" s="99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</row>
    <row r="212" spans="1:40" ht="17.399999999999999" customHeight="1">
      <c r="A212" s="98"/>
      <c r="B212" s="98"/>
      <c r="C212" s="98"/>
      <c r="D212" s="99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</row>
    <row r="213" spans="1:40" ht="17.399999999999999" customHeight="1">
      <c r="A213" s="98"/>
      <c r="B213" s="98"/>
      <c r="C213" s="98"/>
      <c r="D213" s="99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</row>
    <row r="214" spans="1:40" ht="17.399999999999999" customHeight="1">
      <c r="A214" s="98"/>
      <c r="B214" s="98"/>
      <c r="C214" s="98"/>
      <c r="D214" s="99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</row>
    <row r="215" spans="1:40" ht="17.399999999999999" customHeight="1">
      <c r="A215" s="98"/>
      <c r="B215" s="98"/>
      <c r="C215" s="98"/>
      <c r="D215" s="99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</row>
    <row r="216" spans="1:40" ht="17.399999999999999" customHeight="1">
      <c r="A216" s="98"/>
      <c r="B216" s="98"/>
      <c r="C216" s="98"/>
      <c r="D216" s="99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</row>
    <row r="217" spans="1:40" ht="17.399999999999999" customHeight="1">
      <c r="A217" s="98"/>
      <c r="B217" s="98"/>
      <c r="C217" s="98"/>
      <c r="D217" s="99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</row>
    <row r="218" spans="1:40" ht="17.399999999999999" customHeight="1">
      <c r="A218" s="98"/>
      <c r="B218" s="98"/>
      <c r="C218" s="98"/>
      <c r="D218" s="99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</row>
    <row r="219" spans="1:40" ht="17.399999999999999" customHeight="1">
      <c r="A219" s="98"/>
      <c r="B219" s="98"/>
      <c r="C219" s="98"/>
      <c r="D219" s="99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</row>
    <row r="220" spans="1:40" ht="17.399999999999999" customHeight="1">
      <c r="A220" s="98"/>
      <c r="B220" s="98"/>
      <c r="C220" s="98"/>
      <c r="D220" s="99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  <c r="AN220" s="98"/>
    </row>
    <row r="221" spans="1:40" ht="17.399999999999999" customHeight="1">
      <c r="A221" s="98"/>
      <c r="B221" s="98"/>
      <c r="C221" s="98"/>
      <c r="D221" s="99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</row>
    <row r="222" spans="1:40" ht="17.399999999999999" customHeight="1">
      <c r="A222" s="98"/>
      <c r="B222" s="98"/>
      <c r="C222" s="98"/>
      <c r="D222" s="99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</row>
    <row r="223" spans="1:40" ht="17.399999999999999" customHeight="1">
      <c r="A223" s="98"/>
      <c r="B223" s="98"/>
      <c r="C223" s="98"/>
      <c r="D223" s="99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</row>
    <row r="224" spans="1:40" ht="17.399999999999999" customHeight="1">
      <c r="A224" s="98"/>
      <c r="B224" s="98"/>
      <c r="C224" s="98"/>
      <c r="D224" s="99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</row>
    <row r="225" spans="1:40" ht="17.399999999999999" customHeight="1">
      <c r="A225" s="98"/>
      <c r="B225" s="98"/>
      <c r="C225" s="98"/>
      <c r="D225" s="99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</row>
    <row r="226" spans="1:40" ht="17.399999999999999" customHeight="1">
      <c r="A226" s="98"/>
      <c r="B226" s="98"/>
      <c r="C226" s="98"/>
      <c r="D226" s="99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</row>
    <row r="227" spans="1:40" ht="17.399999999999999" customHeight="1">
      <c r="A227" s="98"/>
      <c r="B227" s="98"/>
      <c r="C227" s="98"/>
      <c r="D227" s="99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</row>
    <row r="228" spans="1:40" ht="17.399999999999999" customHeight="1">
      <c r="A228" s="98"/>
      <c r="B228" s="98"/>
      <c r="C228" s="98"/>
      <c r="D228" s="99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</row>
    <row r="229" spans="1:40" ht="17.399999999999999" customHeight="1">
      <c r="A229" s="98"/>
      <c r="B229" s="98"/>
      <c r="C229" s="98"/>
      <c r="D229" s="99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</row>
    <row r="230" spans="1:40" ht="17.399999999999999" customHeight="1">
      <c r="A230" s="98"/>
      <c r="B230" s="98"/>
      <c r="C230" s="98"/>
      <c r="D230" s="99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  <c r="AN230" s="98"/>
    </row>
    <row r="231" spans="1:40" ht="17.399999999999999" customHeight="1">
      <c r="A231" s="98"/>
      <c r="B231" s="98"/>
      <c r="C231" s="98"/>
      <c r="D231" s="99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</row>
    <row r="232" spans="1:40" ht="17.399999999999999" customHeight="1">
      <c r="A232" s="98"/>
      <c r="B232" s="98"/>
      <c r="C232" s="98"/>
      <c r="D232" s="99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  <c r="AN232" s="98"/>
    </row>
    <row r="233" spans="1:40" ht="17.399999999999999" customHeight="1">
      <c r="A233" s="98"/>
      <c r="B233" s="98"/>
      <c r="C233" s="98"/>
      <c r="D233" s="99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  <c r="AN233" s="98"/>
    </row>
    <row r="234" spans="1:40" ht="17.399999999999999" customHeight="1">
      <c r="A234" s="98"/>
      <c r="B234" s="98"/>
      <c r="C234" s="98"/>
      <c r="D234" s="99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  <c r="AN234" s="98"/>
    </row>
    <row r="235" spans="1:40" ht="17.399999999999999" customHeight="1">
      <c r="A235" s="98"/>
      <c r="B235" s="98"/>
      <c r="C235" s="98"/>
      <c r="D235" s="99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  <c r="AN235" s="98"/>
    </row>
    <row r="236" spans="1:40" ht="17.399999999999999" customHeight="1">
      <c r="A236" s="98"/>
      <c r="B236" s="98"/>
      <c r="C236" s="98"/>
      <c r="D236" s="99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</row>
    <row r="237" spans="1:40" ht="17.399999999999999" customHeight="1">
      <c r="A237" s="98"/>
      <c r="B237" s="98"/>
      <c r="C237" s="98"/>
      <c r="D237" s="99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</row>
    <row r="238" spans="1:40" ht="17.399999999999999" customHeight="1">
      <c r="A238" s="98"/>
      <c r="B238" s="98"/>
      <c r="C238" s="98"/>
      <c r="D238" s="99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</row>
    <row r="239" spans="1:40" ht="17.399999999999999" customHeight="1">
      <c r="A239" s="98"/>
      <c r="B239" s="98"/>
      <c r="C239" s="98"/>
      <c r="D239" s="99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  <c r="AN239" s="98"/>
    </row>
    <row r="240" spans="1:40" ht="17.399999999999999" customHeight="1">
      <c r="A240" s="98"/>
      <c r="B240" s="98"/>
      <c r="C240" s="98"/>
      <c r="D240" s="99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  <c r="AN240" s="98"/>
    </row>
    <row r="241" spans="1:40" ht="17.399999999999999" customHeight="1">
      <c r="A241" s="98"/>
      <c r="B241" s="98"/>
      <c r="C241" s="98"/>
      <c r="D241" s="99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8"/>
    </row>
    <row r="242" spans="1:40" ht="17.399999999999999" customHeight="1">
      <c r="A242" s="98"/>
      <c r="B242" s="98"/>
      <c r="C242" s="98"/>
      <c r="D242" s="99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  <c r="AN242" s="98"/>
    </row>
    <row r="243" spans="1:40" ht="17.399999999999999" customHeight="1">
      <c r="A243" s="98"/>
      <c r="B243" s="98"/>
      <c r="C243" s="98"/>
      <c r="D243" s="99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</row>
    <row r="244" spans="1:40" ht="17.399999999999999" customHeight="1">
      <c r="A244" s="98"/>
      <c r="B244" s="98"/>
      <c r="C244" s="98"/>
      <c r="D244" s="99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</row>
    <row r="245" spans="1:40" ht="17.399999999999999" customHeight="1">
      <c r="A245" s="98"/>
      <c r="B245" s="98"/>
      <c r="C245" s="98"/>
      <c r="D245" s="99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</row>
    <row r="246" spans="1:40" ht="17.399999999999999" customHeight="1">
      <c r="A246" s="98"/>
      <c r="B246" s="98"/>
      <c r="C246" s="98"/>
      <c r="D246" s="99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</row>
    <row r="247" spans="1:40" ht="17.399999999999999" customHeight="1">
      <c r="A247" s="98"/>
      <c r="B247" s="98"/>
      <c r="C247" s="98"/>
      <c r="D247" s="99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</row>
    <row r="248" spans="1:40" ht="17.399999999999999" customHeight="1">
      <c r="A248" s="98"/>
      <c r="B248" s="98"/>
      <c r="C248" s="98"/>
      <c r="D248" s="99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</row>
    <row r="249" spans="1:40" ht="17.399999999999999" customHeight="1">
      <c r="A249" s="98"/>
      <c r="B249" s="98"/>
      <c r="C249" s="98"/>
      <c r="D249" s="99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</row>
    <row r="250" spans="1:40" ht="17.399999999999999" customHeight="1">
      <c r="A250" s="98"/>
      <c r="B250" s="98"/>
      <c r="C250" s="98"/>
      <c r="D250" s="99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8"/>
    </row>
    <row r="251" spans="1:40">
      <c r="A251" s="98"/>
      <c r="B251" s="98"/>
      <c r="C251" s="98"/>
      <c r="D251" s="99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8"/>
    </row>
    <row r="252" spans="1:40">
      <c r="A252" s="98"/>
      <c r="B252" s="98"/>
      <c r="C252" s="98"/>
      <c r="D252" s="99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8"/>
    </row>
    <row r="253" spans="1:40">
      <c r="A253" s="98"/>
      <c r="B253" s="98"/>
      <c r="C253" s="98"/>
      <c r="D253" s="99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8"/>
    </row>
    <row r="254" spans="1:40">
      <c r="A254" s="98"/>
      <c r="B254" s="98"/>
      <c r="C254" s="98"/>
      <c r="D254" s="99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</row>
    <row r="255" spans="1:40">
      <c r="A255" s="98"/>
      <c r="B255" s="98"/>
      <c r="C255" s="98"/>
      <c r="D255" s="99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8"/>
    </row>
    <row r="256" spans="1:40">
      <c r="A256" s="98"/>
      <c r="B256" s="98"/>
      <c r="C256" s="98"/>
      <c r="D256" s="99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8"/>
    </row>
    <row r="257" spans="1:40">
      <c r="A257" s="98"/>
      <c r="B257" s="98"/>
      <c r="C257" s="98"/>
      <c r="D257" s="99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  <c r="AN257" s="98"/>
    </row>
    <row r="258" spans="1:40">
      <c r="A258" s="98"/>
      <c r="B258" s="98"/>
      <c r="C258" s="98"/>
      <c r="D258" s="99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  <c r="AN258" s="98"/>
    </row>
    <row r="259" spans="1:40">
      <c r="A259" s="98"/>
      <c r="B259" s="98"/>
      <c r="C259" s="98"/>
      <c r="D259" s="99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  <c r="AN259" s="98"/>
    </row>
    <row r="260" spans="1:40">
      <c r="A260" s="98"/>
      <c r="B260" s="98"/>
      <c r="C260" s="98"/>
      <c r="D260" s="99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  <c r="AN260" s="98"/>
    </row>
    <row r="261" spans="1:40">
      <c r="A261" s="98"/>
      <c r="B261" s="98"/>
      <c r="C261" s="98"/>
      <c r="D261" s="99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  <c r="AN261" s="98"/>
    </row>
    <row r="262" spans="1:40">
      <c r="A262" s="98"/>
      <c r="B262" s="98"/>
      <c r="C262" s="98"/>
      <c r="D262" s="99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</row>
    <row r="263" spans="1:40">
      <c r="A263" s="98"/>
      <c r="B263" s="98"/>
      <c r="C263" s="98"/>
      <c r="D263" s="99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</row>
    <row r="264" spans="1:40">
      <c r="A264" s="98"/>
      <c r="B264" s="98"/>
      <c r="C264" s="98"/>
      <c r="D264" s="99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</row>
    <row r="265" spans="1:40">
      <c r="A265" s="98"/>
      <c r="B265" s="98"/>
      <c r="C265" s="98"/>
      <c r="D265" s="99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</row>
    <row r="266" spans="1:40">
      <c r="A266" s="98"/>
      <c r="B266" s="98"/>
      <c r="C266" s="98"/>
      <c r="D266" s="99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3:B82"/>
  <sheetViews>
    <sheetView workbookViewId="0">
      <selection activeCell="G92" sqref="G92"/>
    </sheetView>
  </sheetViews>
  <sheetFormatPr defaultRowHeight="14.5"/>
  <cols>
    <col min="1" max="1" width="52.1796875" bestFit="1" customWidth="1"/>
    <col min="2" max="2" width="15.08984375" bestFit="1" customWidth="1"/>
  </cols>
  <sheetData>
    <row r="3" spans="1:2">
      <c r="A3" s="748" t="s">
        <v>555</v>
      </c>
      <c r="B3" t="s">
        <v>591</v>
      </c>
    </row>
    <row r="4" spans="1:2">
      <c r="A4" s="693" t="s">
        <v>208</v>
      </c>
      <c r="B4" s="711">
        <v>2534555512.9400997</v>
      </c>
    </row>
    <row r="5" spans="1:2">
      <c r="A5" s="844" t="s">
        <v>86</v>
      </c>
      <c r="B5" s="711">
        <v>569022515.13599992</v>
      </c>
    </row>
    <row r="6" spans="1:2">
      <c r="A6" s="844" t="s">
        <v>26</v>
      </c>
      <c r="B6" s="711">
        <v>419850968.93489999</v>
      </c>
    </row>
    <row r="7" spans="1:2">
      <c r="A7" s="844" t="s">
        <v>27</v>
      </c>
      <c r="B7" s="711">
        <v>1322407046.8188</v>
      </c>
    </row>
    <row r="8" spans="1:2">
      <c r="A8" s="844" t="s">
        <v>31</v>
      </c>
      <c r="B8" s="711">
        <v>0</v>
      </c>
    </row>
    <row r="9" spans="1:2">
      <c r="A9" s="844" t="s">
        <v>28</v>
      </c>
      <c r="B9" s="711">
        <v>4946549.7648</v>
      </c>
    </row>
    <row r="10" spans="1:2">
      <c r="A10" s="844" t="s">
        <v>30</v>
      </c>
      <c r="B10" s="711">
        <v>46294953.600000001</v>
      </c>
    </row>
    <row r="11" spans="1:2">
      <c r="A11" s="844" t="s">
        <v>29</v>
      </c>
      <c r="B11" s="711">
        <v>172033478.68559998</v>
      </c>
    </row>
    <row r="12" spans="1:2">
      <c r="A12" s="844" t="s">
        <v>32</v>
      </c>
      <c r="B12" s="711">
        <v>0</v>
      </c>
    </row>
    <row r="13" spans="1:2">
      <c r="A13" s="844" t="s">
        <v>33</v>
      </c>
      <c r="B13" s="711">
        <v>0</v>
      </c>
    </row>
    <row r="14" spans="1:2">
      <c r="A14" s="693" t="s">
        <v>215</v>
      </c>
      <c r="B14" s="711">
        <v>2320306954.7758813</v>
      </c>
    </row>
    <row r="15" spans="1:2">
      <c r="A15" s="693" t="s">
        <v>593</v>
      </c>
      <c r="B15" s="711">
        <v>131359377.37128638</v>
      </c>
    </row>
    <row r="16" spans="1:2">
      <c r="A16" s="844" t="s">
        <v>68</v>
      </c>
      <c r="B16" s="711">
        <v>88595354.33419998</v>
      </c>
    </row>
    <row r="17" spans="1:2">
      <c r="A17" s="844" t="s">
        <v>577</v>
      </c>
      <c r="B17" s="711"/>
    </row>
    <row r="18" spans="1:2">
      <c r="A18" s="844" t="s">
        <v>70</v>
      </c>
      <c r="B18" s="711">
        <v>42764023.037086397</v>
      </c>
    </row>
    <row r="19" spans="1:2">
      <c r="A19" s="693" t="s">
        <v>214</v>
      </c>
      <c r="B19" s="711">
        <v>616681091.53530002</v>
      </c>
    </row>
    <row r="20" spans="1:2">
      <c r="A20" s="844" t="s">
        <v>62</v>
      </c>
      <c r="B20" s="711">
        <v>0</v>
      </c>
    </row>
    <row r="21" spans="1:2">
      <c r="A21" s="844" t="s">
        <v>58</v>
      </c>
      <c r="B21" s="711">
        <v>0</v>
      </c>
    </row>
    <row r="22" spans="1:2">
      <c r="A22" s="844" t="s">
        <v>63</v>
      </c>
      <c r="B22" s="711">
        <v>0</v>
      </c>
    </row>
    <row r="23" spans="1:2">
      <c r="A23" s="844" t="s">
        <v>59</v>
      </c>
      <c r="B23" s="711">
        <v>0</v>
      </c>
    </row>
    <row r="24" spans="1:2">
      <c r="A24" s="844" t="s">
        <v>51</v>
      </c>
      <c r="B24" s="711">
        <v>45602507.748599999</v>
      </c>
    </row>
    <row r="25" spans="1:2">
      <c r="A25" s="844" t="s">
        <v>53</v>
      </c>
      <c r="B25" s="711">
        <v>0</v>
      </c>
    </row>
    <row r="26" spans="1:2">
      <c r="A26" s="844" t="s">
        <v>52</v>
      </c>
      <c r="B26" s="711">
        <v>0</v>
      </c>
    </row>
    <row r="27" spans="1:2">
      <c r="A27" s="844" t="s">
        <v>54</v>
      </c>
      <c r="B27" s="711">
        <v>571078583.78670001</v>
      </c>
    </row>
    <row r="28" spans="1:2">
      <c r="A28" s="844" t="s">
        <v>56</v>
      </c>
      <c r="B28" s="711">
        <v>0</v>
      </c>
    </row>
    <row r="29" spans="1:2">
      <c r="A29" s="844" t="s">
        <v>55</v>
      </c>
      <c r="B29" s="711">
        <v>0</v>
      </c>
    </row>
    <row r="30" spans="1:2">
      <c r="A30" s="844" t="s">
        <v>61</v>
      </c>
      <c r="B30" s="711">
        <v>0</v>
      </c>
    </row>
    <row r="31" spans="1:2">
      <c r="A31" s="844" t="s">
        <v>57</v>
      </c>
      <c r="B31" s="711">
        <v>0</v>
      </c>
    </row>
    <row r="32" spans="1:2">
      <c r="A32" s="844" t="s">
        <v>64</v>
      </c>
      <c r="B32" s="711">
        <v>0</v>
      </c>
    </row>
    <row r="33" spans="1:2">
      <c r="A33" s="844" t="s">
        <v>60</v>
      </c>
      <c r="B33" s="711">
        <v>0</v>
      </c>
    </row>
    <row r="34" spans="1:2">
      <c r="A34" s="693" t="s">
        <v>592</v>
      </c>
      <c r="B34" s="711">
        <v>454394108.29451883</v>
      </c>
    </row>
    <row r="35" spans="1:2">
      <c r="A35" s="844" t="s">
        <v>123</v>
      </c>
      <c r="B35" s="711">
        <v>40722182.911199994</v>
      </c>
    </row>
    <row r="36" spans="1:2">
      <c r="A36" s="844" t="s">
        <v>122</v>
      </c>
      <c r="B36" s="711">
        <v>0</v>
      </c>
    </row>
    <row r="37" spans="1:2">
      <c r="A37" s="844" t="s">
        <v>119</v>
      </c>
      <c r="B37" s="711">
        <v>0</v>
      </c>
    </row>
    <row r="38" spans="1:2">
      <c r="A38" s="844" t="s">
        <v>115</v>
      </c>
      <c r="B38" s="711">
        <v>79769619.700000003</v>
      </c>
    </row>
    <row r="39" spans="1:2">
      <c r="A39" s="844" t="s">
        <v>116</v>
      </c>
      <c r="B39" s="711">
        <v>0</v>
      </c>
    </row>
    <row r="40" spans="1:2">
      <c r="A40" s="844" t="s">
        <v>94</v>
      </c>
      <c r="B40" s="711">
        <v>163660514.07960001</v>
      </c>
    </row>
    <row r="41" spans="1:2">
      <c r="A41" s="844" t="s">
        <v>118</v>
      </c>
      <c r="B41" s="711">
        <v>0</v>
      </c>
    </row>
    <row r="42" spans="1:2">
      <c r="A42" s="844" t="s">
        <v>117</v>
      </c>
      <c r="B42" s="711">
        <v>46663573.640599996</v>
      </c>
    </row>
    <row r="43" spans="1:2">
      <c r="A43" s="844" t="s">
        <v>97</v>
      </c>
      <c r="B43" s="711">
        <v>0</v>
      </c>
    </row>
    <row r="44" spans="1:2">
      <c r="A44" s="844" t="s">
        <v>129</v>
      </c>
      <c r="B44" s="711">
        <v>0</v>
      </c>
    </row>
    <row r="45" spans="1:2">
      <c r="A45" s="844" t="s">
        <v>128</v>
      </c>
      <c r="B45" s="711">
        <v>0</v>
      </c>
    </row>
    <row r="46" spans="1:2">
      <c r="A46" s="844" t="s">
        <v>130</v>
      </c>
      <c r="B46" s="711">
        <v>0</v>
      </c>
    </row>
    <row r="47" spans="1:2">
      <c r="A47" s="844" t="s">
        <v>121</v>
      </c>
      <c r="B47" s="711">
        <v>0</v>
      </c>
    </row>
    <row r="48" spans="1:2">
      <c r="A48" s="844" t="s">
        <v>101</v>
      </c>
      <c r="B48" s="711">
        <v>62805600.021501839</v>
      </c>
    </row>
    <row r="49" spans="1:2">
      <c r="A49" s="844" t="s">
        <v>100</v>
      </c>
      <c r="B49" s="711">
        <v>0</v>
      </c>
    </row>
    <row r="50" spans="1:2">
      <c r="A50" s="844" t="s">
        <v>120</v>
      </c>
      <c r="B50" s="711">
        <v>60772617.94161693</v>
      </c>
    </row>
    <row r="51" spans="1:2">
      <c r="A51" s="844" t="s">
        <v>124</v>
      </c>
      <c r="B51" s="711">
        <v>0</v>
      </c>
    </row>
    <row r="52" spans="1:2">
      <c r="A52" s="844" t="s">
        <v>125</v>
      </c>
      <c r="B52" s="711">
        <v>0</v>
      </c>
    </row>
    <row r="53" spans="1:2">
      <c r="A53" s="844" t="s">
        <v>126</v>
      </c>
      <c r="B53" s="711">
        <v>0</v>
      </c>
    </row>
    <row r="54" spans="1:2">
      <c r="A54" s="844" t="s">
        <v>127</v>
      </c>
      <c r="B54" s="711">
        <v>0</v>
      </c>
    </row>
    <row r="55" spans="1:2">
      <c r="A55" s="693" t="s">
        <v>188</v>
      </c>
      <c r="B55" s="711">
        <v>850700350.47039998</v>
      </c>
    </row>
    <row r="56" spans="1:2">
      <c r="A56" s="844" t="s">
        <v>72</v>
      </c>
      <c r="B56" s="711">
        <v>370576178.1936</v>
      </c>
    </row>
    <row r="57" spans="1:2">
      <c r="A57" s="844" t="s">
        <v>531</v>
      </c>
      <c r="B57" s="711">
        <v>15893305.01</v>
      </c>
    </row>
    <row r="58" spans="1:2">
      <c r="A58" s="844" t="s">
        <v>75</v>
      </c>
      <c r="B58" s="711">
        <v>15788502.3168</v>
      </c>
    </row>
    <row r="59" spans="1:2">
      <c r="A59" s="844" t="s">
        <v>74</v>
      </c>
      <c r="B59" s="711">
        <v>448442364.94999999</v>
      </c>
    </row>
    <row r="60" spans="1:2">
      <c r="A60" s="844" t="s">
        <v>77</v>
      </c>
      <c r="B60" s="711">
        <v>0</v>
      </c>
    </row>
    <row r="61" spans="1:2">
      <c r="A61" s="844" t="s">
        <v>78</v>
      </c>
      <c r="B61" s="711">
        <v>0</v>
      </c>
    </row>
    <row r="62" spans="1:2">
      <c r="A62" s="844" t="s">
        <v>73</v>
      </c>
      <c r="B62" s="711">
        <v>0</v>
      </c>
    </row>
    <row r="63" spans="1:2">
      <c r="A63" s="693" t="s">
        <v>79</v>
      </c>
      <c r="B63" s="711">
        <v>27682702.400000002</v>
      </c>
    </row>
    <row r="64" spans="1:2">
      <c r="A64" s="844" t="s">
        <v>80</v>
      </c>
      <c r="B64" s="711">
        <v>0</v>
      </c>
    </row>
    <row r="65" spans="1:2">
      <c r="A65" s="844" t="s">
        <v>81</v>
      </c>
      <c r="B65" s="711">
        <v>27682702.400000002</v>
      </c>
    </row>
    <row r="66" spans="1:2">
      <c r="A66" s="844" t="s">
        <v>82</v>
      </c>
      <c r="B66" s="711">
        <v>0</v>
      </c>
    </row>
    <row r="67" spans="1:2">
      <c r="A67" s="693" t="s">
        <v>38</v>
      </c>
      <c r="B67" s="711">
        <v>1424667049.4394</v>
      </c>
    </row>
    <row r="68" spans="1:2">
      <c r="A68" s="844" t="s">
        <v>189</v>
      </c>
      <c r="B68" s="711">
        <v>8157348.0999999996</v>
      </c>
    </row>
    <row r="69" spans="1:2">
      <c r="A69" s="844" t="s">
        <v>39</v>
      </c>
      <c r="B69" s="711">
        <v>425969232.54079998</v>
      </c>
    </row>
    <row r="70" spans="1:2">
      <c r="A70" s="844" t="s">
        <v>41</v>
      </c>
      <c r="B70" s="711">
        <v>0</v>
      </c>
    </row>
    <row r="71" spans="1:2">
      <c r="A71" s="844" t="s">
        <v>40</v>
      </c>
      <c r="B71" s="711">
        <v>0</v>
      </c>
    </row>
    <row r="72" spans="1:2">
      <c r="A72" s="844" t="s">
        <v>42</v>
      </c>
      <c r="B72" s="711">
        <v>638971437.34799993</v>
      </c>
    </row>
    <row r="73" spans="1:2">
      <c r="A73" s="844" t="s">
        <v>43</v>
      </c>
      <c r="B73" s="711">
        <v>0</v>
      </c>
    </row>
    <row r="74" spans="1:2">
      <c r="A74" s="844" t="s">
        <v>44</v>
      </c>
      <c r="B74" s="711">
        <v>351569031.45059997</v>
      </c>
    </row>
    <row r="75" spans="1:2">
      <c r="A75" s="844" t="s">
        <v>45</v>
      </c>
      <c r="B75" s="711">
        <v>0</v>
      </c>
    </row>
    <row r="76" spans="1:2">
      <c r="A76" s="844" t="s">
        <v>47</v>
      </c>
      <c r="B76" s="711">
        <v>0</v>
      </c>
    </row>
    <row r="77" spans="1:2">
      <c r="A77" s="844" t="s">
        <v>46</v>
      </c>
      <c r="B77" s="711">
        <v>0</v>
      </c>
    </row>
    <row r="78" spans="1:2">
      <c r="A78" s="844" t="s">
        <v>48</v>
      </c>
      <c r="B78" s="711">
        <v>0</v>
      </c>
    </row>
    <row r="79" spans="1:2">
      <c r="A79" s="844" t="s">
        <v>49</v>
      </c>
      <c r="B79" s="711">
        <v>0</v>
      </c>
    </row>
    <row r="80" spans="1:2">
      <c r="A80" s="693" t="s">
        <v>556</v>
      </c>
      <c r="B80" s="711">
        <v>8360347147.2268848</v>
      </c>
    </row>
    <row r="82" spans="2:2">
      <c r="B82">
        <f>GETPIVOTDATA("ม.ค.-64",$A$3)-'Revenue (Baht)'!E3</f>
        <v>79769619.699998856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E2"/>
  <sheetViews>
    <sheetView workbookViewId="0">
      <selection activeCell="E39" sqref="E39"/>
    </sheetView>
  </sheetViews>
  <sheetFormatPr defaultRowHeight="14.5"/>
  <cols>
    <col min="2" max="3" width="15.453125" customWidth="1"/>
    <col min="4" max="5" width="16.36328125" customWidth="1"/>
  </cols>
  <sheetData>
    <row r="1" spans="1:5">
      <c r="B1" s="863" t="s">
        <v>601</v>
      </c>
      <c r="C1" s="863" t="s">
        <v>602</v>
      </c>
      <c r="D1" s="863" t="s">
        <v>603</v>
      </c>
      <c r="E1" s="863" t="s">
        <v>604</v>
      </c>
    </row>
    <row r="2" spans="1:5">
      <c r="A2" s="787">
        <v>44197</v>
      </c>
      <c r="B2" s="892">
        <f>'Revenue (Baht)'!E3</f>
        <v>8280577527.526886</v>
      </c>
      <c r="C2" s="892">
        <f>'Margin (Baht)'!E3</f>
        <v>1467.0966900568865</v>
      </c>
      <c r="D2" s="892">
        <f>B2/10^6</f>
        <v>8280.5775275268861</v>
      </c>
      <c r="E2" s="892">
        <f>C2/10^6</f>
        <v>1.4670966900568864E-3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/>
  </sheetPr>
  <dimension ref="A2:P65"/>
  <sheetViews>
    <sheetView zoomScale="85" zoomScaleNormal="85" workbookViewId="0">
      <selection activeCell="H27" sqref="H27"/>
    </sheetView>
  </sheetViews>
  <sheetFormatPr defaultRowHeight="14.5"/>
  <cols>
    <col min="1" max="1" width="13.90625" bestFit="1" customWidth="1"/>
    <col min="2" max="2" width="19" bestFit="1" customWidth="1"/>
    <col min="3" max="3" width="19.1796875" bestFit="1" customWidth="1"/>
    <col min="4" max="4" width="19" bestFit="1" customWidth="1"/>
    <col min="5" max="5" width="19.6328125" bestFit="1" customWidth="1"/>
    <col min="6" max="6" width="19.1796875" bestFit="1" customWidth="1"/>
    <col min="7" max="11" width="19" bestFit="1" customWidth="1"/>
    <col min="12" max="12" width="19.1796875" bestFit="1" customWidth="1"/>
    <col min="13" max="13" width="18.90625" bestFit="1" customWidth="1"/>
    <col min="14" max="14" width="23.08984375" bestFit="1" customWidth="1"/>
    <col min="15" max="15" width="13.90625" bestFit="1" customWidth="1"/>
    <col min="16" max="16" width="14.6328125" bestFit="1" customWidth="1"/>
    <col min="17" max="27" width="17.08984375" bestFit="1" customWidth="1"/>
  </cols>
  <sheetData>
    <row r="2" spans="1:16">
      <c r="A2" s="788" t="s">
        <v>576</v>
      </c>
    </row>
    <row r="3" spans="1:16">
      <c r="A3" s="748" t="s">
        <v>555</v>
      </c>
      <c r="B3" t="s">
        <v>655</v>
      </c>
      <c r="C3" t="s">
        <v>656</v>
      </c>
      <c r="D3" t="s">
        <v>657</v>
      </c>
      <c r="E3" t="s">
        <v>658</v>
      </c>
      <c r="F3" t="s">
        <v>659</v>
      </c>
      <c r="G3" t="s">
        <v>660</v>
      </c>
      <c r="H3" t="s">
        <v>661</v>
      </c>
      <c r="I3" t="s">
        <v>662</v>
      </c>
      <c r="J3" t="s">
        <v>663</v>
      </c>
      <c r="K3" t="s">
        <v>664</v>
      </c>
      <c r="L3" t="s">
        <v>665</v>
      </c>
      <c r="M3" t="s">
        <v>666</v>
      </c>
      <c r="O3" s="748" t="s">
        <v>555</v>
      </c>
      <c r="P3" t="s">
        <v>557</v>
      </c>
    </row>
    <row r="4" spans="1:16">
      <c r="A4" s="693" t="s">
        <v>208</v>
      </c>
      <c r="B4" s="706">
        <v>423.0602561447181</v>
      </c>
      <c r="C4" s="706">
        <v>423.08108236599242</v>
      </c>
      <c r="D4" s="706">
        <v>433.47271036470164</v>
      </c>
      <c r="E4" s="706">
        <v>498.33650456838194</v>
      </c>
      <c r="F4" s="706">
        <v>493.30928119331736</v>
      </c>
      <c r="G4" s="706">
        <v>424.37143894891335</v>
      </c>
      <c r="H4" s="706">
        <v>416.03164806671333</v>
      </c>
      <c r="I4" s="706">
        <v>405.06802226522348</v>
      </c>
      <c r="J4" s="706">
        <v>399.10259808327845</v>
      </c>
      <c r="K4" s="706">
        <v>391.5105439221461</v>
      </c>
      <c r="L4" s="706">
        <v>397.42950727817328</v>
      </c>
      <c r="M4" s="706">
        <v>403.50407871548344</v>
      </c>
      <c r="O4" s="693" t="s">
        <v>231</v>
      </c>
      <c r="P4" s="231">
        <v>0</v>
      </c>
    </row>
    <row r="5" spans="1:16">
      <c r="A5" s="693" t="s">
        <v>210</v>
      </c>
      <c r="B5" s="706">
        <v>420.20844344378594</v>
      </c>
      <c r="C5" s="706">
        <v>422.2550506887826</v>
      </c>
      <c r="D5" s="706">
        <v>421.09594412900736</v>
      </c>
      <c r="E5" s="706">
        <v>383.88276423239859</v>
      </c>
      <c r="F5" s="706">
        <v>414.80651393145814</v>
      </c>
      <c r="G5" s="706">
        <v>414.78765986969103</v>
      </c>
      <c r="H5" s="706">
        <v>419.96653904349336</v>
      </c>
      <c r="I5" s="706">
        <v>415.43654520244661</v>
      </c>
      <c r="J5" s="706">
        <v>415.42695435706122</v>
      </c>
      <c r="K5" s="706">
        <v>422.45634302002202</v>
      </c>
      <c r="L5" s="706">
        <v>417.50066377359946</v>
      </c>
      <c r="M5" s="706">
        <v>417.51359911301773</v>
      </c>
      <c r="O5" s="693" t="s">
        <v>133</v>
      </c>
      <c r="P5" s="231">
        <v>0</v>
      </c>
    </row>
    <row r="6" spans="1:16">
      <c r="A6" s="693" t="s">
        <v>209</v>
      </c>
      <c r="B6" s="706">
        <v>629.84613026104864</v>
      </c>
      <c r="C6" s="706">
        <v>591.41372204599395</v>
      </c>
      <c r="D6" s="706">
        <v>630.86746537756903</v>
      </c>
      <c r="E6" s="706">
        <v>532.81541751076384</v>
      </c>
      <c r="F6" s="706">
        <v>520.07869798597198</v>
      </c>
      <c r="G6" s="706">
        <v>505.5485031288888</v>
      </c>
      <c r="H6" s="706">
        <v>460.68386992167387</v>
      </c>
      <c r="I6" s="706">
        <v>438.14936214033503</v>
      </c>
      <c r="J6" s="706">
        <v>447.91105387007832</v>
      </c>
      <c r="K6" s="706">
        <v>460.1587105815795</v>
      </c>
      <c r="L6" s="706">
        <v>469.83570329506983</v>
      </c>
      <c r="M6" s="706">
        <v>483.98668686851721</v>
      </c>
      <c r="O6" s="693" t="s">
        <v>225</v>
      </c>
      <c r="P6" s="231">
        <v>1714.0378712432</v>
      </c>
    </row>
    <row r="7" spans="1:16">
      <c r="A7" s="693" t="s">
        <v>71</v>
      </c>
      <c r="B7" s="706">
        <v>498.54906993638735</v>
      </c>
      <c r="C7" s="706">
        <v>550.74076617443177</v>
      </c>
      <c r="D7" s="706">
        <v>578.06406251941507</v>
      </c>
      <c r="E7" s="706">
        <v>580.66399476265474</v>
      </c>
      <c r="F7" s="706">
        <v>538.48283165023736</v>
      </c>
      <c r="G7" s="706">
        <v>535.43806641821504</v>
      </c>
      <c r="H7" s="706">
        <v>530.84723667335334</v>
      </c>
      <c r="I7" s="706">
        <v>527.02828437546509</v>
      </c>
      <c r="J7" s="706">
        <v>522.05136931917559</v>
      </c>
      <c r="K7" s="706">
        <v>521.60193839747456</v>
      </c>
      <c r="L7" s="706">
        <v>516.27885795277712</v>
      </c>
      <c r="M7" s="706">
        <v>515.43668351366841</v>
      </c>
      <c r="O7" s="693" t="s">
        <v>226</v>
      </c>
      <c r="P7" s="231">
        <v>349.27670110000003</v>
      </c>
    </row>
    <row r="8" spans="1:16">
      <c r="A8" s="693" t="s">
        <v>79</v>
      </c>
      <c r="B8" s="706">
        <v>413.28129999999999</v>
      </c>
      <c r="C8" s="706">
        <v>464.63160000000005</v>
      </c>
      <c r="D8" s="706">
        <v>493.39670000000001</v>
      </c>
      <c r="E8" s="706">
        <v>496.70000000000005</v>
      </c>
      <c r="F8" s="706">
        <v>457</v>
      </c>
      <c r="G8" s="706">
        <v>452</v>
      </c>
      <c r="H8" s="706">
        <v>448</v>
      </c>
      <c r="I8" s="706">
        <v>443</v>
      </c>
      <c r="J8" s="706">
        <v>440</v>
      </c>
      <c r="K8" s="706">
        <v>438</v>
      </c>
      <c r="L8" s="706">
        <v>433</v>
      </c>
      <c r="M8" s="706">
        <v>430</v>
      </c>
      <c r="O8" s="693" t="s">
        <v>227</v>
      </c>
      <c r="P8" s="231">
        <v>209.27570132000002</v>
      </c>
    </row>
    <row r="9" spans="1:16">
      <c r="A9" s="693" t="s">
        <v>640</v>
      </c>
      <c r="B9" s="706">
        <v>652.47821322560071</v>
      </c>
      <c r="C9" s="706">
        <v>698.52308566884972</v>
      </c>
      <c r="D9" s="706">
        <v>540.46592814207315</v>
      </c>
      <c r="E9" s="706">
        <v>606.09210298557491</v>
      </c>
      <c r="F9" s="706">
        <v>571.40712272727274</v>
      </c>
      <c r="G9" s="706">
        <v>551.22732272727274</v>
      </c>
      <c r="H9" s="706">
        <v>539.07383173857329</v>
      </c>
      <c r="I9" s="706">
        <v>542.72622272727278</v>
      </c>
      <c r="J9" s="706">
        <v>544.38740993227987</v>
      </c>
      <c r="K9" s="706">
        <v>540.72990000000004</v>
      </c>
      <c r="L9" s="706">
        <v>553.80862272727279</v>
      </c>
      <c r="M9" s="706">
        <v>559.97332272727272</v>
      </c>
      <c r="O9" s="759" t="s">
        <v>556</v>
      </c>
      <c r="P9" s="231">
        <v>2272.5902736631997</v>
      </c>
    </row>
    <row r="10" spans="1:16">
      <c r="A10" s="693" t="s">
        <v>639</v>
      </c>
      <c r="B10" s="706">
        <v>445.72809999999998</v>
      </c>
      <c r="C10" s="706">
        <v>436.32499999999999</v>
      </c>
      <c r="D10" s="706">
        <v>467.20780000000002</v>
      </c>
      <c r="E10" s="706">
        <v>520.4</v>
      </c>
      <c r="F10" s="706">
        <v>503.29</v>
      </c>
      <c r="G10" s="706">
        <v>432.78500000000003</v>
      </c>
      <c r="H10" s="706">
        <v>422.46</v>
      </c>
      <c r="I10" s="706">
        <v>409.77499999999998</v>
      </c>
      <c r="J10" s="706">
        <v>397.97500000000002</v>
      </c>
      <c r="K10" s="706">
        <v>402.4</v>
      </c>
      <c r="L10" s="706">
        <v>410.07</v>
      </c>
      <c r="M10" s="706">
        <v>407.41500000000002</v>
      </c>
    </row>
    <row r="11" spans="1:16">
      <c r="A11" s="693" t="s">
        <v>641</v>
      </c>
      <c r="B11" s="706">
        <v>584.69479827792816</v>
      </c>
      <c r="C11" s="706">
        <v>628.0850874042186</v>
      </c>
      <c r="D11" s="706">
        <v>616.05405437721367</v>
      </c>
      <c r="E11" s="706">
        <v>576.53740186937523</v>
      </c>
      <c r="F11" s="706">
        <v>548.63660133442056</v>
      </c>
      <c r="G11" s="706">
        <v>517.41279417335352</v>
      </c>
      <c r="H11" s="706">
        <v>531.60070424589378</v>
      </c>
      <c r="I11" s="706">
        <v>506.93073420769576</v>
      </c>
      <c r="J11" s="706">
        <v>493.66875328579215</v>
      </c>
      <c r="K11" s="706">
        <v>481.27927506649849</v>
      </c>
      <c r="L11" s="706">
        <v>507.92197334328984</v>
      </c>
      <c r="M11" s="706">
        <v>513.37329161795503</v>
      </c>
    </row>
    <row r="12" spans="1:16">
      <c r="A12" s="693" t="s">
        <v>556</v>
      </c>
      <c r="B12" s="706">
        <v>508.48078891118359</v>
      </c>
      <c r="C12" s="706">
        <v>526.88192429353364</v>
      </c>
      <c r="D12" s="706">
        <v>522.57808311374754</v>
      </c>
      <c r="E12" s="706">
        <v>524.42852324114369</v>
      </c>
      <c r="F12" s="706">
        <v>505.87638110283478</v>
      </c>
      <c r="G12" s="706">
        <v>479.19634815829181</v>
      </c>
      <c r="H12" s="706">
        <v>471.08297871121255</v>
      </c>
      <c r="I12" s="706">
        <v>461.01427136480487</v>
      </c>
      <c r="J12" s="706">
        <v>457.56539235595818</v>
      </c>
      <c r="K12" s="706">
        <v>457.26708887346507</v>
      </c>
      <c r="L12" s="706">
        <v>463.2306660462728</v>
      </c>
      <c r="M12" s="706">
        <v>466.40033281948934</v>
      </c>
    </row>
    <row r="13" spans="1:16">
      <c r="A13" s="693"/>
    </row>
    <row r="14" spans="1:16">
      <c r="A14" s="748" t="s">
        <v>555</v>
      </c>
      <c r="B14" t="s">
        <v>655</v>
      </c>
      <c r="C14" t="s">
        <v>656</v>
      </c>
      <c r="D14" t="s">
        <v>657</v>
      </c>
      <c r="E14" t="s">
        <v>658</v>
      </c>
      <c r="F14" t="s">
        <v>659</v>
      </c>
      <c r="G14" t="s">
        <v>660</v>
      </c>
      <c r="H14" t="s">
        <v>661</v>
      </c>
      <c r="I14" t="s">
        <v>662</v>
      </c>
      <c r="J14" t="s">
        <v>663</v>
      </c>
      <c r="K14" t="s">
        <v>664</v>
      </c>
      <c r="L14" t="s">
        <v>665</v>
      </c>
      <c r="M14" t="s">
        <v>666</v>
      </c>
    </row>
    <row r="15" spans="1:16">
      <c r="A15" s="693" t="s">
        <v>208</v>
      </c>
      <c r="B15" s="706">
        <v>380.88580957265947</v>
      </c>
      <c r="C15" s="706">
        <v>382.63462634068782</v>
      </c>
      <c r="D15" s="706">
        <v>400.61935029921511</v>
      </c>
      <c r="E15" s="706">
        <v>418.8989929972758</v>
      </c>
      <c r="F15" s="706">
        <v>418.37253503267186</v>
      </c>
      <c r="G15" s="706">
        <v>423.98109443552914</v>
      </c>
      <c r="H15" s="706">
        <v>437.387002640079</v>
      </c>
      <c r="I15" s="706">
        <v>435.09967520323357</v>
      </c>
      <c r="J15" s="706">
        <v>434.37642981758557</v>
      </c>
      <c r="K15" s="706">
        <v>444.6469107977357</v>
      </c>
      <c r="L15" s="706">
        <v>438.07064569942287</v>
      </c>
      <c r="M15" s="706">
        <v>435.24478938004717</v>
      </c>
    </row>
    <row r="16" spans="1:16">
      <c r="A16" s="693" t="s">
        <v>215</v>
      </c>
      <c r="B16" s="706">
        <v>409.12177422070044</v>
      </c>
      <c r="C16" s="706">
        <v>443.31237375634237</v>
      </c>
      <c r="D16" s="706">
        <v>447.14750513252227</v>
      </c>
      <c r="E16" s="706">
        <v>517.83745031378646</v>
      </c>
      <c r="F16" s="706">
        <v>473.34748335566559</v>
      </c>
      <c r="G16" s="706">
        <v>476.13235006542845</v>
      </c>
      <c r="H16" s="706">
        <v>559.44464705703797</v>
      </c>
      <c r="I16" s="706">
        <v>468.93726349761266</v>
      </c>
      <c r="J16" s="706">
        <v>474.50621792671325</v>
      </c>
      <c r="K16" s="706">
        <v>481.53632457769663</v>
      </c>
      <c r="L16" s="706">
        <v>477.39011242719084</v>
      </c>
      <c r="M16" s="706">
        <v>472.33222558481867</v>
      </c>
    </row>
    <row r="17" spans="1:14">
      <c r="A17" s="693" t="s">
        <v>214</v>
      </c>
      <c r="B17" s="706">
        <v>403.00358647838164</v>
      </c>
      <c r="C17" s="706">
        <v>431.45561409032024</v>
      </c>
      <c r="D17" s="706">
        <v>448.33671935909706</v>
      </c>
      <c r="E17" s="706">
        <v>491.20760784459651</v>
      </c>
      <c r="F17" s="706">
        <v>465.34214042262897</v>
      </c>
      <c r="G17" s="706">
        <v>468.8025727620672</v>
      </c>
      <c r="H17" s="706">
        <v>543.94592225339329</v>
      </c>
      <c r="I17" s="706">
        <v>458.65777348518554</v>
      </c>
      <c r="J17" s="706">
        <v>471.85284805149672</v>
      </c>
      <c r="K17" s="706">
        <v>487.21858460498993</v>
      </c>
      <c r="L17" s="706">
        <v>477.02304357084768</v>
      </c>
      <c r="M17" s="706">
        <v>470.98041231321326</v>
      </c>
      <c r="N17" s="711"/>
    </row>
    <row r="18" spans="1:14">
      <c r="A18" s="693" t="s">
        <v>71</v>
      </c>
      <c r="B18" s="706">
        <v>365.16977460686041</v>
      </c>
      <c r="C18" s="706">
        <v>376.61751954621263</v>
      </c>
      <c r="D18" s="706">
        <v>379.36118723069512</v>
      </c>
      <c r="E18" s="706">
        <v>396.40813715974605</v>
      </c>
      <c r="F18" s="706">
        <v>396.09737353185551</v>
      </c>
      <c r="G18" s="706">
        <v>401.74613757475043</v>
      </c>
      <c r="H18" s="706">
        <v>415.26019969479421</v>
      </c>
      <c r="I18" s="706">
        <v>412.41282091175839</v>
      </c>
      <c r="J18" s="706">
        <v>412.18242128769026</v>
      </c>
      <c r="K18" s="706">
        <v>422.56658288823132</v>
      </c>
      <c r="L18" s="706">
        <v>415.65724450723286</v>
      </c>
      <c r="M18" s="706">
        <v>412.95908017722752</v>
      </c>
    </row>
    <row r="19" spans="1:14">
      <c r="A19" s="693" t="s">
        <v>79</v>
      </c>
      <c r="B19" s="706">
        <v>366.244665644468</v>
      </c>
      <c r="C19" s="706">
        <v>367.80221905648477</v>
      </c>
      <c r="D19" s="706">
        <v>379.36118723069501</v>
      </c>
      <c r="E19" s="706">
        <v>396.4081371597461</v>
      </c>
      <c r="F19" s="706">
        <v>396.09737353185551</v>
      </c>
      <c r="G19" s="706">
        <v>401.74613757475055</v>
      </c>
      <c r="H19" s="706">
        <v>415.26019969479421</v>
      </c>
      <c r="I19" s="706">
        <v>412.41282091175844</v>
      </c>
      <c r="J19" s="706">
        <v>412.18242128769037</v>
      </c>
      <c r="K19" s="706">
        <v>422.56658288823132</v>
      </c>
      <c r="L19" s="706">
        <v>415.65724450723286</v>
      </c>
      <c r="M19" s="706">
        <v>412.95908017722752</v>
      </c>
    </row>
    <row r="20" spans="1:14">
      <c r="A20" s="693" t="s">
        <v>38</v>
      </c>
      <c r="B20" s="706">
        <v>405.35407010620753</v>
      </c>
      <c r="C20" s="706">
        <v>440.82282331115636</v>
      </c>
      <c r="D20" s="706">
        <v>455.4227737152703</v>
      </c>
      <c r="E20" s="706">
        <v>498.70455979043982</v>
      </c>
      <c r="F20" s="706">
        <v>472.76719425623446</v>
      </c>
      <c r="G20" s="706">
        <v>476.21422504899351</v>
      </c>
      <c r="H20" s="706">
        <v>551.32152323515504</v>
      </c>
      <c r="I20" s="706">
        <v>466.22005824901049</v>
      </c>
      <c r="J20" s="706">
        <v>479.25085089479524</v>
      </c>
      <c r="K20" s="706">
        <v>494.57869390815813</v>
      </c>
      <c r="L20" s="706">
        <v>484.49417730157762</v>
      </c>
      <c r="M20" s="706">
        <v>478.40898204748646</v>
      </c>
    </row>
    <row r="21" spans="1:14">
      <c r="A21" s="693" t="s">
        <v>556</v>
      </c>
      <c r="B21" s="706">
        <v>388.29661343821294</v>
      </c>
      <c r="C21" s="706">
        <v>407.10752935020076</v>
      </c>
      <c r="D21" s="706">
        <v>418.37478716124923</v>
      </c>
      <c r="E21" s="706">
        <v>453.2441475442651</v>
      </c>
      <c r="F21" s="706">
        <v>437.00401668848536</v>
      </c>
      <c r="G21" s="706">
        <v>441.43708624358652</v>
      </c>
      <c r="H21" s="706">
        <v>487.10324909587558</v>
      </c>
      <c r="I21" s="706">
        <v>442.29006870975985</v>
      </c>
      <c r="J21" s="706">
        <v>447.39186487766187</v>
      </c>
      <c r="K21" s="706">
        <v>458.85227994417386</v>
      </c>
      <c r="L21" s="706">
        <v>451.38207800225081</v>
      </c>
      <c r="M21" s="706">
        <v>447.1474282800034</v>
      </c>
    </row>
    <row r="22" spans="1:14">
      <c r="A22" s="693"/>
      <c r="B22" s="706"/>
    </row>
    <row r="23" spans="1:14">
      <c r="A23" s="789" t="s">
        <v>574</v>
      </c>
    </row>
    <row r="24" spans="1:14">
      <c r="A24" s="748" t="s">
        <v>555</v>
      </c>
      <c r="B24" t="s">
        <v>557</v>
      </c>
      <c r="D24" s="787"/>
      <c r="E24" s="787"/>
      <c r="F24" s="787"/>
      <c r="G24" s="787"/>
      <c r="H24" s="787"/>
      <c r="I24" s="787"/>
      <c r="J24" s="787"/>
      <c r="K24" s="787"/>
      <c r="L24" s="787"/>
      <c r="M24" s="787"/>
    </row>
    <row r="25" spans="1:14">
      <c r="A25" s="693" t="s">
        <v>208</v>
      </c>
      <c r="B25" s="706">
        <v>42.174446572058628</v>
      </c>
    </row>
    <row r="26" spans="1:14">
      <c r="A26" s="693" t="s">
        <v>215</v>
      </c>
      <c r="B26" s="706">
        <v>13.031222756457225</v>
      </c>
    </row>
    <row r="27" spans="1:14">
      <c r="A27" s="693" t="s">
        <v>214</v>
      </c>
      <c r="B27" s="706">
        <v>223.60970121562019</v>
      </c>
    </row>
    <row r="28" spans="1:14">
      <c r="A28" s="693" t="s">
        <v>71</v>
      </c>
      <c r="B28" s="706">
        <v>133.37929532952694</v>
      </c>
    </row>
    <row r="29" spans="1:14">
      <c r="A29" s="693" t="s">
        <v>79</v>
      </c>
      <c r="B29" s="706">
        <v>47.036634355531987</v>
      </c>
    </row>
    <row r="30" spans="1:14">
      <c r="A30" s="693" t="s">
        <v>38</v>
      </c>
      <c r="B30" s="706">
        <v>247.12414311939318</v>
      </c>
    </row>
    <row r="31" spans="1:14">
      <c r="A31" s="693" t="s">
        <v>556</v>
      </c>
      <c r="B31" s="706">
        <v>706.3554433485881</v>
      </c>
    </row>
    <row r="55" spans="1:16">
      <c r="A55" s="748" t="s">
        <v>555</v>
      </c>
      <c r="B55" t="s">
        <v>557</v>
      </c>
      <c r="C55" t="s">
        <v>558</v>
      </c>
      <c r="D55" t="s">
        <v>559</v>
      </c>
      <c r="E55" t="s">
        <v>560</v>
      </c>
      <c r="F55" t="s">
        <v>561</v>
      </c>
      <c r="G55" t="s">
        <v>562</v>
      </c>
      <c r="H55" t="s">
        <v>563</v>
      </c>
      <c r="I55" t="s">
        <v>564</v>
      </c>
      <c r="J55" t="s">
        <v>565</v>
      </c>
      <c r="K55" t="s">
        <v>566</v>
      </c>
      <c r="O55" s="748" t="s">
        <v>555</v>
      </c>
      <c r="P55" t="s">
        <v>557</v>
      </c>
    </row>
    <row r="56" spans="1:16">
      <c r="A56" s="785" t="s">
        <v>231</v>
      </c>
      <c r="B56" s="706">
        <v>0</v>
      </c>
      <c r="C56" s="706">
        <v>0</v>
      </c>
      <c r="D56" s="706">
        <v>0</v>
      </c>
      <c r="E56" s="706">
        <v>0</v>
      </c>
      <c r="F56" s="706">
        <v>0</v>
      </c>
      <c r="G56" s="706">
        <v>0</v>
      </c>
      <c r="H56" s="706">
        <v>0</v>
      </c>
      <c r="I56" s="706">
        <v>0</v>
      </c>
      <c r="J56" s="706">
        <v>0</v>
      </c>
      <c r="K56" s="706">
        <v>0</v>
      </c>
      <c r="O56" s="693" t="s">
        <v>231</v>
      </c>
      <c r="P56" s="231">
        <v>0</v>
      </c>
    </row>
    <row r="57" spans="1:16">
      <c r="A57" s="785" t="s">
        <v>232</v>
      </c>
      <c r="B57" s="706">
        <v>0</v>
      </c>
      <c r="C57" s="706">
        <v>0</v>
      </c>
      <c r="D57" s="706">
        <v>0</v>
      </c>
      <c r="E57" s="706">
        <v>0</v>
      </c>
      <c r="F57" s="706">
        <v>0</v>
      </c>
      <c r="G57" s="706">
        <v>0</v>
      </c>
      <c r="H57" s="706">
        <v>0</v>
      </c>
      <c r="I57" s="706">
        <v>0</v>
      </c>
      <c r="J57" s="706">
        <v>0</v>
      </c>
      <c r="K57" s="706">
        <v>0</v>
      </c>
      <c r="O57" s="693" t="s">
        <v>225</v>
      </c>
      <c r="P57" s="231">
        <v>-5.4058990310287056</v>
      </c>
    </row>
    <row r="58" spans="1:16">
      <c r="A58" s="785" t="s">
        <v>133</v>
      </c>
      <c r="B58" s="706">
        <v>0</v>
      </c>
      <c r="C58" s="706">
        <v>0</v>
      </c>
      <c r="D58" s="706">
        <v>0</v>
      </c>
      <c r="E58" s="706">
        <v>0</v>
      </c>
      <c r="F58" s="706">
        <v>0</v>
      </c>
      <c r="G58" s="706">
        <v>0</v>
      </c>
      <c r="H58" s="706">
        <v>0</v>
      </c>
      <c r="I58" s="706">
        <v>0</v>
      </c>
      <c r="J58" s="706">
        <v>0</v>
      </c>
      <c r="K58" s="706">
        <v>0</v>
      </c>
      <c r="O58" s="693" t="s">
        <v>226</v>
      </c>
      <c r="P58" s="231">
        <v>-412.20848993975039</v>
      </c>
    </row>
    <row r="59" spans="1:16">
      <c r="A59" s="785" t="s">
        <v>225</v>
      </c>
      <c r="B59" s="706">
        <v>123451.55799999999</v>
      </c>
      <c r="C59" s="706">
        <v>93462.387000000002</v>
      </c>
      <c r="D59" s="706">
        <v>115840.262</v>
      </c>
      <c r="E59" s="706">
        <v>145855.42811000001</v>
      </c>
      <c r="F59" s="706">
        <v>149318.66387000002</v>
      </c>
      <c r="G59" s="706">
        <v>145403.35404999999</v>
      </c>
      <c r="H59" s="706">
        <v>150446.5974</v>
      </c>
      <c r="I59" s="706">
        <v>151182.64504999999</v>
      </c>
      <c r="J59" s="706">
        <v>149497.45454000001</v>
      </c>
      <c r="K59" s="706">
        <v>150507.17173</v>
      </c>
      <c r="O59" s="693" t="s">
        <v>227</v>
      </c>
      <c r="P59" s="231">
        <v>-246.98246561404528</v>
      </c>
    </row>
    <row r="60" spans="1:16">
      <c r="A60" s="785" t="s">
        <v>229</v>
      </c>
      <c r="B60" s="706">
        <v>1544.4010000000001</v>
      </c>
      <c r="C60" s="706">
        <v>2710.7629999999999</v>
      </c>
      <c r="D60" s="706">
        <v>4262.0950000000003</v>
      </c>
      <c r="E60" s="706">
        <v>4200</v>
      </c>
      <c r="F60" s="706">
        <v>4200</v>
      </c>
      <c r="G60" s="706">
        <v>4200</v>
      </c>
      <c r="H60" s="706">
        <v>4200</v>
      </c>
      <c r="I60" s="706">
        <v>4200</v>
      </c>
      <c r="J60" s="706">
        <v>4200</v>
      </c>
      <c r="K60" s="706">
        <v>4200</v>
      </c>
      <c r="O60" s="693" t="s">
        <v>556</v>
      </c>
      <c r="P60" s="231">
        <v>-664.59685458482431</v>
      </c>
    </row>
    <row r="61" spans="1:16">
      <c r="A61" s="785" t="s">
        <v>226</v>
      </c>
      <c r="B61" s="706">
        <v>25189.797999999999</v>
      </c>
      <c r="C61" s="706">
        <v>24790.367999999999</v>
      </c>
      <c r="D61" s="706">
        <v>25222.252</v>
      </c>
      <c r="E61" s="706">
        <v>0</v>
      </c>
      <c r="F61" s="706">
        <v>0</v>
      </c>
      <c r="G61" s="706">
        <v>0</v>
      </c>
      <c r="H61" s="706">
        <v>27000</v>
      </c>
      <c r="I61" s="706">
        <v>0</v>
      </c>
      <c r="J61" s="706">
        <v>0</v>
      </c>
      <c r="K61" s="706">
        <v>0</v>
      </c>
    </row>
    <row r="62" spans="1:16">
      <c r="A62" s="785" t="s">
        <v>230</v>
      </c>
      <c r="B62" s="706">
        <v>0</v>
      </c>
      <c r="C62" s="706">
        <v>0</v>
      </c>
      <c r="D62" s="706">
        <v>0</v>
      </c>
      <c r="E62" s="706">
        <v>0</v>
      </c>
      <c r="F62" s="706">
        <v>0</v>
      </c>
      <c r="G62" s="706">
        <v>0</v>
      </c>
      <c r="H62" s="706">
        <v>0</v>
      </c>
      <c r="I62" s="706">
        <v>0</v>
      </c>
      <c r="J62" s="706">
        <v>0</v>
      </c>
      <c r="K62" s="706">
        <v>0</v>
      </c>
    </row>
    <row r="63" spans="1:16">
      <c r="A63" s="785" t="s">
        <v>227</v>
      </c>
      <c r="B63" s="706">
        <v>15092.941000000001</v>
      </c>
      <c r="C63" s="706">
        <v>14616.909</v>
      </c>
      <c r="D63" s="706">
        <v>16650.073</v>
      </c>
      <c r="E63" s="706">
        <v>0</v>
      </c>
      <c r="F63" s="706">
        <v>0</v>
      </c>
      <c r="G63" s="706">
        <v>0</v>
      </c>
      <c r="H63" s="706">
        <v>7633.1829100000023</v>
      </c>
      <c r="I63" s="706">
        <v>0</v>
      </c>
      <c r="J63" s="706">
        <v>0</v>
      </c>
      <c r="K63" s="706">
        <v>0</v>
      </c>
    </row>
    <row r="64" spans="1:16">
      <c r="A64" s="785" t="s">
        <v>228</v>
      </c>
      <c r="B64" s="706">
        <v>1882.905</v>
      </c>
      <c r="C64" s="706">
        <v>0</v>
      </c>
      <c r="D64" s="706">
        <v>10282.893</v>
      </c>
      <c r="E64" s="706">
        <v>9170</v>
      </c>
      <c r="F64" s="706">
        <v>11220</v>
      </c>
      <c r="G64" s="706">
        <v>11100</v>
      </c>
      <c r="H64" s="706">
        <v>10880</v>
      </c>
      <c r="I64" s="706">
        <v>10880</v>
      </c>
      <c r="J64" s="706">
        <v>10880</v>
      </c>
      <c r="K64" s="706">
        <v>10880</v>
      </c>
    </row>
    <row r="65" spans="1:11">
      <c r="A65" s="785" t="s">
        <v>556</v>
      </c>
      <c r="B65" s="706">
        <v>167161.60299999997</v>
      </c>
      <c r="C65" s="706">
        <v>135580.42700000003</v>
      </c>
      <c r="D65" s="706">
        <v>172257.57500000001</v>
      </c>
      <c r="E65" s="706">
        <v>159225.42811000001</v>
      </c>
      <c r="F65" s="706">
        <v>164738.66387000002</v>
      </c>
      <c r="G65" s="706">
        <v>160703.35404999999</v>
      </c>
      <c r="H65" s="706">
        <v>200159.78031</v>
      </c>
      <c r="I65" s="706">
        <v>166262.64504999999</v>
      </c>
      <c r="J65" s="706">
        <v>164577.45454000001</v>
      </c>
      <c r="K65" s="706">
        <v>165587.17173</v>
      </c>
    </row>
  </sheetData>
  <pageMargins left="0.7" right="0.7" top="0.75" bottom="0.75" header="0.3" footer="0.3"/>
  <pageSetup orientation="portrait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tabColor theme="8"/>
  </sheetPr>
  <dimension ref="C2:P61"/>
  <sheetViews>
    <sheetView zoomScale="80" zoomScaleNormal="80" workbookViewId="0">
      <selection activeCell="V21" sqref="V21"/>
    </sheetView>
  </sheetViews>
  <sheetFormatPr defaultRowHeight="14.5"/>
  <cols>
    <col min="1" max="2" width="1.6328125" customWidth="1"/>
    <col min="3" max="3" width="33.81640625" customWidth="1"/>
    <col min="4" max="16" width="11.1796875" customWidth="1"/>
  </cols>
  <sheetData>
    <row r="2" spans="3:16">
      <c r="C2" s="788" t="s">
        <v>194</v>
      </c>
    </row>
    <row r="3" spans="3:16">
      <c r="D3" s="138">
        <v>44197</v>
      </c>
      <c r="E3" s="138">
        <v>44228</v>
      </c>
      <c r="F3" s="138">
        <v>44256</v>
      </c>
      <c r="G3" s="138">
        <v>44287</v>
      </c>
      <c r="H3" s="138">
        <v>44317</v>
      </c>
      <c r="I3" s="138">
        <v>44348</v>
      </c>
      <c r="J3" s="138">
        <v>44378</v>
      </c>
      <c r="K3" s="138">
        <v>44409</v>
      </c>
      <c r="L3" s="138">
        <v>44440</v>
      </c>
      <c r="M3" s="138">
        <v>44470</v>
      </c>
      <c r="N3" s="138">
        <v>44501</v>
      </c>
      <c r="O3" s="138">
        <v>44531</v>
      </c>
      <c r="P3" s="139">
        <v>2021</v>
      </c>
    </row>
    <row r="4" spans="3:16">
      <c r="C4" s="28" t="s">
        <v>195</v>
      </c>
      <c r="D4" s="928">
        <v>50</v>
      </c>
      <c r="E4" s="928">
        <v>49.9</v>
      </c>
      <c r="F4" s="928">
        <v>50</v>
      </c>
      <c r="G4" s="928">
        <v>50</v>
      </c>
      <c r="H4" s="928">
        <v>49.9</v>
      </c>
      <c r="I4" s="928">
        <v>49.8</v>
      </c>
      <c r="J4" s="928">
        <v>50.4</v>
      </c>
      <c r="K4" s="928">
        <v>51</v>
      </c>
      <c r="L4" s="928">
        <v>51.3</v>
      </c>
      <c r="M4" s="928">
        <v>52</v>
      </c>
      <c r="N4" s="928">
        <v>52.7</v>
      </c>
      <c r="O4" s="928">
        <v>52.5</v>
      </c>
      <c r="P4" s="928">
        <v>50.791666666666664</v>
      </c>
    </row>
    <row r="5" spans="3:16">
      <c r="C5" s="28" t="s">
        <v>621</v>
      </c>
      <c r="D5" s="928">
        <v>30.01</v>
      </c>
      <c r="E5" s="928">
        <v>30.07</v>
      </c>
      <c r="F5" s="928">
        <v>30.13</v>
      </c>
      <c r="G5" s="928">
        <v>30.06</v>
      </c>
      <c r="H5" s="928">
        <v>30.06</v>
      </c>
      <c r="I5" s="928">
        <v>30.06</v>
      </c>
      <c r="J5" s="928">
        <v>29.99</v>
      </c>
      <c r="K5" s="928">
        <v>29.99</v>
      </c>
      <c r="L5" s="928">
        <v>29.99</v>
      </c>
      <c r="M5" s="928">
        <v>29.91</v>
      </c>
      <c r="N5" s="928">
        <v>29.91</v>
      </c>
      <c r="O5" s="928">
        <v>29.91</v>
      </c>
      <c r="P5" s="928">
        <v>30.007500000000007</v>
      </c>
    </row>
    <row r="6" spans="3:16">
      <c r="C6" s="28" t="s">
        <v>196</v>
      </c>
      <c r="D6" s="928">
        <v>335.99866140152869</v>
      </c>
      <c r="E6" s="928">
        <v>341.83440235566718</v>
      </c>
      <c r="F6" s="928">
        <v>340.89641979210251</v>
      </c>
      <c r="G6" s="928">
        <v>343.94092204098013</v>
      </c>
      <c r="H6" s="928">
        <v>343.92592909324065</v>
      </c>
      <c r="I6" s="928">
        <v>345.07381672151917</v>
      </c>
      <c r="J6" s="928">
        <v>346.4701168245864</v>
      </c>
      <c r="K6" s="928">
        <v>350.55867350984283</v>
      </c>
      <c r="L6" s="928">
        <v>341.91203255257756</v>
      </c>
      <c r="M6" s="928">
        <v>330.61393224179216</v>
      </c>
      <c r="N6" s="928">
        <v>335.97775782128065</v>
      </c>
      <c r="O6" s="928">
        <v>336.37142114555877</v>
      </c>
      <c r="P6" s="928">
        <v>341.13117379172309</v>
      </c>
    </row>
    <row r="7" spans="3:16">
      <c r="C7" s="28" t="s">
        <v>197</v>
      </c>
      <c r="D7" s="928">
        <v>365.95288852393747</v>
      </c>
      <c r="E7" s="928">
        <v>371.72886048481541</v>
      </c>
      <c r="F7" s="928">
        <v>370.73134697243728</v>
      </c>
      <c r="G7" s="928">
        <v>373.84532509964578</v>
      </c>
      <c r="H7" s="928">
        <v>373.83033215190625</v>
      </c>
      <c r="I7" s="928">
        <v>374.97821978018482</v>
      </c>
      <c r="J7" s="928">
        <v>376.44432009045795</v>
      </c>
      <c r="K7" s="928">
        <v>380.53287677571439</v>
      </c>
      <c r="L7" s="928">
        <v>371.88623581844911</v>
      </c>
      <c r="M7" s="928">
        <v>360.6683072315443</v>
      </c>
      <c r="N7" s="928">
        <v>366.0321328110328</v>
      </c>
      <c r="O7" s="928">
        <v>366.42579613531092</v>
      </c>
      <c r="P7" s="928">
        <v>371.08805348961965</v>
      </c>
    </row>
    <row r="8" spans="3:16">
      <c r="C8" s="28" t="s">
        <v>198</v>
      </c>
      <c r="D8" s="928">
        <v>391.63283302535257</v>
      </c>
      <c r="E8" s="928">
        <v>397.35756465799352</v>
      </c>
      <c r="F8" s="928">
        <v>396.30901489435786</v>
      </c>
      <c r="G8" s="928">
        <v>399.48255512251558</v>
      </c>
      <c r="H8" s="928">
        <v>399.46756217477605</v>
      </c>
      <c r="I8" s="928">
        <v>400.61544980305462</v>
      </c>
      <c r="J8" s="928">
        <v>402.14139026343116</v>
      </c>
      <c r="K8" s="928">
        <v>406.2299469486876</v>
      </c>
      <c r="L8" s="928">
        <v>397.58330599142232</v>
      </c>
      <c r="M8" s="928">
        <v>386.43410912012558</v>
      </c>
      <c r="N8" s="928">
        <v>391.79793469961407</v>
      </c>
      <c r="O8" s="928">
        <v>392.1915980238922</v>
      </c>
      <c r="P8" s="928">
        <v>396.77027206043522</v>
      </c>
    </row>
    <row r="9" spans="3:16">
      <c r="C9" s="141" t="s">
        <v>199</v>
      </c>
      <c r="D9" s="929"/>
      <c r="E9" s="929"/>
      <c r="F9" s="929"/>
      <c r="G9" s="929"/>
      <c r="H9" s="929"/>
      <c r="I9" s="929"/>
      <c r="J9" s="929"/>
      <c r="K9" s="929"/>
      <c r="L9" s="929"/>
      <c r="M9" s="929"/>
      <c r="N9" s="929"/>
      <c r="O9" s="929"/>
      <c r="P9" s="929"/>
    </row>
    <row r="11" spans="3:16">
      <c r="C11" s="788" t="s">
        <v>200</v>
      </c>
    </row>
    <row r="12" spans="3:16">
      <c r="D12" s="138">
        <v>44197</v>
      </c>
      <c r="E12" s="138">
        <v>44228</v>
      </c>
      <c r="F12" s="138">
        <v>44256</v>
      </c>
      <c r="G12" s="138">
        <v>44287</v>
      </c>
      <c r="H12" s="138">
        <v>44317</v>
      </c>
      <c r="I12" s="138">
        <v>44348</v>
      </c>
      <c r="J12" s="138">
        <v>44378</v>
      </c>
      <c r="K12" s="138">
        <v>44409</v>
      </c>
      <c r="L12" s="138">
        <v>44440</v>
      </c>
      <c r="M12" s="138">
        <v>44470</v>
      </c>
      <c r="N12" s="138">
        <v>44501</v>
      </c>
      <c r="O12" s="138">
        <v>44531</v>
      </c>
      <c r="P12" s="139">
        <v>2021</v>
      </c>
    </row>
    <row r="13" spans="3:16">
      <c r="C13" s="28" t="s">
        <v>195</v>
      </c>
      <c r="D13" s="928">
        <v>50</v>
      </c>
      <c r="E13" s="928">
        <v>49.9</v>
      </c>
      <c r="F13" s="928">
        <v>50</v>
      </c>
      <c r="G13" s="928">
        <v>50</v>
      </c>
      <c r="H13" s="928">
        <v>49.9</v>
      </c>
      <c r="I13" s="928">
        <v>49.8</v>
      </c>
      <c r="J13" s="928">
        <v>50.4</v>
      </c>
      <c r="K13" s="928">
        <v>51</v>
      </c>
      <c r="L13" s="928">
        <v>51.3</v>
      </c>
      <c r="M13" s="928">
        <v>52</v>
      </c>
      <c r="N13" s="928">
        <v>52.7</v>
      </c>
      <c r="O13" s="928">
        <v>52.5</v>
      </c>
      <c r="P13" s="928">
        <v>50.791666666666664</v>
      </c>
    </row>
    <row r="14" spans="3:16">
      <c r="C14" s="28" t="s">
        <v>621</v>
      </c>
      <c r="D14" s="928">
        <v>30.01</v>
      </c>
      <c r="E14" s="928">
        <v>30.07</v>
      </c>
      <c r="F14" s="928">
        <v>30.13</v>
      </c>
      <c r="G14" s="928">
        <v>30.06</v>
      </c>
      <c r="H14" s="928">
        <v>30.06</v>
      </c>
      <c r="I14" s="928">
        <v>30.06</v>
      </c>
      <c r="J14" s="928">
        <v>29.99</v>
      </c>
      <c r="K14" s="928">
        <v>29.99</v>
      </c>
      <c r="L14" s="928">
        <v>29.99</v>
      </c>
      <c r="M14" s="928">
        <v>29.91</v>
      </c>
      <c r="N14" s="928">
        <v>29.91</v>
      </c>
      <c r="O14" s="928">
        <v>29.91</v>
      </c>
      <c r="P14" s="928">
        <v>30.007500000000007</v>
      </c>
    </row>
    <row r="15" spans="3:16">
      <c r="C15" s="28" t="s">
        <v>196</v>
      </c>
      <c r="D15" s="928">
        <v>329.14154586272196</v>
      </c>
      <c r="E15" s="928">
        <v>334.8581900626944</v>
      </c>
      <c r="F15" s="928">
        <v>333.93935000042694</v>
      </c>
      <c r="G15" s="928">
        <v>336.92171955034786</v>
      </c>
      <c r="H15" s="928">
        <v>336.90703258113365</v>
      </c>
      <c r="I15" s="928">
        <v>338.0314939312841</v>
      </c>
      <c r="J15" s="928">
        <v>339.39929811388055</v>
      </c>
      <c r="K15" s="928">
        <v>343.4044148667848</v>
      </c>
      <c r="L15" s="928">
        <v>334.93423596987196</v>
      </c>
      <c r="M15" s="928">
        <v>323.8667091348168</v>
      </c>
      <c r="N15" s="928">
        <v>329.12106888615244</v>
      </c>
      <c r="O15" s="928">
        <v>329.50669826503719</v>
      </c>
      <c r="P15" s="928">
        <v>334.16931310209611</v>
      </c>
    </row>
    <row r="16" spans="3:16">
      <c r="C16" s="28" t="s">
        <v>197</v>
      </c>
      <c r="D16" s="928">
        <v>359.09577298513074</v>
      </c>
      <c r="E16" s="928">
        <v>364.75264819184264</v>
      </c>
      <c r="F16" s="928">
        <v>363.77427718076171</v>
      </c>
      <c r="G16" s="928">
        <v>366.82612260901345</v>
      </c>
      <c r="H16" s="928">
        <v>366.8114356397993</v>
      </c>
      <c r="I16" s="928">
        <v>367.93589698994975</v>
      </c>
      <c r="J16" s="928">
        <v>369.3735013797521</v>
      </c>
      <c r="K16" s="928">
        <v>373.37861813265636</v>
      </c>
      <c r="L16" s="928">
        <v>364.90843923574351</v>
      </c>
      <c r="M16" s="928">
        <v>353.92108412456895</v>
      </c>
      <c r="N16" s="928">
        <v>359.17544387590459</v>
      </c>
      <c r="O16" s="928">
        <v>359.56107325478933</v>
      </c>
      <c r="P16" s="928">
        <v>364.12619279999279</v>
      </c>
    </row>
    <row r="17" spans="3:16">
      <c r="C17" s="28" t="s">
        <v>198</v>
      </c>
      <c r="D17" s="928">
        <v>384.77571748654583</v>
      </c>
      <c r="E17" s="928">
        <v>390.38135236502075</v>
      </c>
      <c r="F17" s="928">
        <v>389.35194510268229</v>
      </c>
      <c r="G17" s="928">
        <v>392.46335263188325</v>
      </c>
      <c r="H17" s="928">
        <v>392.4486656626691</v>
      </c>
      <c r="I17" s="928">
        <v>393.57312701281955</v>
      </c>
      <c r="J17" s="928">
        <v>395.07057155272531</v>
      </c>
      <c r="K17" s="928">
        <v>399.07568830562957</v>
      </c>
      <c r="L17" s="928">
        <v>390.60550940871673</v>
      </c>
      <c r="M17" s="928">
        <v>379.68688601315023</v>
      </c>
      <c r="N17" s="928">
        <v>384.94124576448587</v>
      </c>
      <c r="O17" s="928">
        <v>385.32687514337061</v>
      </c>
      <c r="P17" s="928">
        <v>389.8084113708083</v>
      </c>
    </row>
    <row r="18" spans="3:16">
      <c r="C18" s="141" t="s">
        <v>201</v>
      </c>
      <c r="D18" s="929"/>
      <c r="E18" s="929"/>
      <c r="F18" s="929"/>
      <c r="G18" s="929"/>
      <c r="H18" s="929"/>
      <c r="I18" s="929"/>
      <c r="J18" s="929"/>
      <c r="K18" s="929"/>
      <c r="L18" s="929"/>
      <c r="M18" s="929"/>
      <c r="N18" s="929"/>
      <c r="O18" s="929"/>
      <c r="P18" s="929"/>
    </row>
    <row r="20" spans="3:16">
      <c r="C20" s="788" t="s">
        <v>202</v>
      </c>
    </row>
    <row r="21" spans="3:16">
      <c r="D21" s="138">
        <v>44197</v>
      </c>
      <c r="E21" s="138">
        <v>44228</v>
      </c>
      <c r="F21" s="138">
        <v>44256</v>
      </c>
      <c r="G21" s="138">
        <v>44287</v>
      </c>
      <c r="H21" s="138">
        <v>44317</v>
      </c>
      <c r="I21" s="138">
        <v>44348</v>
      </c>
      <c r="J21" s="138">
        <v>44378</v>
      </c>
      <c r="K21" s="138">
        <v>44409</v>
      </c>
      <c r="L21" s="138">
        <v>44440</v>
      </c>
      <c r="M21" s="138">
        <v>44470</v>
      </c>
      <c r="N21" s="138">
        <v>44501</v>
      </c>
      <c r="O21" s="138">
        <v>44531</v>
      </c>
      <c r="P21" s="139">
        <v>2021</v>
      </c>
    </row>
    <row r="22" spans="3:16">
      <c r="C22" s="28" t="s">
        <v>195</v>
      </c>
      <c r="D22" s="928">
        <v>50</v>
      </c>
      <c r="E22" s="928">
        <v>49.9</v>
      </c>
      <c r="F22" s="928">
        <v>50</v>
      </c>
      <c r="G22" s="928">
        <v>50</v>
      </c>
      <c r="H22" s="928">
        <v>49.9</v>
      </c>
      <c r="I22" s="928">
        <v>49.8</v>
      </c>
      <c r="J22" s="928">
        <v>50.4</v>
      </c>
      <c r="K22" s="928">
        <v>51</v>
      </c>
      <c r="L22" s="928">
        <v>51.3</v>
      </c>
      <c r="M22" s="928">
        <v>52</v>
      </c>
      <c r="N22" s="928">
        <v>52.7</v>
      </c>
      <c r="O22" s="928">
        <v>52.5</v>
      </c>
      <c r="P22" s="928">
        <v>50.791666666666664</v>
      </c>
    </row>
    <row r="23" spans="3:16">
      <c r="C23" s="28" t="s">
        <v>621</v>
      </c>
      <c r="D23" s="928">
        <v>30.01</v>
      </c>
      <c r="E23" s="928">
        <v>30.07</v>
      </c>
      <c r="F23" s="928">
        <v>30.13</v>
      </c>
      <c r="G23" s="928">
        <v>30.06</v>
      </c>
      <c r="H23" s="928">
        <v>30.06</v>
      </c>
      <c r="I23" s="928">
        <v>30.06</v>
      </c>
      <c r="J23" s="928">
        <v>29.99</v>
      </c>
      <c r="K23" s="928">
        <v>29.99</v>
      </c>
      <c r="L23" s="928">
        <v>29.99</v>
      </c>
      <c r="M23" s="928">
        <v>29.91</v>
      </c>
      <c r="N23" s="928">
        <v>29.91</v>
      </c>
      <c r="O23" s="928">
        <v>29.91</v>
      </c>
      <c r="P23" s="928">
        <v>30.007500000000007</v>
      </c>
    </row>
    <row r="24" spans="3:16">
      <c r="C24" s="28" t="s">
        <v>196</v>
      </c>
      <c r="D24" s="928">
        <v>322.28443032391527</v>
      </c>
      <c r="E24" s="928">
        <v>327.88197776972157</v>
      </c>
      <c r="F24" s="928">
        <v>326.98228020875138</v>
      </c>
      <c r="G24" s="928">
        <v>329.90251705971559</v>
      </c>
      <c r="H24" s="928">
        <v>329.88813606902681</v>
      </c>
      <c r="I24" s="928">
        <v>330.98917114104898</v>
      </c>
      <c r="J24" s="928">
        <v>332.3284794031747</v>
      </c>
      <c r="K24" s="928">
        <v>336.25015622372683</v>
      </c>
      <c r="L24" s="928">
        <v>327.95643938716626</v>
      </c>
      <c r="M24" s="928">
        <v>317.11948602784145</v>
      </c>
      <c r="N24" s="928">
        <v>322.26437995102435</v>
      </c>
      <c r="O24" s="928">
        <v>322.64197538451555</v>
      </c>
      <c r="P24" s="928">
        <v>327.20745241246902</v>
      </c>
    </row>
    <row r="25" spans="3:16">
      <c r="C25" s="28" t="s">
        <v>197</v>
      </c>
      <c r="D25" s="928">
        <v>352.23865744632405</v>
      </c>
      <c r="E25" s="928">
        <v>357.77643589886981</v>
      </c>
      <c r="F25" s="928">
        <v>356.81720738908615</v>
      </c>
      <c r="G25" s="928">
        <v>359.80692011838124</v>
      </c>
      <c r="H25" s="928">
        <v>359.79253912769246</v>
      </c>
      <c r="I25" s="928">
        <v>360.89357419971458</v>
      </c>
      <c r="J25" s="928">
        <v>362.30268266904625</v>
      </c>
      <c r="K25" s="928">
        <v>366.22435948959838</v>
      </c>
      <c r="L25" s="928">
        <v>357.93064265303781</v>
      </c>
      <c r="M25" s="928">
        <v>347.17386101759359</v>
      </c>
      <c r="N25" s="928">
        <v>352.3187549407765</v>
      </c>
      <c r="O25" s="928">
        <v>352.69635037426769</v>
      </c>
      <c r="P25" s="928">
        <v>357.16433211036571</v>
      </c>
    </row>
    <row r="26" spans="3:16">
      <c r="C26" s="28" t="s">
        <v>198</v>
      </c>
      <c r="D26" s="928">
        <v>377.91860194773915</v>
      </c>
      <c r="E26" s="928">
        <v>383.40514007204791</v>
      </c>
      <c r="F26" s="928">
        <v>382.39487531100673</v>
      </c>
      <c r="G26" s="928">
        <v>385.44415014125104</v>
      </c>
      <c r="H26" s="928">
        <v>385.42976915056227</v>
      </c>
      <c r="I26" s="928">
        <v>386.53080422258438</v>
      </c>
      <c r="J26" s="928">
        <v>387.99975284201946</v>
      </c>
      <c r="K26" s="928">
        <v>391.9214296625716</v>
      </c>
      <c r="L26" s="928">
        <v>383.62771282601102</v>
      </c>
      <c r="M26" s="928">
        <v>372.93966290617487</v>
      </c>
      <c r="N26" s="928">
        <v>378.08455682935778</v>
      </c>
      <c r="O26" s="928">
        <v>378.46215226284897</v>
      </c>
      <c r="P26" s="928">
        <v>382.84655068118121</v>
      </c>
    </row>
    <row r="27" spans="3:16">
      <c r="C27" s="141" t="s">
        <v>203</v>
      </c>
      <c r="D27" s="929"/>
      <c r="E27" s="929"/>
      <c r="F27" s="929"/>
      <c r="G27" s="929"/>
      <c r="H27" s="929"/>
      <c r="I27" s="929"/>
      <c r="J27" s="929"/>
      <c r="K27" s="929"/>
      <c r="L27" s="929"/>
      <c r="M27" s="929"/>
      <c r="N27" s="929"/>
      <c r="O27" s="929"/>
      <c r="P27" s="929"/>
    </row>
    <row r="28" spans="3:16">
      <c r="C28" s="141"/>
    </row>
    <row r="29" spans="3:16">
      <c r="C29" s="788" t="s">
        <v>622</v>
      </c>
    </row>
    <row r="30" spans="3:16">
      <c r="D30" s="138">
        <v>44197</v>
      </c>
      <c r="E30" s="138">
        <v>44228</v>
      </c>
      <c r="F30" s="138">
        <v>44256</v>
      </c>
      <c r="G30" s="138">
        <v>44287</v>
      </c>
      <c r="H30" s="138">
        <v>44317</v>
      </c>
      <c r="I30" s="138">
        <v>44348</v>
      </c>
      <c r="J30" s="138">
        <v>44378</v>
      </c>
      <c r="K30" s="138">
        <v>44409</v>
      </c>
      <c r="L30" s="138">
        <v>44440</v>
      </c>
      <c r="M30" s="138">
        <v>44470</v>
      </c>
      <c r="N30" s="138">
        <v>44501</v>
      </c>
      <c r="O30" s="138">
        <v>44531</v>
      </c>
      <c r="P30" s="139">
        <v>2021</v>
      </c>
    </row>
    <row r="31" spans="3:16">
      <c r="C31" s="28" t="s">
        <v>195</v>
      </c>
      <c r="D31" s="928">
        <v>50</v>
      </c>
      <c r="E31" s="928">
        <v>49.9</v>
      </c>
      <c r="F31" s="928">
        <v>50</v>
      </c>
      <c r="G31" s="928">
        <v>50</v>
      </c>
      <c r="H31" s="928">
        <v>49.9</v>
      </c>
      <c r="I31" s="928">
        <v>49.8</v>
      </c>
      <c r="J31" s="928">
        <v>50.4</v>
      </c>
      <c r="K31" s="928">
        <v>51</v>
      </c>
      <c r="L31" s="928">
        <v>51.3</v>
      </c>
      <c r="M31" s="928">
        <v>52</v>
      </c>
      <c r="N31" s="928">
        <v>52.7</v>
      </c>
      <c r="O31" s="928">
        <v>52.5</v>
      </c>
      <c r="P31" s="928">
        <v>50.791666666666664</v>
      </c>
    </row>
    <row r="32" spans="3:16">
      <c r="C32" s="28" t="s">
        <v>621</v>
      </c>
      <c r="D32" s="928">
        <v>30.01</v>
      </c>
      <c r="E32" s="928">
        <v>30.07</v>
      </c>
      <c r="F32" s="928">
        <v>30.13</v>
      </c>
      <c r="G32" s="928">
        <v>30.06</v>
      </c>
      <c r="H32" s="928">
        <v>30.06</v>
      </c>
      <c r="I32" s="928">
        <v>30.06</v>
      </c>
      <c r="J32" s="928">
        <v>29.99</v>
      </c>
      <c r="K32" s="928">
        <v>29.99</v>
      </c>
      <c r="L32" s="928">
        <v>29.99</v>
      </c>
      <c r="M32" s="928">
        <v>29.91</v>
      </c>
      <c r="N32" s="928">
        <v>29.91</v>
      </c>
      <c r="O32" s="928">
        <v>29.91</v>
      </c>
      <c r="P32" s="928">
        <v>30.007500000000007</v>
      </c>
    </row>
    <row r="33" spans="3:16">
      <c r="C33" s="28" t="s">
        <v>196</v>
      </c>
      <c r="D33" s="928">
        <v>322.28443032391527</v>
      </c>
      <c r="E33" s="928">
        <v>327.88197776972157</v>
      </c>
      <c r="F33" s="928">
        <v>326.98228020875138</v>
      </c>
      <c r="G33" s="928">
        <v>329.90251705971559</v>
      </c>
      <c r="H33" s="928">
        <v>329.88813606902681</v>
      </c>
      <c r="I33" s="928">
        <v>330.98917114104898</v>
      </c>
      <c r="J33" s="928">
        <v>332.3284794031747</v>
      </c>
      <c r="K33" s="928">
        <v>336.25015622372683</v>
      </c>
      <c r="L33" s="928">
        <v>327.95643938716626</v>
      </c>
      <c r="M33" s="928">
        <v>317.11948602784145</v>
      </c>
      <c r="N33" s="928">
        <v>322.26437995102435</v>
      </c>
      <c r="O33" s="928">
        <v>322.64197538451555</v>
      </c>
      <c r="P33" s="928">
        <v>327.20745241246902</v>
      </c>
    </row>
    <row r="34" spans="3:16">
      <c r="C34" s="28" t="s">
        <v>197</v>
      </c>
      <c r="D34" s="928">
        <v>352.23865744632405</v>
      </c>
      <c r="E34" s="928">
        <v>357.77643589886981</v>
      </c>
      <c r="F34" s="928">
        <v>356.81720738908615</v>
      </c>
      <c r="G34" s="928">
        <v>359.80692011838124</v>
      </c>
      <c r="H34" s="928">
        <v>359.79253912769246</v>
      </c>
      <c r="I34" s="928">
        <v>360.89357419971458</v>
      </c>
      <c r="J34" s="928">
        <v>362.30268266904625</v>
      </c>
      <c r="K34" s="928">
        <v>366.22435948959838</v>
      </c>
      <c r="L34" s="928">
        <v>357.93064265303781</v>
      </c>
      <c r="M34" s="928">
        <v>347.17386101759359</v>
      </c>
      <c r="N34" s="928">
        <v>352.3187549407765</v>
      </c>
      <c r="O34" s="928">
        <v>352.69635037426769</v>
      </c>
      <c r="P34" s="928">
        <v>357.16433211036571</v>
      </c>
    </row>
    <row r="35" spans="3:16">
      <c r="C35" s="28" t="s">
        <v>198</v>
      </c>
      <c r="D35" s="928">
        <v>377.91860194773915</v>
      </c>
      <c r="E35" s="928">
        <v>383.40514007204791</v>
      </c>
      <c r="F35" s="928">
        <v>382.39487531100673</v>
      </c>
      <c r="G35" s="928">
        <v>385.44415014125104</v>
      </c>
      <c r="H35" s="928">
        <v>385.42976915056227</v>
      </c>
      <c r="I35" s="928">
        <v>386.53080422258438</v>
      </c>
      <c r="J35" s="928">
        <v>387.99975284201946</v>
      </c>
      <c r="K35" s="928">
        <v>391.9214296625716</v>
      </c>
      <c r="L35" s="928">
        <v>383.62771282601102</v>
      </c>
      <c r="M35" s="928">
        <v>372.93966290617487</v>
      </c>
      <c r="N35" s="928">
        <v>378.08455682935778</v>
      </c>
      <c r="O35" s="928">
        <v>378.46215226284897</v>
      </c>
      <c r="P35" s="928">
        <v>382.84655068118121</v>
      </c>
    </row>
    <row r="36" spans="3:16">
      <c r="C36" s="141" t="s">
        <v>203</v>
      </c>
      <c r="D36" s="929"/>
      <c r="E36" s="929"/>
      <c r="F36" s="929"/>
      <c r="G36" s="929"/>
      <c r="H36" s="929"/>
      <c r="I36" s="929"/>
      <c r="J36" s="929"/>
      <c r="K36" s="929"/>
      <c r="L36" s="929"/>
      <c r="M36" s="929"/>
      <c r="N36" s="929"/>
      <c r="O36" s="929"/>
      <c r="P36" s="929"/>
    </row>
    <row r="37" spans="3:16">
      <c r="C37" s="141"/>
    </row>
    <row r="38" spans="3:16">
      <c r="C38" s="788" t="s">
        <v>204</v>
      </c>
    </row>
    <row r="39" spans="3:16">
      <c r="D39" s="138">
        <v>44197</v>
      </c>
      <c r="E39" s="138">
        <v>44228</v>
      </c>
      <c r="F39" s="138">
        <v>44256</v>
      </c>
      <c r="G39" s="138">
        <v>44287</v>
      </c>
      <c r="H39" s="138">
        <v>44317</v>
      </c>
      <c r="I39" s="138">
        <v>44348</v>
      </c>
      <c r="J39" s="138">
        <v>44378</v>
      </c>
      <c r="K39" s="138">
        <v>44409</v>
      </c>
      <c r="L39" s="138">
        <v>44440</v>
      </c>
      <c r="M39" s="138">
        <v>44470</v>
      </c>
      <c r="N39" s="138">
        <v>44501</v>
      </c>
      <c r="O39" s="138">
        <v>44531</v>
      </c>
      <c r="P39" s="139">
        <v>2021</v>
      </c>
    </row>
    <row r="40" spans="3:16">
      <c r="C40" s="28" t="s">
        <v>195</v>
      </c>
      <c r="D40" s="928">
        <v>50</v>
      </c>
      <c r="E40" s="928">
        <v>49.9</v>
      </c>
      <c r="F40" s="928">
        <v>50</v>
      </c>
      <c r="G40" s="928">
        <v>50</v>
      </c>
      <c r="H40" s="928">
        <v>49.9</v>
      </c>
      <c r="I40" s="928">
        <v>49.8</v>
      </c>
      <c r="J40" s="928">
        <v>50.4</v>
      </c>
      <c r="K40" s="928">
        <v>51</v>
      </c>
      <c r="L40" s="928">
        <v>51.3</v>
      </c>
      <c r="M40" s="928">
        <v>52</v>
      </c>
      <c r="N40" s="928">
        <v>52.7</v>
      </c>
      <c r="O40" s="928">
        <v>52.5</v>
      </c>
      <c r="P40" s="928">
        <v>50.791666666666664</v>
      </c>
    </row>
    <row r="41" spans="3:16">
      <c r="C41" s="28" t="s">
        <v>621</v>
      </c>
      <c r="D41" s="928">
        <v>30.01</v>
      </c>
      <c r="E41" s="928">
        <v>30.07</v>
      </c>
      <c r="F41" s="928">
        <v>30.13</v>
      </c>
      <c r="G41" s="928">
        <v>30.06</v>
      </c>
      <c r="H41" s="928">
        <v>30.06</v>
      </c>
      <c r="I41" s="928">
        <v>30.06</v>
      </c>
      <c r="J41" s="928">
        <v>29.99</v>
      </c>
      <c r="K41" s="928">
        <v>29.99</v>
      </c>
      <c r="L41" s="928">
        <v>29.99</v>
      </c>
      <c r="M41" s="928">
        <v>29.91</v>
      </c>
      <c r="N41" s="928">
        <v>29.91</v>
      </c>
      <c r="O41" s="928">
        <v>29.91</v>
      </c>
      <c r="P41" s="928">
        <v>30.007500000000007</v>
      </c>
    </row>
    <row r="42" spans="3:16">
      <c r="C42" s="28" t="s">
        <v>196</v>
      </c>
      <c r="D42" s="928">
        <v>322.28443032391527</v>
      </c>
      <c r="E42" s="928">
        <v>327.88197776972157</v>
      </c>
      <c r="F42" s="928">
        <v>326.98228020875138</v>
      </c>
      <c r="G42" s="928">
        <v>329.90251705971559</v>
      </c>
      <c r="H42" s="928">
        <v>329.88813606902681</v>
      </c>
      <c r="I42" s="928">
        <v>330.98917114104898</v>
      </c>
      <c r="J42" s="928">
        <v>332.3284794031747</v>
      </c>
      <c r="K42" s="928">
        <v>336.25015622372683</v>
      </c>
      <c r="L42" s="928">
        <v>327.95643938716626</v>
      </c>
      <c r="M42" s="928">
        <v>317.11948602784145</v>
      </c>
      <c r="N42" s="928">
        <v>322.26437995102435</v>
      </c>
      <c r="O42" s="928">
        <v>322.64197538451555</v>
      </c>
      <c r="P42" s="928">
        <v>327.20745241246902</v>
      </c>
    </row>
    <row r="43" spans="3:16">
      <c r="C43" s="28" t="s">
        <v>197</v>
      </c>
      <c r="D43" s="928">
        <v>360.17451976906756</v>
      </c>
      <c r="E43" s="928">
        <v>365.69646344478048</v>
      </c>
      <c r="F43" s="928">
        <v>364.72146322398601</v>
      </c>
      <c r="G43" s="928">
        <v>367.72958240399447</v>
      </c>
      <c r="H43" s="928">
        <v>367.71520141330569</v>
      </c>
      <c r="I43" s="928">
        <v>368.81623648532781</v>
      </c>
      <c r="J43" s="928">
        <v>370.24383733078457</v>
      </c>
      <c r="K43" s="928">
        <v>374.16551415133671</v>
      </c>
      <c r="L43" s="928">
        <v>365.87179731477613</v>
      </c>
      <c r="M43" s="928">
        <v>355.13625581216172</v>
      </c>
      <c r="N43" s="928">
        <v>360.28114973534463</v>
      </c>
      <c r="O43" s="928">
        <v>360.65874516883582</v>
      </c>
      <c r="P43" s="928">
        <v>365.10089718780847</v>
      </c>
    </row>
    <row r="44" spans="3:16">
      <c r="C44" s="28" t="s">
        <v>198</v>
      </c>
      <c r="D44" s="928">
        <v>395.19084082887912</v>
      </c>
      <c r="E44" s="928">
        <v>400.64291489156943</v>
      </c>
      <c r="F44" s="928">
        <v>399.59832333035655</v>
      </c>
      <c r="G44" s="928">
        <v>402.68765941680033</v>
      </c>
      <c r="H44" s="928">
        <v>402.67327842611155</v>
      </c>
      <c r="I44" s="928">
        <v>403.77431349813367</v>
      </c>
      <c r="J44" s="928">
        <v>405.28351038863531</v>
      </c>
      <c r="K44" s="928">
        <v>409.20518720918744</v>
      </c>
      <c r="L44" s="928">
        <v>400.91147037262687</v>
      </c>
      <c r="M44" s="928">
        <v>390.2696491590338</v>
      </c>
      <c r="N44" s="928">
        <v>395.41454308221671</v>
      </c>
      <c r="O44" s="928">
        <v>395.7921385157079</v>
      </c>
      <c r="P44" s="928">
        <v>400.12031909327158</v>
      </c>
    </row>
    <row r="45" spans="3:16">
      <c r="C45" s="141"/>
      <c r="D45" s="929"/>
      <c r="E45" s="929"/>
      <c r="F45" s="929"/>
      <c r="G45" s="929"/>
      <c r="H45" s="929"/>
      <c r="I45" s="929"/>
      <c r="J45" s="929"/>
      <c r="K45" s="929"/>
      <c r="L45" s="929"/>
      <c r="M45" s="929"/>
      <c r="N45" s="929"/>
      <c r="O45" s="929"/>
      <c r="P45" s="929"/>
    </row>
    <row r="46" spans="3:16">
      <c r="C46" s="141"/>
    </row>
    <row r="47" spans="3:16">
      <c r="C47" s="788" t="s">
        <v>205</v>
      </c>
    </row>
    <row r="48" spans="3:16">
      <c r="D48" s="138">
        <v>44197</v>
      </c>
      <c r="E48" s="138">
        <v>44228</v>
      </c>
      <c r="F48" s="138">
        <v>44256</v>
      </c>
      <c r="G48" s="138">
        <v>44287</v>
      </c>
      <c r="H48" s="138">
        <v>44317</v>
      </c>
      <c r="I48" s="138">
        <v>44348</v>
      </c>
      <c r="J48" s="138">
        <v>44378</v>
      </c>
      <c r="K48" s="138">
        <v>44409</v>
      </c>
      <c r="L48" s="138">
        <v>44440</v>
      </c>
      <c r="M48" s="138">
        <v>44470</v>
      </c>
      <c r="N48" s="138">
        <v>44501</v>
      </c>
      <c r="O48" s="138">
        <v>44531</v>
      </c>
      <c r="P48" s="139">
        <v>2021</v>
      </c>
    </row>
    <row r="49" spans="3:16">
      <c r="C49" s="28" t="s">
        <v>195</v>
      </c>
      <c r="D49" s="928">
        <v>50</v>
      </c>
      <c r="E49" s="928">
        <v>49.9</v>
      </c>
      <c r="F49" s="928">
        <v>50</v>
      </c>
      <c r="G49" s="928">
        <v>50</v>
      </c>
      <c r="H49" s="928">
        <v>49.9</v>
      </c>
      <c r="I49" s="928">
        <v>49.8</v>
      </c>
      <c r="J49" s="928">
        <v>50.4</v>
      </c>
      <c r="K49" s="928">
        <v>51</v>
      </c>
      <c r="L49" s="928">
        <v>51.3</v>
      </c>
      <c r="M49" s="928">
        <v>52</v>
      </c>
      <c r="N49" s="928">
        <v>52.7</v>
      </c>
      <c r="O49" s="928">
        <v>52.5</v>
      </c>
      <c r="P49" s="928">
        <v>50.791666666666664</v>
      </c>
    </row>
    <row r="50" spans="3:16">
      <c r="C50" s="28" t="s">
        <v>621</v>
      </c>
      <c r="D50" s="928">
        <v>30.01</v>
      </c>
      <c r="E50" s="928">
        <v>30.07</v>
      </c>
      <c r="F50" s="928">
        <v>30.13</v>
      </c>
      <c r="G50" s="928">
        <v>30.06</v>
      </c>
      <c r="H50" s="928">
        <v>30.06</v>
      </c>
      <c r="I50" s="928">
        <v>30.06</v>
      </c>
      <c r="J50" s="928">
        <v>29.99</v>
      </c>
      <c r="K50" s="928">
        <v>29.99</v>
      </c>
      <c r="L50" s="928">
        <v>29.99</v>
      </c>
      <c r="M50" s="928">
        <v>29.91</v>
      </c>
      <c r="N50" s="928">
        <v>29.91</v>
      </c>
      <c r="O50" s="928">
        <v>29.91</v>
      </c>
      <c r="P50" s="928">
        <v>30.007500000000007</v>
      </c>
    </row>
    <row r="51" spans="3:16">
      <c r="C51" s="28" t="s">
        <v>196</v>
      </c>
      <c r="D51" s="928">
        <v>308.57019924630185</v>
      </c>
      <c r="E51" s="928">
        <v>313.92955318377597</v>
      </c>
      <c r="F51" s="928">
        <v>313.06814062540025</v>
      </c>
      <c r="G51" s="928">
        <v>315.86411207845117</v>
      </c>
      <c r="H51" s="928">
        <v>315.85034304481286</v>
      </c>
      <c r="I51" s="928">
        <v>316.90452556057886</v>
      </c>
      <c r="J51" s="928">
        <v>318.18684198176305</v>
      </c>
      <c r="K51" s="928">
        <v>321.94163893761072</v>
      </c>
      <c r="L51" s="928">
        <v>314.00084622175495</v>
      </c>
      <c r="M51" s="928">
        <v>303.62503981389068</v>
      </c>
      <c r="N51" s="928">
        <v>308.55100208076789</v>
      </c>
      <c r="O51" s="928">
        <v>308.91252962347238</v>
      </c>
      <c r="P51" s="928">
        <v>313.28373103321502</v>
      </c>
    </row>
    <row r="52" spans="3:16">
      <c r="C52" s="28" t="s">
        <v>197</v>
      </c>
      <c r="D52" s="928">
        <v>338.52442636871064</v>
      </c>
      <c r="E52" s="928">
        <v>343.8240113129242</v>
      </c>
      <c r="F52" s="928">
        <v>342.90306780573502</v>
      </c>
      <c r="G52" s="928">
        <v>345.76851513711682</v>
      </c>
      <c r="H52" s="928">
        <v>345.75474610347845</v>
      </c>
      <c r="I52" s="928">
        <v>346.80892861924445</v>
      </c>
      <c r="J52" s="928">
        <v>348.1610452476346</v>
      </c>
      <c r="K52" s="928">
        <v>351.91584220348227</v>
      </c>
      <c r="L52" s="928">
        <v>343.97504948762651</v>
      </c>
      <c r="M52" s="928">
        <v>333.67941480364283</v>
      </c>
      <c r="N52" s="928">
        <v>338.60537707052003</v>
      </c>
      <c r="O52" s="928">
        <v>338.96690461322453</v>
      </c>
      <c r="P52" s="928">
        <v>343.24061073111176</v>
      </c>
    </row>
    <row r="53" spans="3:16">
      <c r="C53" s="28" t="s">
        <v>198</v>
      </c>
      <c r="D53" s="928">
        <v>364.20437087012573</v>
      </c>
      <c r="E53" s="928">
        <v>369.45271548610231</v>
      </c>
      <c r="F53" s="928">
        <v>368.4807357276556</v>
      </c>
      <c r="G53" s="928">
        <v>371.40574515998662</v>
      </c>
      <c r="H53" s="928">
        <v>371.39197612634825</v>
      </c>
      <c r="I53" s="928">
        <v>372.44615864211426</v>
      </c>
      <c r="J53" s="928">
        <v>373.85811542060782</v>
      </c>
      <c r="K53" s="928">
        <v>377.61291237645548</v>
      </c>
      <c r="L53" s="928">
        <v>369.67211966059972</v>
      </c>
      <c r="M53" s="928">
        <v>359.44521669222411</v>
      </c>
      <c r="N53" s="928">
        <v>364.37117895910131</v>
      </c>
      <c r="O53" s="928">
        <v>364.73270650180581</v>
      </c>
      <c r="P53" s="928">
        <v>368.92282930192727</v>
      </c>
    </row>
    <row r="54" spans="3:16">
      <c r="C54" s="141" t="s">
        <v>206</v>
      </c>
      <c r="D54" s="929"/>
      <c r="E54" s="929"/>
      <c r="F54" s="929"/>
      <c r="G54" s="929"/>
      <c r="H54" s="929"/>
      <c r="I54" s="929"/>
      <c r="J54" s="929"/>
      <c r="K54" s="929"/>
      <c r="L54" s="929"/>
      <c r="M54" s="929"/>
      <c r="N54" s="929"/>
      <c r="O54" s="929"/>
      <c r="P54" s="929"/>
    </row>
    <row r="56" spans="3:16">
      <c r="C56" s="142" t="s">
        <v>623</v>
      </c>
      <c r="D56" s="930" t="s">
        <v>624</v>
      </c>
    </row>
    <row r="57" spans="3:16">
      <c r="C57" s="142"/>
      <c r="D57" s="930" t="s">
        <v>625</v>
      </c>
    </row>
    <row r="58" spans="3:16">
      <c r="C58" s="142" t="s">
        <v>626</v>
      </c>
      <c r="D58" s="931">
        <v>44225</v>
      </c>
    </row>
    <row r="60" spans="3:16">
      <c r="D60" t="s">
        <v>627</v>
      </c>
    </row>
    <row r="61" spans="3:16">
      <c r="D61" t="s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0">
    <tabColor theme="5"/>
  </sheetPr>
  <dimension ref="A8:P141"/>
  <sheetViews>
    <sheetView topLeftCell="A31" zoomScale="80" zoomScaleNormal="80" workbookViewId="0">
      <selection activeCell="S47" sqref="S47"/>
    </sheetView>
  </sheetViews>
  <sheetFormatPr defaultColWidth="8.6328125" defaultRowHeight="14.5"/>
  <cols>
    <col min="1" max="1" width="8.6328125" style="154"/>
    <col min="2" max="2" width="37.6328125" style="154" bestFit="1" customWidth="1"/>
    <col min="3" max="3" width="38.1796875" style="155" bestFit="1" customWidth="1"/>
    <col min="4" max="4" width="16.81640625" style="154" bestFit="1" customWidth="1"/>
    <col min="5" max="16" width="12.1796875" style="155" bestFit="1" customWidth="1"/>
    <col min="17" max="16384" width="8.6328125" style="155"/>
  </cols>
  <sheetData>
    <row r="8" spans="3:16">
      <c r="D8" s="156" t="s">
        <v>236</v>
      </c>
      <c r="E8" s="157">
        <f>'[11]Volume (KT)'!E8</f>
        <v>34.1</v>
      </c>
      <c r="F8" s="157">
        <f>'[11]Volume (KT)'!F8</f>
        <v>37.5</v>
      </c>
      <c r="G8" s="157">
        <f>'[11]Volume (KT)'!G8</f>
        <v>35.74</v>
      </c>
      <c r="H8" s="157">
        <f>'[11]Volume (KT)'!H8</f>
        <v>55.904000000000003</v>
      </c>
      <c r="I8" s="157">
        <f>'[11]Volume (KT)'!I8</f>
        <v>45.518000000000001</v>
      </c>
      <c r="J8" s="157">
        <f>'[11]Volume (KT)'!J8</f>
        <v>35.701999999999998</v>
      </c>
      <c r="K8" s="157">
        <f>'[11]Volume (KT)'!K8</f>
        <v>69.251999999999995</v>
      </c>
      <c r="L8" s="157">
        <f>'[11]Volume (KT)'!L8</f>
        <v>36.762999999999998</v>
      </c>
      <c r="M8" s="157">
        <f>'[11]Volume (KT)'!M8</f>
        <v>35.947000000000003</v>
      </c>
      <c r="N8" s="157">
        <f>'[11]Volume (KT)'!N8</f>
        <v>37.1</v>
      </c>
      <c r="O8" s="157">
        <f>'[11]Volume (KT)'!O8</f>
        <v>36</v>
      </c>
      <c r="P8" s="157">
        <f>'[11]Volume (KT)'!P8</f>
        <v>37.1</v>
      </c>
    </row>
    <row r="9" spans="3:16">
      <c r="D9" s="156" t="s">
        <v>237</v>
      </c>
      <c r="E9" s="157">
        <f>'[11]Volume (KT)'!E9</f>
        <v>135.48000000000002</v>
      </c>
      <c r="F9" s="157">
        <f>'[11]Volume (KT)'!F9</f>
        <v>133.96743945000003</v>
      </c>
      <c r="G9" s="157">
        <f>'[11]Volume (KT)'!G9</f>
        <v>166.89</v>
      </c>
      <c r="H9" s="157">
        <f>'[11]Volume (KT)'!H9</f>
        <v>159.22542811</v>
      </c>
      <c r="I9" s="157">
        <f>'[11]Volume (KT)'!I9</f>
        <v>164.73866386999998</v>
      </c>
      <c r="J9" s="157">
        <f>'[11]Volume (KT)'!J9</f>
        <v>160.70335404999997</v>
      </c>
      <c r="K9" s="157">
        <f>'[11]Volume (KT)'!K9</f>
        <v>234.79296321999996</v>
      </c>
      <c r="L9" s="157">
        <f>'[11]Volume (KT)'!L9</f>
        <v>166.26264504999997</v>
      </c>
      <c r="M9" s="157">
        <f>'[11]Volume (KT)'!M9</f>
        <v>164.57745453999996</v>
      </c>
      <c r="N9" s="157">
        <f>'[11]Volume (KT)'!N9</f>
        <v>165.58717172999999</v>
      </c>
      <c r="O9" s="157">
        <f>'[11]Volume (KT)'!O9</f>
        <v>165.24378417</v>
      </c>
      <c r="P9" s="157">
        <f>'[11]Volume (KT)'!P9</f>
        <v>167.32278729999999</v>
      </c>
    </row>
    <row r="10" spans="3:16">
      <c r="C10" s="907" t="s">
        <v>237</v>
      </c>
      <c r="D10" s="908" t="s">
        <v>607</v>
      </c>
      <c r="E10" s="157">
        <f>'[11]Volume (KT)'!E10</f>
        <v>129.48000000000002</v>
      </c>
      <c r="F10" s="157">
        <f>'[11]Volume (KT)'!F10</f>
        <v>94.967439450000015</v>
      </c>
      <c r="G10" s="157">
        <f>'[11]Volume (KT)'!G10</f>
        <v>130.89000000000001</v>
      </c>
      <c r="H10" s="157">
        <f>'[11]Volume (KT)'!H10</f>
        <v>107.22542811000001</v>
      </c>
      <c r="I10" s="157">
        <f>'[11]Volume (KT)'!I10</f>
        <v>122.73866386999998</v>
      </c>
      <c r="J10" s="157">
        <f>'[11]Volume (KT)'!J10</f>
        <v>115.70335404999997</v>
      </c>
      <c r="K10" s="157">
        <f>'[11]Volume (KT)'!K10</f>
        <v>135.79296321999999</v>
      </c>
      <c r="L10" s="157">
        <f>'[11]Volume (KT)'!L10</f>
        <v>138.26264504999997</v>
      </c>
      <c r="M10" s="157">
        <f>'[11]Volume (KT)'!M10</f>
        <v>124.57745453999998</v>
      </c>
      <c r="N10" s="157">
        <f>'[11]Volume (KT)'!N10</f>
        <v>126.58717172999999</v>
      </c>
      <c r="O10" s="157">
        <f>'[11]Volume (KT)'!O10</f>
        <v>123.24378416999998</v>
      </c>
      <c r="P10" s="157">
        <f>'[11]Volume (KT)'!P10</f>
        <v>132.32278729999999</v>
      </c>
    </row>
    <row r="11" spans="3:16">
      <c r="C11" s="158" t="s">
        <v>238</v>
      </c>
      <c r="E11" s="155">
        <v>31</v>
      </c>
      <c r="F11" s="155">
        <v>29</v>
      </c>
      <c r="G11" s="155">
        <v>31</v>
      </c>
      <c r="H11" s="155">
        <v>30</v>
      </c>
      <c r="I11" s="155">
        <v>31</v>
      </c>
      <c r="J11" s="155">
        <v>30</v>
      </c>
      <c r="K11" s="155">
        <v>31</v>
      </c>
      <c r="L11" s="155">
        <v>31</v>
      </c>
      <c r="M11" s="155">
        <v>30</v>
      </c>
      <c r="N11" s="155">
        <v>31</v>
      </c>
      <c r="O11" s="155">
        <v>30</v>
      </c>
      <c r="P11" s="155">
        <v>31</v>
      </c>
    </row>
    <row r="12" spans="3:16">
      <c r="C12" s="159" t="s">
        <v>239</v>
      </c>
      <c r="D12" s="160" t="s">
        <v>1</v>
      </c>
      <c r="E12" s="161">
        <v>242158</v>
      </c>
      <c r="F12" s="161">
        <v>242189</v>
      </c>
      <c r="G12" s="161">
        <v>242217</v>
      </c>
      <c r="H12" s="161">
        <v>242248</v>
      </c>
      <c r="I12" s="161">
        <v>242278</v>
      </c>
      <c r="J12" s="161">
        <v>242309</v>
      </c>
      <c r="K12" s="161">
        <v>242339</v>
      </c>
      <c r="L12" s="161">
        <v>242370</v>
      </c>
      <c r="M12" s="161">
        <v>242401</v>
      </c>
      <c r="N12" s="161">
        <v>242431</v>
      </c>
      <c r="O12" s="161">
        <v>242462</v>
      </c>
      <c r="P12" s="161">
        <v>242492</v>
      </c>
    </row>
    <row r="13" spans="3:16">
      <c r="C13" s="162" t="s">
        <v>240</v>
      </c>
      <c r="D13" s="163" t="s">
        <v>241</v>
      </c>
      <c r="E13" s="164">
        <f>'[11]Volume (KT)'!$E$13</f>
        <v>29.060889</v>
      </c>
      <c r="F13" s="164">
        <f>'[11]Volume (KT)'!$E$13</f>
        <v>29.060889</v>
      </c>
      <c r="G13" s="164">
        <f>'[11]Volume (KT)'!$E$13</f>
        <v>29.060889</v>
      </c>
      <c r="H13" s="164">
        <f>'[11]Volume (KT)'!$E$13</f>
        <v>29.060889</v>
      </c>
      <c r="I13" s="164">
        <f>'[11]Volume (KT)'!$E$13</f>
        <v>29.060889</v>
      </c>
      <c r="J13" s="164">
        <f>'[11]Volume (KT)'!$E$13</f>
        <v>29.060889</v>
      </c>
      <c r="K13" s="164">
        <f>'[11]Volume (KT)'!$E$13</f>
        <v>29.060889</v>
      </c>
      <c r="L13" s="164">
        <f>'[11]Volume (KT)'!$E$13</f>
        <v>29.060889</v>
      </c>
      <c r="M13" s="164">
        <f>'[11]Volume (KT)'!$E$13</f>
        <v>29.060889</v>
      </c>
      <c r="N13" s="164">
        <f>'[11]Volume (KT)'!$E$13</f>
        <v>29.060889</v>
      </c>
      <c r="O13" s="164">
        <f>'[11]Volume (KT)'!$E$13</f>
        <v>29.060889</v>
      </c>
      <c r="P13" s="164">
        <f>'[11]Volume (KT)'!$E$13</f>
        <v>29.060889</v>
      </c>
    </row>
    <row r="14" spans="3:16">
      <c r="C14" s="162" t="s">
        <v>242</v>
      </c>
      <c r="D14" s="163" t="s">
        <v>241</v>
      </c>
      <c r="E14" s="164">
        <f>'[11]Volume (KT)'!$E$13</f>
        <v>29.060889</v>
      </c>
      <c r="F14" s="164">
        <f>'[11]Volume (KT)'!$E$13</f>
        <v>29.060889</v>
      </c>
      <c r="G14" s="164">
        <f>'[11]Volume (KT)'!$E$13</f>
        <v>29.060889</v>
      </c>
      <c r="H14" s="164">
        <f>'[11]Volume (KT)'!$E$13</f>
        <v>29.060889</v>
      </c>
      <c r="I14" s="164">
        <f>'[11]Volume (KT)'!$E$13</f>
        <v>29.060889</v>
      </c>
      <c r="J14" s="164">
        <f>'[11]Volume (KT)'!$E$13</f>
        <v>29.060889</v>
      </c>
      <c r="K14" s="164">
        <f>'[11]Volume (KT)'!$E$13</f>
        <v>29.060889</v>
      </c>
      <c r="L14" s="164">
        <f>'[11]Volume (KT)'!$E$13</f>
        <v>29.060889</v>
      </c>
      <c r="M14" s="164">
        <f>'[11]Volume (KT)'!$E$13</f>
        <v>29.060889</v>
      </c>
      <c r="N14" s="164">
        <f>'[11]Volume (KT)'!$E$13</f>
        <v>29.060889</v>
      </c>
      <c r="O14" s="164">
        <f>'[11]Volume (KT)'!$E$13</f>
        <v>29.060889</v>
      </c>
      <c r="P14" s="164">
        <f>'[11]Volume (KT)'!$E$13</f>
        <v>29.060889</v>
      </c>
    </row>
    <row r="15" spans="3:16">
      <c r="C15" s="162" t="s">
        <v>243</v>
      </c>
      <c r="D15" s="163" t="s">
        <v>241</v>
      </c>
      <c r="E15" s="164">
        <f>'[11]Volume (KT)'!$E$13</f>
        <v>29.060889</v>
      </c>
      <c r="F15" s="164">
        <f>'[11]Volume (KT)'!$E$13</f>
        <v>29.060889</v>
      </c>
      <c r="G15" s="164">
        <f>'[11]Volume (KT)'!$E$13</f>
        <v>29.060889</v>
      </c>
      <c r="H15" s="164">
        <f>'[11]Volume (KT)'!$E$13</f>
        <v>29.060889</v>
      </c>
      <c r="I15" s="164">
        <f>'[11]Volume (KT)'!$E$13</f>
        <v>29.060889</v>
      </c>
      <c r="J15" s="164">
        <f>'[11]Volume (KT)'!$E$13</f>
        <v>29.060889</v>
      </c>
      <c r="K15" s="164">
        <f>'[11]Volume (KT)'!$E$13</f>
        <v>29.060889</v>
      </c>
      <c r="L15" s="164">
        <f>'[11]Volume (KT)'!$E$13</f>
        <v>29.060889</v>
      </c>
      <c r="M15" s="164">
        <f>'[11]Volume (KT)'!$E$13</f>
        <v>29.060889</v>
      </c>
      <c r="N15" s="164">
        <f>'[11]Volume (KT)'!$E$13</f>
        <v>29.060889</v>
      </c>
      <c r="O15" s="164">
        <f>'[11]Volume (KT)'!$E$13</f>
        <v>29.060889</v>
      </c>
      <c r="P15" s="164">
        <f>'[11]Volume (KT)'!$E$13</f>
        <v>29.060889</v>
      </c>
    </row>
    <row r="16" spans="3:16">
      <c r="C16" s="162" t="s">
        <v>244</v>
      </c>
      <c r="D16" s="163" t="s">
        <v>241</v>
      </c>
      <c r="E16" s="164">
        <f>'[11]Volume (KT)'!$E$13</f>
        <v>29.060889</v>
      </c>
      <c r="F16" s="164">
        <f>'[11]Volume (KT)'!$E$13</f>
        <v>29.060889</v>
      </c>
      <c r="G16" s="164">
        <f>'[11]Volume (KT)'!$E$13</f>
        <v>29.060889</v>
      </c>
      <c r="H16" s="164">
        <f>'[11]Volume (KT)'!$E$13</f>
        <v>29.060889</v>
      </c>
      <c r="I16" s="164">
        <f>'[11]Volume (KT)'!$E$13</f>
        <v>29.060889</v>
      </c>
      <c r="J16" s="164">
        <f>'[11]Volume (KT)'!$E$13</f>
        <v>29.060889</v>
      </c>
      <c r="K16" s="164">
        <f>'[11]Volume (KT)'!$E$13</f>
        <v>29.060889</v>
      </c>
      <c r="L16" s="164">
        <f>'[11]Volume (KT)'!$E$13</f>
        <v>29.060889</v>
      </c>
      <c r="M16" s="164">
        <f>'[11]Volume (KT)'!$E$13</f>
        <v>29.060889</v>
      </c>
      <c r="N16" s="164">
        <f>'[11]Volume (KT)'!$E$13</f>
        <v>29.060889</v>
      </c>
      <c r="O16" s="164">
        <f>'[11]Volume (KT)'!$E$13</f>
        <v>29.060889</v>
      </c>
      <c r="P16" s="164">
        <f>'[11]Volume (KT)'!$E$13</f>
        <v>29.060889</v>
      </c>
    </row>
    <row r="17" spans="1:16">
      <c r="C17" s="162" t="s">
        <v>185</v>
      </c>
      <c r="D17" s="163" t="s">
        <v>241</v>
      </c>
      <c r="E17" s="164">
        <f>'[11]Volume (KT)'!$E$13</f>
        <v>29.060889</v>
      </c>
      <c r="F17" s="164">
        <f>'[11]Volume (KT)'!$E$13</f>
        <v>29.060889</v>
      </c>
      <c r="G17" s="164">
        <f>'[11]Volume (KT)'!$E$13</f>
        <v>29.060889</v>
      </c>
      <c r="H17" s="164">
        <f>'[11]Volume (KT)'!$E$13</f>
        <v>29.060889</v>
      </c>
      <c r="I17" s="164">
        <f>'[11]Volume (KT)'!$E$13</f>
        <v>29.060889</v>
      </c>
      <c r="J17" s="164">
        <f>'[11]Volume (KT)'!$E$13</f>
        <v>29.060889</v>
      </c>
      <c r="K17" s="164">
        <f>'[11]Volume (KT)'!$E$13</f>
        <v>29.060889</v>
      </c>
      <c r="L17" s="164">
        <f>'[11]Volume (KT)'!$E$13</f>
        <v>29.060889</v>
      </c>
      <c r="M17" s="164">
        <f>'[11]Volume (KT)'!$E$13</f>
        <v>29.060889</v>
      </c>
      <c r="N17" s="164">
        <f>'[11]Volume (KT)'!$E$13</f>
        <v>29.060889</v>
      </c>
      <c r="O17" s="164">
        <f>'[11]Volume (KT)'!$E$13</f>
        <v>29.060889</v>
      </c>
      <c r="P17" s="164">
        <f>'[11]Volume (KT)'!$E$13</f>
        <v>29.060889</v>
      </c>
    </row>
    <row r="18" spans="1:16">
      <c r="C18" s="162" t="s">
        <v>175</v>
      </c>
      <c r="D18" s="163" t="s">
        <v>241</v>
      </c>
      <c r="E18" s="164">
        <f>'[11]Volume (KT)'!$E$13</f>
        <v>29.060889</v>
      </c>
      <c r="F18" s="164">
        <f>'[11]Volume (KT)'!$E$13</f>
        <v>29.060889</v>
      </c>
      <c r="G18" s="164">
        <f>'[11]Volume (KT)'!$E$13</f>
        <v>29.060889</v>
      </c>
      <c r="H18" s="164">
        <f>'[11]Volume (KT)'!$E$13</f>
        <v>29.060889</v>
      </c>
      <c r="I18" s="164">
        <f>'[11]Volume (KT)'!$E$13</f>
        <v>29.060889</v>
      </c>
      <c r="J18" s="164">
        <f>'[11]Volume (KT)'!$E$13</f>
        <v>29.060889</v>
      </c>
      <c r="K18" s="164">
        <f>'[11]Volume (KT)'!$E$13</f>
        <v>29.060889</v>
      </c>
      <c r="L18" s="164">
        <f>'[11]Volume (KT)'!$E$13</f>
        <v>29.060889</v>
      </c>
      <c r="M18" s="164">
        <f>'[11]Volume (KT)'!$E$13</f>
        <v>29.060889</v>
      </c>
      <c r="N18" s="164">
        <f>'[11]Volume (KT)'!$E$13</f>
        <v>29.060889</v>
      </c>
      <c r="O18" s="164">
        <f>'[11]Volume (KT)'!$E$13</f>
        <v>29.060889</v>
      </c>
      <c r="P18" s="164">
        <f>'[11]Volume (KT)'!$E$13</f>
        <v>29.060889</v>
      </c>
    </row>
    <row r="19" spans="1:16">
      <c r="C19" s="162" t="s">
        <v>245</v>
      </c>
      <c r="D19" s="165" t="s">
        <v>241</v>
      </c>
      <c r="E19" s="166">
        <f>SUM(E13:E18)</f>
        <v>174.36533399999999</v>
      </c>
      <c r="F19" s="166">
        <f t="shared" ref="F19" si="0">SUM(F13:F18)</f>
        <v>174.36533399999999</v>
      </c>
      <c r="G19" s="166">
        <f>SUM(G13:G18)</f>
        <v>174.36533399999999</v>
      </c>
      <c r="H19" s="166">
        <f>SUM(H13:H18)</f>
        <v>174.36533399999999</v>
      </c>
      <c r="I19" s="166">
        <f t="shared" ref="I19:P19" si="1">SUM(I13:I18)</f>
        <v>174.36533399999999</v>
      </c>
      <c r="J19" s="166">
        <f t="shared" si="1"/>
        <v>174.36533399999999</v>
      </c>
      <c r="K19" s="166">
        <f t="shared" si="1"/>
        <v>174.36533399999999</v>
      </c>
      <c r="L19" s="166">
        <f t="shared" si="1"/>
        <v>174.36533399999999</v>
      </c>
      <c r="M19" s="166">
        <f t="shared" si="1"/>
        <v>174.36533399999999</v>
      </c>
      <c r="N19" s="166">
        <f t="shared" si="1"/>
        <v>174.36533399999999</v>
      </c>
      <c r="O19" s="166">
        <f t="shared" si="1"/>
        <v>174.36533399999999</v>
      </c>
      <c r="P19" s="166">
        <f t="shared" si="1"/>
        <v>174.36533399999999</v>
      </c>
    </row>
    <row r="20" spans="1:16">
      <c r="C20" s="162" t="s">
        <v>245</v>
      </c>
      <c r="D20" s="167" t="s">
        <v>246</v>
      </c>
      <c r="E20" s="166">
        <f>E19/24/E11*1000</f>
        <v>234.36200806451612</v>
      </c>
      <c r="F20" s="166">
        <f t="shared" ref="F20" si="2">F19/24/F11*1000</f>
        <v>250.52490517241378</v>
      </c>
      <c r="G20" s="166">
        <f>G19/24/G11*1000</f>
        <v>234.36200806451612</v>
      </c>
      <c r="H20" s="166">
        <f>H19/24/H11*1000</f>
        <v>242.17407499999999</v>
      </c>
      <c r="I20" s="166">
        <f t="shared" ref="I20:P20" si="3">I19/24/I11*1000</f>
        <v>234.36200806451612</v>
      </c>
      <c r="J20" s="166">
        <f t="shared" si="3"/>
        <v>242.17407499999999</v>
      </c>
      <c r="K20" s="166">
        <f t="shared" si="3"/>
        <v>234.36200806451612</v>
      </c>
      <c r="L20" s="166">
        <f t="shared" si="3"/>
        <v>234.36200806451612</v>
      </c>
      <c r="M20" s="166">
        <f t="shared" si="3"/>
        <v>242.17407499999999</v>
      </c>
      <c r="N20" s="166">
        <f t="shared" si="3"/>
        <v>234.36200806451612</v>
      </c>
      <c r="O20" s="166">
        <f t="shared" si="3"/>
        <v>242.17407499999999</v>
      </c>
      <c r="P20" s="166">
        <f t="shared" si="3"/>
        <v>234.36200806451612</v>
      </c>
    </row>
    <row r="21" spans="1:16" ht="23.5">
      <c r="A21" s="168" t="s">
        <v>247</v>
      </c>
      <c r="C21" s="169" t="s">
        <v>248</v>
      </c>
      <c r="D21" s="170" t="s">
        <v>241</v>
      </c>
      <c r="E21" s="171">
        <f>E34-E19</f>
        <v>25.295518999999985</v>
      </c>
      <c r="F21" s="171">
        <f t="shared" ref="F21:P21" si="4">F34-F19</f>
        <v>8.0945810000000051</v>
      </c>
      <c r="G21" s="171">
        <f t="shared" si="4"/>
        <v>25.754443000000009</v>
      </c>
      <c r="H21" s="171">
        <f t="shared" si="4"/>
        <v>-4.8588300000000402</v>
      </c>
      <c r="I21" s="171">
        <f t="shared" si="4"/>
        <v>29.248666000000014</v>
      </c>
      <c r="J21" s="171">
        <f t="shared" si="4"/>
        <v>22.13466600000001</v>
      </c>
      <c r="K21" s="171">
        <f t="shared" si="4"/>
        <v>-23.565333999999979</v>
      </c>
      <c r="L21" s="171">
        <f t="shared" si="4"/>
        <v>34.407666000000006</v>
      </c>
      <c r="M21" s="171">
        <f t="shared" si="4"/>
        <v>14.907666000000006</v>
      </c>
      <c r="N21" s="171">
        <f t="shared" si="4"/>
        <v>-9.2923339999999826</v>
      </c>
      <c r="O21" s="171">
        <f t="shared" si="4"/>
        <v>29.107666000000023</v>
      </c>
      <c r="P21" s="171">
        <f t="shared" si="4"/>
        <v>27.134666000000038</v>
      </c>
    </row>
    <row r="22" spans="1:16" s="174" customFormat="1" ht="23.5">
      <c r="A22" s="172" t="s">
        <v>21</v>
      </c>
      <c r="B22" s="173"/>
      <c r="D22" s="173"/>
    </row>
    <row r="23" spans="1:16">
      <c r="A23" s="1377" t="s">
        <v>1</v>
      </c>
      <c r="B23" s="1377" t="s">
        <v>23</v>
      </c>
      <c r="C23" s="1377" t="s">
        <v>249</v>
      </c>
      <c r="D23" s="1377" t="s">
        <v>250</v>
      </c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</row>
    <row r="24" spans="1:16">
      <c r="A24" s="1378"/>
      <c r="B24" s="1378"/>
      <c r="C24" s="1378"/>
      <c r="D24" s="1378"/>
      <c r="E24" s="176">
        <v>23377</v>
      </c>
      <c r="F24" s="176">
        <v>23408</v>
      </c>
      <c r="G24" s="176">
        <v>23437</v>
      </c>
      <c r="H24" s="176">
        <v>23468</v>
      </c>
      <c r="I24" s="176">
        <v>23498</v>
      </c>
      <c r="J24" s="176">
        <v>23529</v>
      </c>
      <c r="K24" s="176">
        <v>23559</v>
      </c>
      <c r="L24" s="176">
        <v>23590</v>
      </c>
      <c r="M24" s="176">
        <v>23621</v>
      </c>
      <c r="N24" s="176">
        <v>23651</v>
      </c>
      <c r="O24" s="176">
        <v>23682</v>
      </c>
      <c r="P24" s="176">
        <v>23712</v>
      </c>
    </row>
    <row r="25" spans="1:16">
      <c r="A25" s="177" t="s">
        <v>241</v>
      </c>
      <c r="B25" s="178" t="s">
        <v>25</v>
      </c>
      <c r="C25" s="178" t="s">
        <v>251</v>
      </c>
      <c r="D25" s="178" t="s">
        <v>25</v>
      </c>
      <c r="E25" s="179">
        <f>'[11]Volume (KT)'!E25</f>
        <v>45.954879999999996</v>
      </c>
      <c r="F25" s="179">
        <f>'[11]Volume (KT)'!F25</f>
        <v>38.127042000000003</v>
      </c>
      <c r="G25" s="179">
        <f>'[11]Volume (KT)'!G25</f>
        <v>38.771526000000001</v>
      </c>
      <c r="H25" s="179">
        <f>'[11]Volume (KT)'!H25</f>
        <v>32.56024</v>
      </c>
      <c r="I25" s="179">
        <f>'[11]Volume (KT)'!I25</f>
        <v>42.946999999999996</v>
      </c>
      <c r="J25" s="179">
        <f>'[11]Volume (KT)'!J25</f>
        <v>41.7</v>
      </c>
      <c r="K25" s="179">
        <f>'[11]Volume (KT)'!K25</f>
        <v>43.800000000000004</v>
      </c>
      <c r="L25" s="179">
        <f>'[11]Volume (KT)'!L25</f>
        <v>43.2</v>
      </c>
      <c r="M25" s="179">
        <f>'[11]Volume (KT)'!M25</f>
        <v>40.200000000000003</v>
      </c>
      <c r="N25" s="179">
        <f>'[11]Volume (KT)'!N25</f>
        <v>35.499999999999993</v>
      </c>
      <c r="O25" s="179">
        <f>'[11]Volume (KT)'!O25</f>
        <v>40.1</v>
      </c>
      <c r="P25" s="179">
        <f>'[11]Volume (KT)'!P25</f>
        <v>41.4</v>
      </c>
    </row>
    <row r="26" spans="1:16">
      <c r="A26" s="177" t="s">
        <v>241</v>
      </c>
      <c r="B26" s="178" t="s">
        <v>25</v>
      </c>
      <c r="C26" s="178" t="s">
        <v>252</v>
      </c>
      <c r="D26" s="178" t="s">
        <v>25</v>
      </c>
      <c r="E26" s="179">
        <f>'[11]Volume (KT)'!E26</f>
        <v>32.305422999999998</v>
      </c>
      <c r="F26" s="179">
        <f>'[11]Volume (KT)'!F26</f>
        <v>30.116868</v>
      </c>
      <c r="G26" s="179">
        <f>'[11]Volume (KT)'!G26</f>
        <v>31.988320999999999</v>
      </c>
      <c r="H26" s="179">
        <f>'[11]Volume (KT)'!H26</f>
        <v>32.007928</v>
      </c>
      <c r="I26" s="179">
        <f>'[11]Volume (KT)'!I26</f>
        <v>43.424837382564782</v>
      </c>
      <c r="J26" s="179">
        <f>'[11]Volume (KT)'!J26</f>
        <v>43.424837382564782</v>
      </c>
      <c r="K26" s="179">
        <f>'[11]Volume (KT)'!K26</f>
        <v>43.424837382564782</v>
      </c>
      <c r="L26" s="179">
        <f>'[11]Volume (KT)'!L26</f>
        <v>43.424837382564782</v>
      </c>
      <c r="M26" s="179">
        <f>'[11]Volume (KT)'!M26</f>
        <v>43.424837382564782</v>
      </c>
      <c r="N26" s="179">
        <f>'[11]Volume (KT)'!N26</f>
        <v>43.424837382564782</v>
      </c>
      <c r="O26" s="179">
        <f>'[11]Volume (KT)'!O26</f>
        <v>43.424837382564782</v>
      </c>
      <c r="P26" s="179">
        <f>'[11]Volume (KT)'!P26</f>
        <v>43.424837382564782</v>
      </c>
    </row>
    <row r="27" spans="1:16">
      <c r="A27" s="177" t="s">
        <v>241</v>
      </c>
      <c r="B27" s="178" t="s">
        <v>25</v>
      </c>
      <c r="C27" s="178" t="s">
        <v>253</v>
      </c>
      <c r="D27" s="178" t="s">
        <v>25</v>
      </c>
      <c r="E27" s="179">
        <f>'[11]Volume (KT)'!E27</f>
        <v>104.818174</v>
      </c>
      <c r="F27" s="179">
        <f>'[11]Volume (KT)'!F27</f>
        <v>99.128092000000009</v>
      </c>
      <c r="G27" s="179">
        <f>'[11]Volume (KT)'!G27</f>
        <v>111.55413899999999</v>
      </c>
      <c r="H27" s="179">
        <f>'[11]Volume (KT)'!H27</f>
        <v>90.510861000000006</v>
      </c>
      <c r="I27" s="179">
        <f>'[11]Volume (KT)'!I27</f>
        <v>103.10616261743522</v>
      </c>
      <c r="J27" s="179">
        <f>'[11]Volume (KT)'!J27</f>
        <v>97.69516261743523</v>
      </c>
      <c r="K27" s="179">
        <f>'[11]Volume (KT)'!K27</f>
        <v>53.514362617435218</v>
      </c>
      <c r="L27" s="179">
        <f>'[11]Volume (KT)'!L27</f>
        <v>102.43916261743522</v>
      </c>
      <c r="M27" s="179">
        <f>'[11]Volume (KT)'!M27</f>
        <v>87.119089890162485</v>
      </c>
      <c r="N27" s="179">
        <f>'[11]Volume (KT)'!N27</f>
        <v>68.898203300278638</v>
      </c>
      <c r="O27" s="179">
        <f>'[11]Volume (KT)'!O27</f>
        <v>100.70430964702464</v>
      </c>
      <c r="P27" s="179">
        <f>'[11]Volume (KT)'!P27</f>
        <v>102.7109930173129</v>
      </c>
    </row>
    <row r="28" spans="1:16">
      <c r="A28" s="177" t="s">
        <v>241</v>
      </c>
      <c r="B28" s="178" t="s">
        <v>25</v>
      </c>
      <c r="C28" s="178" t="s">
        <v>254</v>
      </c>
      <c r="D28" s="178" t="s">
        <v>25</v>
      </c>
      <c r="E28" s="179">
        <f>'[11]Volume (KT)'!E28</f>
        <v>0.36926400000000004</v>
      </c>
      <c r="F28" s="179">
        <f>'[11]Volume (KT)'!F28</f>
        <v>0.53627999999999998</v>
      </c>
      <c r="G28" s="179">
        <f>'[11]Volume (KT)'!G28</f>
        <v>5.6064000000000003E-2</v>
      </c>
      <c r="H28" s="179">
        <f>'[11]Volume (KT)'!H28</f>
        <v>0.365784</v>
      </c>
      <c r="I28" s="179">
        <f>'[11]Volume (KT)'!I28</f>
        <v>0</v>
      </c>
      <c r="J28" s="179">
        <f>'[11]Volume (KT)'!J28</f>
        <v>0</v>
      </c>
      <c r="K28" s="179">
        <f>'[11]Volume (KT)'!K28</f>
        <v>0</v>
      </c>
      <c r="L28" s="179">
        <f>'[11]Volume (KT)'!L28</f>
        <v>0</v>
      </c>
      <c r="M28" s="179">
        <f>'[11]Volume (KT)'!M28</f>
        <v>0</v>
      </c>
      <c r="N28" s="179">
        <f>'[11]Volume (KT)'!N28</f>
        <v>0</v>
      </c>
      <c r="O28" s="179">
        <f>'[11]Volume (KT)'!O28</f>
        <v>0</v>
      </c>
      <c r="P28" s="179">
        <f>'[11]Volume (KT)'!P28</f>
        <v>0</v>
      </c>
    </row>
    <row r="29" spans="1:16">
      <c r="A29" s="177" t="s">
        <v>241</v>
      </c>
      <c r="B29" s="178" t="s">
        <v>25</v>
      </c>
      <c r="C29" s="178" t="s">
        <v>255</v>
      </c>
      <c r="D29" s="178" t="s">
        <v>25</v>
      </c>
      <c r="E29" s="179">
        <f>'[11]Volume (KT)'!E29</f>
        <v>13.237112</v>
      </c>
      <c r="F29" s="179">
        <f>'[11]Volume (KT)'!F29</f>
        <v>11.863633</v>
      </c>
      <c r="G29" s="179">
        <f>'[11]Volume (KT)'!G29</f>
        <v>8.9373330000000006</v>
      </c>
      <c r="H29" s="179">
        <f>'[11]Volume (KT)'!H29</f>
        <v>5.679386</v>
      </c>
      <c r="I29" s="179">
        <f>'[11]Volume (KT)'!I29</f>
        <v>0</v>
      </c>
      <c r="J29" s="179">
        <f>'[11]Volume (KT)'!J29</f>
        <v>0</v>
      </c>
      <c r="K29" s="179">
        <f>'[11]Volume (KT)'!K29</f>
        <v>0</v>
      </c>
      <c r="L29" s="179">
        <f>'[11]Volume (KT)'!L29</f>
        <v>0</v>
      </c>
      <c r="M29" s="179">
        <f>'[11]Volume (KT)'!M29</f>
        <v>0</v>
      </c>
      <c r="N29" s="179">
        <f>'[11]Volume (KT)'!N29</f>
        <v>0</v>
      </c>
      <c r="O29" s="179">
        <f>'[11]Volume (KT)'!O29</f>
        <v>0</v>
      </c>
      <c r="P29" s="179">
        <f>'[11]Volume (KT)'!P29</f>
        <v>0</v>
      </c>
    </row>
    <row r="30" spans="1:16">
      <c r="A30" s="177" t="s">
        <v>241</v>
      </c>
      <c r="B30" s="178" t="s">
        <v>25</v>
      </c>
      <c r="C30" s="178" t="s">
        <v>256</v>
      </c>
      <c r="D30" s="178" t="s">
        <v>25</v>
      </c>
      <c r="E30" s="179">
        <f>'[11]Volume (KT)'!E30</f>
        <v>2.976</v>
      </c>
      <c r="F30" s="179">
        <f>'[11]Volume (KT)'!F30</f>
        <v>2.6880000000000002</v>
      </c>
      <c r="G30" s="179">
        <f>'[11]Volume (KT)'!G30</f>
        <v>2.976</v>
      </c>
      <c r="H30" s="179">
        <f>'[11]Volume (KT)'!H30</f>
        <v>2.6880000000000002</v>
      </c>
      <c r="I30" s="179">
        <f>'[11]Volume (KT)'!I30</f>
        <v>2.976</v>
      </c>
      <c r="J30" s="179">
        <f>'[11]Volume (KT)'!J30</f>
        <v>2.88</v>
      </c>
      <c r="K30" s="179">
        <f>'[11]Volume (KT)'!K30</f>
        <v>2.976</v>
      </c>
      <c r="L30" s="179">
        <f>'[11]Volume (KT)'!L30</f>
        <v>2.976</v>
      </c>
      <c r="M30" s="179">
        <f>'[11]Volume (KT)'!M30</f>
        <v>2.88</v>
      </c>
      <c r="N30" s="179">
        <f>'[11]Volume (KT)'!N30</f>
        <v>2.976</v>
      </c>
      <c r="O30" s="179">
        <f>'[11]Volume (KT)'!O30</f>
        <v>2.88</v>
      </c>
      <c r="P30" s="179">
        <f>'[11]Volume (KT)'!P30</f>
        <v>2.976</v>
      </c>
    </row>
    <row r="31" spans="1:16">
      <c r="A31" s="177" t="s">
        <v>241</v>
      </c>
      <c r="B31" s="178" t="s">
        <v>25</v>
      </c>
      <c r="C31" s="178" t="s">
        <v>257</v>
      </c>
      <c r="D31" s="178" t="s">
        <v>25</v>
      </c>
      <c r="E31" s="179">
        <f>'[11]Volume (KT)'!E31</f>
        <v>0</v>
      </c>
      <c r="F31" s="179">
        <f>'[11]Volume (KT)'!F31</f>
        <v>0</v>
      </c>
      <c r="G31" s="179">
        <f>'[11]Volume (KT)'!G31</f>
        <v>5.8363940000000003</v>
      </c>
      <c r="H31" s="179">
        <f>'[11]Volume (KT)'!H31</f>
        <v>5.6943049999999999</v>
      </c>
      <c r="I31" s="179">
        <f>'[11]Volume (KT)'!I31</f>
        <v>11.160000000000002</v>
      </c>
      <c r="J31" s="179">
        <f>'[11]Volume (KT)'!J31</f>
        <v>10.800000000000002</v>
      </c>
      <c r="K31" s="179">
        <f>'[11]Volume (KT)'!K31</f>
        <v>7.0847999999999995</v>
      </c>
      <c r="L31" s="179">
        <f>'[11]Volume (KT)'!L31</f>
        <v>11.160000000000002</v>
      </c>
      <c r="M31" s="179">
        <f>'[11]Volume (KT)'!M31</f>
        <v>10.076072727272727</v>
      </c>
      <c r="N31" s="179">
        <f>'[11]Volume (KT)'!N31</f>
        <v>8.7009593171565793</v>
      </c>
      <c r="O31" s="179">
        <f>'[11]Volume (KT)'!O31</f>
        <v>10.790852970410581</v>
      </c>
      <c r="P31" s="179">
        <f>'[11]Volume (KT)'!P31</f>
        <v>10.988169600122337</v>
      </c>
    </row>
    <row r="32" spans="1:16">
      <c r="A32" s="177" t="s">
        <v>241</v>
      </c>
      <c r="B32" s="178" t="s">
        <v>25</v>
      </c>
      <c r="C32" s="178" t="s">
        <v>258</v>
      </c>
      <c r="D32" s="178" t="s">
        <v>25</v>
      </c>
      <c r="E32" s="179">
        <f>'[11]Volume (KT)'!E50</f>
        <v>0</v>
      </c>
      <c r="F32" s="179">
        <f>'[11]Volume (KT)'!F50</f>
        <v>0</v>
      </c>
      <c r="G32" s="179">
        <f>'[11]Volume (KT)'!G50</f>
        <v>0</v>
      </c>
      <c r="H32" s="179">
        <f>'[11]Volume (KT)'!H50</f>
        <v>0</v>
      </c>
      <c r="I32" s="179">
        <f>'[11]Volume (KT)'!I50</f>
        <v>0</v>
      </c>
      <c r="J32" s="179">
        <f>'[11]Volume (KT)'!J50</f>
        <v>0</v>
      </c>
      <c r="K32" s="179">
        <f>'[11]Volume (KT)'!K50</f>
        <v>0</v>
      </c>
      <c r="L32" s="179">
        <f>'[11]Volume (KT)'!L50</f>
        <v>5.5730000000000004</v>
      </c>
      <c r="M32" s="179">
        <f>'[11]Volume (KT)'!M50</f>
        <v>5.5730000000000004</v>
      </c>
      <c r="N32" s="179">
        <f>'[11]Volume (KT)'!N50</f>
        <v>5.5730000000000004</v>
      </c>
      <c r="O32" s="179">
        <f>'[11]Volume (KT)'!O50</f>
        <v>5.5730000000000004</v>
      </c>
      <c r="P32" s="179">
        <f>'[11]Volume (KT)'!P50</f>
        <v>0</v>
      </c>
    </row>
    <row r="33" spans="1:16">
      <c r="A33" s="177" t="s">
        <v>241</v>
      </c>
      <c r="B33" s="180" t="s">
        <v>34</v>
      </c>
      <c r="C33" s="178" t="s">
        <v>258</v>
      </c>
      <c r="D33" s="178" t="s">
        <v>25</v>
      </c>
      <c r="E33" s="179">
        <f>'[11]Volume (KT)'!E51</f>
        <v>0</v>
      </c>
      <c r="F33" s="179">
        <f>'[11]Volume (KT)'!F51</f>
        <v>0</v>
      </c>
      <c r="G33" s="179">
        <f>'[11]Volume (KT)'!G51</f>
        <v>0</v>
      </c>
      <c r="H33" s="179">
        <f>'[11]Volume (KT)'!H51</f>
        <v>0</v>
      </c>
      <c r="I33" s="179">
        <f>'[11]Volume (KT)'!I51</f>
        <v>0</v>
      </c>
      <c r="J33" s="179">
        <f>'[11]Volume (KT)'!J51</f>
        <v>0</v>
      </c>
      <c r="K33" s="179">
        <f>'[11]Volume (KT)'!K51</f>
        <v>0</v>
      </c>
      <c r="L33" s="179">
        <f>'[11]Volume (KT)'!L51</f>
        <v>0</v>
      </c>
      <c r="M33" s="179">
        <f>'[11]Volume (KT)'!M51</f>
        <v>0</v>
      </c>
      <c r="N33" s="179">
        <f>'[11]Volume (KT)'!N51</f>
        <v>0</v>
      </c>
      <c r="O33" s="179">
        <f>'[11]Volume (KT)'!O51</f>
        <v>0</v>
      </c>
      <c r="P33" s="179">
        <f>'[11]Volume (KT)'!P51</f>
        <v>0</v>
      </c>
    </row>
    <row r="34" spans="1:16" s="174" customFormat="1" ht="23.5">
      <c r="A34" s="172" t="s">
        <v>152</v>
      </c>
      <c r="B34" s="173"/>
      <c r="D34" s="173"/>
      <c r="E34" s="181">
        <f>SUM(E25:E33)</f>
        <v>199.66085299999997</v>
      </c>
      <c r="F34" s="181">
        <f t="shared" ref="F34:P34" si="5">SUM(F25:F33)</f>
        <v>182.459915</v>
      </c>
      <c r="G34" s="181">
        <f t="shared" si="5"/>
        <v>200.119777</v>
      </c>
      <c r="H34" s="181">
        <f t="shared" si="5"/>
        <v>169.50650399999995</v>
      </c>
      <c r="I34" s="181">
        <f t="shared" si="5"/>
        <v>203.614</v>
      </c>
      <c r="J34" s="181">
        <f t="shared" si="5"/>
        <v>196.5</v>
      </c>
      <c r="K34" s="181">
        <f t="shared" si="5"/>
        <v>150.80000000000001</v>
      </c>
      <c r="L34" s="181">
        <f t="shared" si="5"/>
        <v>208.773</v>
      </c>
      <c r="M34" s="181">
        <f t="shared" si="5"/>
        <v>189.273</v>
      </c>
      <c r="N34" s="181">
        <f t="shared" si="5"/>
        <v>165.07300000000001</v>
      </c>
      <c r="O34" s="181">
        <f t="shared" si="5"/>
        <v>203.47300000000001</v>
      </c>
      <c r="P34" s="181">
        <f t="shared" si="5"/>
        <v>201.50000000000003</v>
      </c>
    </row>
    <row r="35" spans="1:16">
      <c r="A35" s="1377" t="s">
        <v>1</v>
      </c>
      <c r="B35" s="1377" t="s">
        <v>23</v>
      </c>
      <c r="C35" s="1377" t="s">
        <v>249</v>
      </c>
      <c r="D35" s="1377" t="s">
        <v>250</v>
      </c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</row>
    <row r="36" spans="1:16">
      <c r="A36" s="1378"/>
      <c r="B36" s="1378"/>
      <c r="C36" s="1378"/>
      <c r="D36" s="1378"/>
      <c r="E36" s="176">
        <v>23377</v>
      </c>
      <c r="F36" s="176">
        <v>23408</v>
      </c>
      <c r="G36" s="176">
        <v>23437</v>
      </c>
      <c r="H36" s="176">
        <v>23468</v>
      </c>
      <c r="I36" s="176">
        <v>23498</v>
      </c>
      <c r="J36" s="176">
        <v>23529</v>
      </c>
      <c r="K36" s="176">
        <v>23559</v>
      </c>
      <c r="L36" s="176">
        <v>23590</v>
      </c>
      <c r="M36" s="176">
        <v>23621</v>
      </c>
      <c r="N36" s="176">
        <v>23651</v>
      </c>
      <c r="O36" s="176">
        <v>23682</v>
      </c>
      <c r="P36" s="176">
        <v>23712</v>
      </c>
    </row>
    <row r="37" spans="1:16">
      <c r="A37" s="177"/>
      <c r="B37" s="182"/>
      <c r="C37" s="183" t="s">
        <v>259</v>
      </c>
      <c r="D37" s="182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</row>
    <row r="38" spans="1:16">
      <c r="A38" s="177" t="s">
        <v>241</v>
      </c>
      <c r="B38" s="182" t="s">
        <v>25</v>
      </c>
      <c r="C38" s="185" t="s">
        <v>134</v>
      </c>
      <c r="D38" s="182" t="s">
        <v>25</v>
      </c>
      <c r="E38" s="186">
        <v>22.32</v>
      </c>
      <c r="F38" s="186">
        <v>20.16</v>
      </c>
      <c r="G38" s="186">
        <v>18.82</v>
      </c>
      <c r="H38" s="186">
        <v>11.8</v>
      </c>
      <c r="I38" s="186">
        <v>24.5</v>
      </c>
      <c r="J38" s="186">
        <v>21.6</v>
      </c>
      <c r="K38" s="186">
        <v>22.32</v>
      </c>
      <c r="L38" s="186">
        <v>22.32</v>
      </c>
      <c r="M38" s="186">
        <v>20.736000000000001</v>
      </c>
      <c r="N38" s="186">
        <v>22.32</v>
      </c>
      <c r="O38" s="186">
        <v>21.6</v>
      </c>
      <c r="P38" s="186">
        <v>22.32</v>
      </c>
    </row>
    <row r="39" spans="1:16">
      <c r="A39" s="177" t="s">
        <v>241</v>
      </c>
      <c r="B39" s="187" t="s">
        <v>34</v>
      </c>
      <c r="C39" s="185" t="s">
        <v>134</v>
      </c>
      <c r="D39" s="182" t="s">
        <v>25</v>
      </c>
      <c r="E39" s="186">
        <f>'[11]Volume (KT)'!E37</f>
        <v>0</v>
      </c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</row>
    <row r="40" spans="1:16">
      <c r="A40" s="177"/>
      <c r="B40" s="188"/>
      <c r="C40" s="189" t="s">
        <v>260</v>
      </c>
      <c r="D40" s="188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</row>
    <row r="41" spans="1:16">
      <c r="A41" s="177" t="s">
        <v>241</v>
      </c>
      <c r="B41" s="188" t="s">
        <v>25</v>
      </c>
      <c r="C41" s="190" t="s">
        <v>223</v>
      </c>
      <c r="D41" s="188" t="s">
        <v>25</v>
      </c>
      <c r="E41" s="186">
        <v>32.24</v>
      </c>
      <c r="F41" s="186">
        <v>28.1</v>
      </c>
      <c r="G41" s="186">
        <v>32.24</v>
      </c>
      <c r="H41" s="186">
        <v>24.491</v>
      </c>
      <c r="I41" s="186">
        <v>32.24</v>
      </c>
      <c r="J41" s="186">
        <v>31.2</v>
      </c>
      <c r="K41" s="186">
        <v>24.5</v>
      </c>
      <c r="L41" s="186">
        <v>32.24</v>
      </c>
      <c r="M41" s="186">
        <v>22.7</v>
      </c>
      <c r="N41" s="186">
        <v>0</v>
      </c>
      <c r="O41" s="186">
        <v>31.2</v>
      </c>
      <c r="P41" s="186">
        <v>32.24</v>
      </c>
    </row>
    <row r="42" spans="1:16">
      <c r="A42" s="177" t="s">
        <v>241</v>
      </c>
      <c r="B42" s="191" t="s">
        <v>34</v>
      </c>
      <c r="C42" s="190" t="s">
        <v>223</v>
      </c>
      <c r="D42" s="188" t="s">
        <v>25</v>
      </c>
      <c r="E42" s="186">
        <f>'[11]Volume (KT)'!E40</f>
        <v>0</v>
      </c>
      <c r="F42" s="186">
        <f>'[11]Volume (KT)'!F40</f>
        <v>0</v>
      </c>
      <c r="G42" s="186">
        <f>'[11]Volume (KT)'!G40</f>
        <v>0</v>
      </c>
      <c r="H42" s="186">
        <f>'[11]Volume (KT)'!H40</f>
        <v>0</v>
      </c>
      <c r="I42" s="186">
        <f>'[11]Volume (KT)'!I40</f>
        <v>0</v>
      </c>
      <c r="J42" s="186">
        <f>'[11]Volume (KT)'!J40</f>
        <v>0</v>
      </c>
      <c r="K42" s="186">
        <f>'[11]Volume (KT)'!K40</f>
        <v>0</v>
      </c>
      <c r="L42" s="186">
        <f>'[11]Volume (KT)'!L40</f>
        <v>0</v>
      </c>
      <c r="M42" s="186">
        <f>'[11]Volume (KT)'!M40</f>
        <v>0</v>
      </c>
      <c r="N42" s="186">
        <f>'[11]Volume (KT)'!N40</f>
        <v>0</v>
      </c>
      <c r="O42" s="186">
        <f>'[11]Volume (KT)'!O40</f>
        <v>0</v>
      </c>
      <c r="P42" s="186">
        <f>'[11]Volume (KT)'!P40</f>
        <v>0</v>
      </c>
    </row>
    <row r="43" spans="1:16">
      <c r="A43" s="177"/>
      <c r="B43" s="192"/>
      <c r="C43" s="193" t="s">
        <v>261</v>
      </c>
      <c r="D43" s="192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</row>
    <row r="44" spans="1:16">
      <c r="A44" s="177" t="s">
        <v>241</v>
      </c>
      <c r="B44" s="192" t="s">
        <v>25</v>
      </c>
      <c r="C44" s="194" t="s">
        <v>262</v>
      </c>
      <c r="D44" s="192" t="s">
        <v>25</v>
      </c>
      <c r="E44" s="186">
        <v>26.207000000000001</v>
      </c>
      <c r="F44" s="186">
        <v>21.276</v>
      </c>
      <c r="G44" s="186">
        <v>23.556000000000001</v>
      </c>
      <c r="H44" s="186">
        <v>19.7</v>
      </c>
      <c r="I44" s="186">
        <v>20.771999999999998</v>
      </c>
      <c r="J44" s="186">
        <v>22.036000000000001</v>
      </c>
      <c r="K44" s="186">
        <v>0.88100000000000001</v>
      </c>
      <c r="L44" s="186">
        <v>21.276</v>
      </c>
      <c r="M44" s="186">
        <v>21.884</v>
      </c>
      <c r="N44" s="186">
        <v>20.257999999999999</v>
      </c>
      <c r="O44" s="186">
        <v>22.658999999999999</v>
      </c>
      <c r="P44" s="186">
        <v>23.556000000000001</v>
      </c>
    </row>
    <row r="45" spans="1:16">
      <c r="A45" s="177" t="s">
        <v>241</v>
      </c>
      <c r="B45" s="192" t="s">
        <v>25</v>
      </c>
      <c r="C45" s="194" t="s">
        <v>634</v>
      </c>
      <c r="D45" s="192" t="s">
        <v>25</v>
      </c>
      <c r="E45" s="186"/>
      <c r="F45" s="186">
        <v>4.5</v>
      </c>
      <c r="G45" s="186">
        <v>7.5</v>
      </c>
      <c r="H45" s="186">
        <v>0</v>
      </c>
      <c r="I45" s="186">
        <v>2</v>
      </c>
      <c r="J45" s="186">
        <v>5.6739999999999995</v>
      </c>
      <c r="K45" s="186"/>
      <c r="L45" s="186"/>
      <c r="M45" s="186">
        <v>4</v>
      </c>
      <c r="N45" s="186">
        <v>4</v>
      </c>
      <c r="O45" s="186">
        <v>4</v>
      </c>
      <c r="P45" s="186">
        <v>4</v>
      </c>
    </row>
    <row r="46" spans="1:16">
      <c r="A46" s="177"/>
      <c r="B46" s="192"/>
      <c r="C46" s="193" t="s">
        <v>263</v>
      </c>
      <c r="D46" s="192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</row>
    <row r="47" spans="1:16">
      <c r="A47" s="177" t="s">
        <v>241</v>
      </c>
      <c r="B47" s="192" t="s">
        <v>25</v>
      </c>
      <c r="C47" s="194" t="s">
        <v>264</v>
      </c>
      <c r="D47" s="192" t="s">
        <v>25</v>
      </c>
      <c r="E47" s="186">
        <v>0</v>
      </c>
      <c r="F47" s="186">
        <v>9</v>
      </c>
      <c r="G47" s="186">
        <v>10.8</v>
      </c>
      <c r="H47" s="186">
        <v>10.6</v>
      </c>
      <c r="I47" s="186">
        <v>10.5</v>
      </c>
      <c r="J47" s="186">
        <v>11</v>
      </c>
      <c r="K47" s="186"/>
      <c r="L47" s="186">
        <v>5</v>
      </c>
      <c r="M47" s="186">
        <v>5.8689999999999998</v>
      </c>
      <c r="N47" s="186">
        <v>10.069000000000001</v>
      </c>
      <c r="O47" s="186">
        <v>5.069</v>
      </c>
      <c r="P47" s="186">
        <v>5.8490000000000002</v>
      </c>
    </row>
    <row r="48" spans="1:16">
      <c r="A48" s="177" t="s">
        <v>241</v>
      </c>
      <c r="B48" s="195" t="s">
        <v>34</v>
      </c>
      <c r="C48" s="194" t="s">
        <v>264</v>
      </c>
      <c r="D48" s="192" t="s">
        <v>25</v>
      </c>
      <c r="E48" s="186">
        <f>'[11]Volume (KT)'!E47</f>
        <v>0</v>
      </c>
      <c r="F48" s="186">
        <f>'[11]Volume (KT)'!F47</f>
        <v>0</v>
      </c>
      <c r="G48" s="186">
        <f>'[11]Volume (KT)'!G47</f>
        <v>0</v>
      </c>
      <c r="H48" s="186">
        <f>'[11]Volume (KT)'!H47</f>
        <v>12.1</v>
      </c>
      <c r="I48" s="186">
        <f>'[11]Volume (KT)'!I47</f>
        <v>0</v>
      </c>
      <c r="J48" s="186">
        <f>'[11]Volume (KT)'!J47</f>
        <v>18.2</v>
      </c>
      <c r="K48" s="186">
        <f>'[11]Volume (KT)'!K47</f>
        <v>23.733999999999998</v>
      </c>
      <c r="L48" s="186">
        <f>'[11]Volume (KT)'!L47</f>
        <v>0</v>
      </c>
      <c r="M48" s="186">
        <f>'[11]Volume (KT)'!M47</f>
        <v>0</v>
      </c>
      <c r="N48" s="186">
        <f>'[11]Volume (KT)'!N47</f>
        <v>0</v>
      </c>
      <c r="O48" s="186">
        <f>'[11]Volume (KT)'!O47</f>
        <v>0</v>
      </c>
      <c r="P48" s="186">
        <f>'[11]Volume (KT)'!P47</f>
        <v>6.9909999999999997</v>
      </c>
    </row>
    <row r="49" spans="1:16">
      <c r="A49" s="177" t="s">
        <v>241</v>
      </c>
      <c r="B49" s="192" t="s">
        <v>25</v>
      </c>
      <c r="C49" s="194" t="s">
        <v>265</v>
      </c>
      <c r="D49" s="192" t="s">
        <v>25</v>
      </c>
      <c r="E49" s="186">
        <f>'[11]Volume (KT)'!E48</f>
        <v>0</v>
      </c>
      <c r="F49" s="186">
        <f>'[11]Volume (KT)'!F48</f>
        <v>0</v>
      </c>
      <c r="G49" s="186">
        <f>'[11]Volume (KT)'!G48</f>
        <v>0</v>
      </c>
      <c r="H49" s="186">
        <f>'[11]Volume (KT)'!H48</f>
        <v>0</v>
      </c>
      <c r="I49" s="186">
        <f>'[11]Volume (KT)'!I48</f>
        <v>0</v>
      </c>
      <c r="J49" s="186">
        <f>'[11]Volume (KT)'!J48</f>
        <v>0</v>
      </c>
      <c r="K49" s="186">
        <f>'[11]Volume (KT)'!K48</f>
        <v>0</v>
      </c>
      <c r="L49" s="186">
        <f>'[11]Volume (KT)'!L48</f>
        <v>0</v>
      </c>
      <c r="M49" s="186">
        <f>'[11]Volume (KT)'!M48</f>
        <v>0</v>
      </c>
      <c r="N49" s="186">
        <f>'[11]Volume (KT)'!N48</f>
        <v>0</v>
      </c>
      <c r="O49" s="186">
        <f>'[11]Volume (KT)'!O48</f>
        <v>0</v>
      </c>
      <c r="P49" s="186">
        <f>'[11]Volume (KT)'!P48</f>
        <v>0</v>
      </c>
    </row>
    <row r="50" spans="1:16">
      <c r="A50" s="177" t="s">
        <v>241</v>
      </c>
      <c r="B50" s="195" t="s">
        <v>34</v>
      </c>
      <c r="C50" s="194" t="s">
        <v>265</v>
      </c>
      <c r="D50" s="192" t="s">
        <v>25</v>
      </c>
      <c r="E50" s="186">
        <f>'[11]Volume (KT)'!E49</f>
        <v>0</v>
      </c>
      <c r="F50" s="186">
        <f>'[11]Volume (KT)'!F49</f>
        <v>0</v>
      </c>
      <c r="G50" s="186">
        <f>'[11]Volume (KT)'!G49</f>
        <v>0</v>
      </c>
      <c r="H50" s="186">
        <f>'[11]Volume (KT)'!H49</f>
        <v>0</v>
      </c>
      <c r="I50" s="186">
        <f>'[11]Volume (KT)'!I49</f>
        <v>0</v>
      </c>
      <c r="J50" s="186">
        <f>'[11]Volume (KT)'!J49</f>
        <v>0</v>
      </c>
      <c r="K50" s="186">
        <f>'[11]Volume (KT)'!K49</f>
        <v>0</v>
      </c>
      <c r="L50" s="186">
        <f>'[11]Volume (KT)'!L49</f>
        <v>0</v>
      </c>
      <c r="M50" s="186">
        <f>'[11]Volume (KT)'!M49</f>
        <v>0</v>
      </c>
      <c r="N50" s="186">
        <f>'[11]Volume (KT)'!N49</f>
        <v>0</v>
      </c>
      <c r="O50" s="186">
        <f>'[11]Volume (KT)'!O49</f>
        <v>0</v>
      </c>
      <c r="P50" s="186">
        <f>'[11]Volume (KT)'!P49</f>
        <v>0</v>
      </c>
    </row>
    <row r="51" spans="1:16">
      <c r="A51" s="177" t="s">
        <v>241</v>
      </c>
      <c r="B51" s="192" t="s">
        <v>25</v>
      </c>
      <c r="C51" s="192" t="s">
        <v>266</v>
      </c>
      <c r="D51" s="192" t="s">
        <v>25</v>
      </c>
      <c r="E51" s="186">
        <f>'[11]Volume (KT)'!$E$52</f>
        <v>0.6</v>
      </c>
      <c r="F51" s="186">
        <f>'[11]Volume (KT)'!$E$52</f>
        <v>0.6</v>
      </c>
      <c r="G51" s="186">
        <f>'[11]Volume (KT)'!$E$52</f>
        <v>0.6</v>
      </c>
      <c r="H51" s="186">
        <f>'[11]Volume (KT)'!$E$52</f>
        <v>0.6</v>
      </c>
      <c r="I51" s="186">
        <f>'[11]Volume (KT)'!$E$52</f>
        <v>0.6</v>
      </c>
      <c r="J51" s="186">
        <f>'[11]Volume (KT)'!$E$52</f>
        <v>0.6</v>
      </c>
      <c r="K51" s="186">
        <f>'[11]Volume (KT)'!$E$52</f>
        <v>0.6</v>
      </c>
      <c r="L51" s="186">
        <f>'[11]Volume (KT)'!$E$52</f>
        <v>0.6</v>
      </c>
      <c r="M51" s="186">
        <f>'[11]Volume (KT)'!$E$52</f>
        <v>0.6</v>
      </c>
      <c r="N51" s="186">
        <f>'[11]Volume (KT)'!$E$52</f>
        <v>0.6</v>
      </c>
      <c r="O51" s="186">
        <f>'[11]Volume (KT)'!$E$52</f>
        <v>0.6</v>
      </c>
      <c r="P51" s="186">
        <f>'[11]Volume (KT)'!$E$52</f>
        <v>0.6</v>
      </c>
    </row>
    <row r="52" spans="1:16" s="174" customFormat="1" ht="23.5">
      <c r="A52" s="172" t="s">
        <v>50</v>
      </c>
      <c r="B52" s="173"/>
      <c r="D52" s="173"/>
      <c r="E52" s="181">
        <f t="shared" ref="E52:P52" si="6">SUM(E37:E51)</f>
        <v>81.36699999999999</v>
      </c>
      <c r="F52" s="181">
        <f t="shared" si="6"/>
        <v>83.635999999999996</v>
      </c>
      <c r="G52" s="181">
        <f t="shared" si="6"/>
        <v>93.515999999999991</v>
      </c>
      <c r="H52" s="181">
        <f t="shared" si="6"/>
        <v>79.290999999999983</v>
      </c>
      <c r="I52" s="181">
        <f t="shared" si="6"/>
        <v>90.611999999999995</v>
      </c>
      <c r="J52" s="181">
        <f t="shared" si="6"/>
        <v>110.30999999999999</v>
      </c>
      <c r="K52" s="181">
        <f t="shared" si="6"/>
        <v>72.034999999999997</v>
      </c>
      <c r="L52" s="181">
        <f t="shared" si="6"/>
        <v>81.435999999999993</v>
      </c>
      <c r="M52" s="181">
        <f t="shared" si="6"/>
        <v>75.788999999999987</v>
      </c>
      <c r="N52" s="181">
        <f t="shared" si="6"/>
        <v>57.247000000000007</v>
      </c>
      <c r="O52" s="181">
        <f t="shared" si="6"/>
        <v>85.128</v>
      </c>
      <c r="P52" s="181">
        <f t="shared" si="6"/>
        <v>95.555999999999997</v>
      </c>
    </row>
    <row r="53" spans="1:16">
      <c r="A53" s="1375" t="s">
        <v>1</v>
      </c>
      <c r="B53" s="1377" t="s">
        <v>23</v>
      </c>
      <c r="C53" s="1377" t="s">
        <v>249</v>
      </c>
      <c r="D53" s="1377" t="s">
        <v>250</v>
      </c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</row>
    <row r="54" spans="1:16" ht="14" customHeight="1">
      <c r="A54" s="1376"/>
      <c r="B54" s="1378"/>
      <c r="C54" s="1378"/>
      <c r="D54" s="1378"/>
      <c r="E54" s="176">
        <v>23377</v>
      </c>
      <c r="F54" s="176">
        <v>23408</v>
      </c>
      <c r="G54" s="176">
        <v>23437</v>
      </c>
      <c r="H54" s="176">
        <v>23468</v>
      </c>
      <c r="I54" s="176">
        <v>23498</v>
      </c>
      <c r="J54" s="176">
        <v>23529</v>
      </c>
      <c r="K54" s="176">
        <v>23559</v>
      </c>
      <c r="L54" s="176">
        <v>23590</v>
      </c>
      <c r="M54" s="176">
        <v>23621</v>
      </c>
      <c r="N54" s="176">
        <v>23651</v>
      </c>
      <c r="O54" s="176">
        <v>23682</v>
      </c>
      <c r="P54" s="176">
        <v>23712</v>
      </c>
    </row>
    <row r="55" spans="1:16">
      <c r="A55" s="177"/>
      <c r="B55" s="182"/>
      <c r="C55" s="183" t="s">
        <v>267</v>
      </c>
      <c r="D55" s="183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</row>
    <row r="56" spans="1:16">
      <c r="A56" s="177" t="s">
        <v>241</v>
      </c>
      <c r="B56" s="182" t="s">
        <v>25</v>
      </c>
      <c r="C56" s="185" t="s">
        <v>268</v>
      </c>
      <c r="D56" s="182" t="s">
        <v>25</v>
      </c>
      <c r="E56" s="186">
        <v>34.1</v>
      </c>
      <c r="F56" s="186">
        <v>20</v>
      </c>
      <c r="G56" s="186">
        <v>32.5</v>
      </c>
      <c r="H56" s="186">
        <v>20.5</v>
      </c>
      <c r="I56" s="186">
        <v>42.4</v>
      </c>
      <c r="J56" s="186">
        <v>33.031999999999996</v>
      </c>
      <c r="K56" s="186">
        <v>66.116</v>
      </c>
      <c r="L56" s="186">
        <v>33.82</v>
      </c>
      <c r="M56" s="186">
        <v>33.378999999999998</v>
      </c>
      <c r="N56" s="186">
        <v>33.776000000000003</v>
      </c>
      <c r="O56" s="186">
        <v>33</v>
      </c>
      <c r="P56" s="186">
        <v>34.1</v>
      </c>
    </row>
    <row r="57" spans="1:16">
      <c r="A57" s="177" t="s">
        <v>241</v>
      </c>
      <c r="B57" s="187" t="s">
        <v>34</v>
      </c>
      <c r="C57" s="185" t="s">
        <v>269</v>
      </c>
      <c r="D57" s="182" t="s">
        <v>25</v>
      </c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</row>
    <row r="58" spans="1:16">
      <c r="A58" s="177"/>
      <c r="B58" s="198"/>
      <c r="C58" s="199" t="s">
        <v>270</v>
      </c>
      <c r="D58" s="200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</row>
    <row r="59" spans="1:16">
      <c r="A59" s="177" t="s">
        <v>241</v>
      </c>
      <c r="B59" s="200" t="s">
        <v>25</v>
      </c>
      <c r="C59" s="201" t="s">
        <v>271</v>
      </c>
      <c r="D59" s="200" t="s">
        <v>25</v>
      </c>
      <c r="E59" s="186"/>
      <c r="F59" s="186">
        <v>17.5</v>
      </c>
      <c r="G59" s="186">
        <v>3.24</v>
      </c>
      <c r="H59" s="186">
        <v>28.1</v>
      </c>
      <c r="I59" s="186">
        <v>28</v>
      </c>
      <c r="J59" s="186">
        <v>17</v>
      </c>
      <c r="K59" s="186">
        <v>3</v>
      </c>
      <c r="L59" s="186">
        <v>3</v>
      </c>
      <c r="M59" s="186">
        <v>3</v>
      </c>
      <c r="N59" s="186">
        <v>3</v>
      </c>
      <c r="O59" s="186">
        <v>3</v>
      </c>
      <c r="P59" s="186">
        <v>3</v>
      </c>
    </row>
    <row r="60" spans="1:16">
      <c r="A60" s="177" t="s">
        <v>241</v>
      </c>
      <c r="B60" s="200" t="s">
        <v>25</v>
      </c>
      <c r="C60" s="201" t="s">
        <v>272</v>
      </c>
      <c r="D60" s="200" t="s">
        <v>25</v>
      </c>
      <c r="E60" s="186">
        <f>'[11]Volume (KT)'!E61</f>
        <v>0</v>
      </c>
      <c r="F60" s="186">
        <f>'[11]Volume (KT)'!F61</f>
        <v>0</v>
      </c>
      <c r="G60" s="186">
        <f>'[11]Volume (KT)'!G61</f>
        <v>0</v>
      </c>
      <c r="H60" s="186">
        <f>'[11]Volume (KT)'!H61</f>
        <v>0</v>
      </c>
      <c r="I60" s="186">
        <f>'[11]Volume (KT)'!I61</f>
        <v>0</v>
      </c>
      <c r="J60" s="186">
        <f>'[11]Volume (KT)'!J61</f>
        <v>0</v>
      </c>
      <c r="K60" s="186">
        <f>'[11]Volume (KT)'!K61</f>
        <v>0</v>
      </c>
      <c r="L60" s="186">
        <f>'[11]Volume (KT)'!L61</f>
        <v>0</v>
      </c>
      <c r="M60" s="186">
        <f>'[11]Volume (KT)'!M61</f>
        <v>0</v>
      </c>
      <c r="N60" s="186">
        <f>'[11]Volume (KT)'!N61</f>
        <v>0</v>
      </c>
      <c r="O60" s="186">
        <f>'[11]Volume (KT)'!O61</f>
        <v>0</v>
      </c>
      <c r="P60" s="186">
        <f>'[11]Volume (KT)'!P61</f>
        <v>0</v>
      </c>
    </row>
    <row r="61" spans="1:16">
      <c r="A61" s="177" t="s">
        <v>241</v>
      </c>
      <c r="B61" s="200" t="s">
        <v>25</v>
      </c>
      <c r="C61" s="201" t="s">
        <v>273</v>
      </c>
      <c r="D61" s="200" t="s">
        <v>25</v>
      </c>
      <c r="E61" s="186">
        <f>'[11]Volume (KT)'!E62</f>
        <v>0</v>
      </c>
      <c r="F61" s="186">
        <f>'[11]Volume (KT)'!F62</f>
        <v>0</v>
      </c>
      <c r="G61" s="186">
        <f>'[11]Volume (KT)'!G62</f>
        <v>0</v>
      </c>
      <c r="H61" s="186">
        <f>'[11]Volume (KT)'!H62</f>
        <v>0</v>
      </c>
      <c r="I61" s="186">
        <f>'[11]Volume (KT)'!I62</f>
        <v>0</v>
      </c>
      <c r="J61" s="186">
        <f>'[11]Volume (KT)'!J62</f>
        <v>0</v>
      </c>
      <c r="K61" s="186">
        <f>'[11]Volume (KT)'!K62</f>
        <v>0</v>
      </c>
      <c r="L61" s="186">
        <f>'[11]Volume (KT)'!L62</f>
        <v>0</v>
      </c>
      <c r="M61" s="186">
        <f>'[11]Volume (KT)'!M62</f>
        <v>0</v>
      </c>
      <c r="N61" s="186">
        <f>'[11]Volume (KT)'!N62</f>
        <v>0</v>
      </c>
      <c r="O61" s="186">
        <f>'[11]Volume (KT)'!O62</f>
        <v>0</v>
      </c>
      <c r="P61" s="186">
        <f>'[11]Volume (KT)'!P62</f>
        <v>0</v>
      </c>
    </row>
    <row r="62" spans="1:16">
      <c r="A62" s="177" t="s">
        <v>241</v>
      </c>
      <c r="B62" s="198" t="s">
        <v>34</v>
      </c>
      <c r="C62" s="201" t="s">
        <v>274</v>
      </c>
      <c r="D62" s="200" t="s">
        <v>25</v>
      </c>
      <c r="E62" s="186">
        <f>'[11]Volume (KT)'!E63</f>
        <v>0</v>
      </c>
      <c r="F62" s="186">
        <f>'[11]Volume (KT)'!F63</f>
        <v>0</v>
      </c>
      <c r="G62" s="186">
        <f>'[11]Volume (KT)'!G63</f>
        <v>0</v>
      </c>
      <c r="H62" s="186">
        <f>'[11]Volume (KT)'!H63</f>
        <v>0</v>
      </c>
      <c r="I62" s="186">
        <f>'[11]Volume (KT)'!I63</f>
        <v>0</v>
      </c>
      <c r="J62" s="186">
        <f>'[11]Volume (KT)'!J63</f>
        <v>0</v>
      </c>
      <c r="K62" s="186">
        <f>'[11]Volume (KT)'!K63</f>
        <v>0</v>
      </c>
      <c r="L62" s="186">
        <f>'[11]Volume (KT)'!L63</f>
        <v>0</v>
      </c>
      <c r="M62" s="186">
        <f>'[11]Volume (KT)'!M63</f>
        <v>0</v>
      </c>
      <c r="N62" s="186">
        <f>'[11]Volume (KT)'!N63</f>
        <v>0</v>
      </c>
      <c r="O62" s="186">
        <f>'[11]Volume (KT)'!O63</f>
        <v>0</v>
      </c>
      <c r="P62" s="186">
        <f>'[11]Volume (KT)'!P63</f>
        <v>0</v>
      </c>
    </row>
    <row r="63" spans="1:16">
      <c r="A63" s="177" t="s">
        <v>241</v>
      </c>
      <c r="B63" s="202" t="s">
        <v>25</v>
      </c>
      <c r="C63" s="202" t="s">
        <v>275</v>
      </c>
      <c r="D63" s="202" t="s">
        <v>25</v>
      </c>
      <c r="E63" s="186">
        <f>'[11]Volume (KT)'!E64</f>
        <v>0.8</v>
      </c>
      <c r="F63" s="186">
        <f>'[11]Volume (KT)'!F64</f>
        <v>0.7</v>
      </c>
      <c r="G63" s="186">
        <f>'[11]Volume (KT)'!G64</f>
        <v>0.75</v>
      </c>
      <c r="H63" s="186">
        <f>'[11]Volume (KT)'!H64</f>
        <v>0.6</v>
      </c>
      <c r="I63" s="186">
        <f>'[11]Volume (KT)'!I64</f>
        <v>0.65</v>
      </c>
      <c r="J63" s="186">
        <f>'[11]Volume (KT)'!J64</f>
        <v>0.6</v>
      </c>
      <c r="K63" s="186">
        <f>'[11]Volume (KT)'!K64</f>
        <v>0.8</v>
      </c>
      <c r="L63" s="186">
        <f>'[11]Volume (KT)'!L64</f>
        <v>0.9</v>
      </c>
      <c r="M63" s="186">
        <f>'[11]Volume (KT)'!M64</f>
        <v>0.8</v>
      </c>
      <c r="N63" s="186">
        <f>'[11]Volume (KT)'!N64</f>
        <v>0.8</v>
      </c>
      <c r="O63" s="186">
        <f>'[11]Volume (KT)'!O64</f>
        <v>0.7</v>
      </c>
      <c r="P63" s="186">
        <f>'[11]Volume (KT)'!P64</f>
        <v>0.65</v>
      </c>
    </row>
    <row r="64" spans="1:16">
      <c r="A64" s="177" t="s">
        <v>241</v>
      </c>
      <c r="B64" s="203" t="s">
        <v>233</v>
      </c>
      <c r="C64" s="203" t="s">
        <v>70</v>
      </c>
      <c r="D64" s="203" t="s">
        <v>276</v>
      </c>
      <c r="E64" s="186">
        <f>'[11]Volume (KT)'!E65</f>
        <v>0</v>
      </c>
      <c r="F64" s="186">
        <f>'[11]Volume (KT)'!F65</f>
        <v>0</v>
      </c>
      <c r="G64" s="186">
        <f>'[11]Volume (KT)'!G65</f>
        <v>0</v>
      </c>
      <c r="H64" s="186">
        <f>'[11]Volume (KT)'!H65</f>
        <v>0</v>
      </c>
      <c r="I64" s="186">
        <f>'[11]Volume (KT)'!I65</f>
        <v>0</v>
      </c>
      <c r="J64" s="186">
        <f>'[11]Volume (KT)'!J65</f>
        <v>0</v>
      </c>
      <c r="K64" s="186">
        <f>'[11]Volume (KT)'!K65</f>
        <v>0</v>
      </c>
      <c r="L64" s="186">
        <f>'[11]Volume (KT)'!L65</f>
        <v>0</v>
      </c>
      <c r="M64" s="186">
        <f>'[11]Volume (KT)'!M65</f>
        <v>0</v>
      </c>
      <c r="N64" s="186">
        <f>'[11]Volume (KT)'!N65</f>
        <v>0</v>
      </c>
      <c r="O64" s="186">
        <f>'[11]Volume (KT)'!O65</f>
        <v>0</v>
      </c>
      <c r="P64" s="186">
        <f>'[11]Volume (KT)'!P65</f>
        <v>0</v>
      </c>
    </row>
    <row r="65" spans="1:16">
      <c r="A65" s="177" t="s">
        <v>241</v>
      </c>
      <c r="B65" s="204" t="s">
        <v>34</v>
      </c>
      <c r="C65" s="204" t="s">
        <v>68</v>
      </c>
      <c r="D65" s="204" t="s">
        <v>276</v>
      </c>
      <c r="E65" s="186">
        <f>'[11]Volume (KT)'!E66</f>
        <v>6</v>
      </c>
      <c r="F65" s="186">
        <f>'[11]Volume (KT)'!F66</f>
        <v>39</v>
      </c>
      <c r="G65" s="186">
        <f>'[11]Volume (KT)'!G66</f>
        <v>36</v>
      </c>
      <c r="H65" s="186">
        <f>'[11]Volume (KT)'!H66</f>
        <v>52</v>
      </c>
      <c r="I65" s="186">
        <f>'[11]Volume (KT)'!I66</f>
        <v>42</v>
      </c>
      <c r="J65" s="186">
        <f>'[11]Volume (KT)'!J66</f>
        <v>45</v>
      </c>
      <c r="K65" s="186">
        <f>'[11]Volume (KT)'!K66</f>
        <v>64.366817089999998</v>
      </c>
      <c r="L65" s="186">
        <f>'[11]Volume (KT)'!L66</f>
        <v>28</v>
      </c>
      <c r="M65" s="186">
        <f>'[11]Volume (KT)'!M66</f>
        <v>40</v>
      </c>
      <c r="N65" s="186">
        <f>'[11]Volume (KT)'!N66</f>
        <v>39</v>
      </c>
      <c r="O65" s="186">
        <f>'[11]Volume (KT)'!O66</f>
        <v>42</v>
      </c>
      <c r="P65" s="186">
        <f>'[11]Volume (KT)'!P66</f>
        <v>35</v>
      </c>
    </row>
    <row r="66" spans="1:16">
      <c r="A66" s="177" t="s">
        <v>241</v>
      </c>
      <c r="B66" s="202" t="s">
        <v>25</v>
      </c>
      <c r="C66" s="909" t="s">
        <v>68</v>
      </c>
      <c r="D66" s="202" t="s">
        <v>276</v>
      </c>
      <c r="E66" s="186">
        <f>'[11]Volume (KT)'!E69</f>
        <v>48.21</v>
      </c>
      <c r="F66" s="186">
        <f>'[11]Volume (KT)'!F69</f>
        <v>13.25</v>
      </c>
      <c r="G66" s="186">
        <f>'[11]Volume (KT)'!G69</f>
        <v>20.880000000000003</v>
      </c>
      <c r="H66" s="186">
        <f>'[11]Volume (KT)'!H69</f>
        <v>0.65921776999999793</v>
      </c>
      <c r="I66" s="186">
        <f>'[11]Volume (KT)'!I69</f>
        <v>15.550396230000004</v>
      </c>
      <c r="J66" s="186">
        <f>'[11]Volume (KT)'!J69</f>
        <v>11.137324719999995</v>
      </c>
      <c r="K66" s="186">
        <f>'[11]Volume (KT)'!K69</f>
        <v>0</v>
      </c>
      <c r="L66" s="186">
        <f>'[11]Volume (KT)'!L69</f>
        <v>32.377712349999996</v>
      </c>
      <c r="M66" s="186">
        <f>'[11]Volume (KT)'!M69</f>
        <v>18.606191559999999</v>
      </c>
      <c r="N66" s="186">
        <f>'[11]Volume (KT)'!N69</f>
        <v>19.078135450000005</v>
      </c>
      <c r="O66" s="186">
        <f>'[11]Volume (KT)'!O69</f>
        <v>17.041927360000003</v>
      </c>
      <c r="P66" s="186">
        <f>'[11]Volume (KT)'!P69</f>
        <v>24.396640840000003</v>
      </c>
    </row>
    <row r="67" spans="1:16">
      <c r="A67" s="177" t="s">
        <v>241</v>
      </c>
      <c r="B67" s="202" t="s">
        <v>25</v>
      </c>
      <c r="C67" s="202" t="s">
        <v>68</v>
      </c>
      <c r="D67" s="202" t="s">
        <v>277</v>
      </c>
      <c r="E67" s="186">
        <f>'[11]Volume (KT)'!E70</f>
        <v>61.92</v>
      </c>
      <c r="F67" s="186">
        <f>'[11]Volume (KT)'!F70</f>
        <v>56.777439450000003</v>
      </c>
      <c r="G67" s="186">
        <f>'[11]Volume (KT)'!G70</f>
        <v>60.93</v>
      </c>
      <c r="H67" s="186">
        <f>'[11]Volume (KT)'!H70</f>
        <v>57.996210340000012</v>
      </c>
      <c r="I67" s="186">
        <f>'[11]Volume (KT)'!I70</f>
        <v>60.018267639999998</v>
      </c>
      <c r="J67" s="186">
        <f>'[11]Volume (KT)'!J70</f>
        <v>58.166029330000001</v>
      </c>
      <c r="K67" s="186">
        <f>'[11]Volume (KT)'!K70</f>
        <v>60.369780310000003</v>
      </c>
      <c r="L67" s="186">
        <f>'[11]Volume (KT)'!L70</f>
        <v>61.214932699999999</v>
      </c>
      <c r="M67" s="186">
        <f>'[11]Volume (KT)'!M70</f>
        <v>59.591262979999989</v>
      </c>
      <c r="N67" s="186">
        <f>'[11]Volume (KT)'!N70</f>
        <v>60.629036280000001</v>
      </c>
      <c r="O67" s="186">
        <f>'[11]Volume (KT)'!O70</f>
        <v>59.921856810000001</v>
      </c>
      <c r="P67" s="186">
        <f>'[11]Volume (KT)'!P70</f>
        <v>61.616146459999989</v>
      </c>
    </row>
    <row r="68" spans="1:16">
      <c r="A68" s="177" t="s">
        <v>241</v>
      </c>
      <c r="B68" s="202" t="s">
        <v>25</v>
      </c>
      <c r="C68" s="202" t="s">
        <v>68</v>
      </c>
      <c r="D68" s="202" t="s">
        <v>278</v>
      </c>
      <c r="E68" s="186">
        <f>'[11]Volume (KT)'!E71</f>
        <v>4.5</v>
      </c>
      <c r="F68" s="186">
        <f>'[11]Volume (KT)'!F71</f>
        <v>6.4</v>
      </c>
      <c r="G68" s="186">
        <f>'[11]Volume (KT)'!G71</f>
        <v>19.46</v>
      </c>
      <c r="H68" s="186">
        <f>'[11]Volume (KT)'!H71</f>
        <v>19</v>
      </c>
      <c r="I68" s="186">
        <f>'[11]Volume (KT)'!I71</f>
        <v>15</v>
      </c>
      <c r="J68" s="186">
        <f>'[11]Volume (KT)'!J71</f>
        <v>15</v>
      </c>
      <c r="K68" s="186">
        <f>'[11]Volume (KT)'!K71</f>
        <v>15</v>
      </c>
      <c r="L68" s="186">
        <f>'[11]Volume (KT)'!L71</f>
        <v>15</v>
      </c>
      <c r="M68" s="186">
        <f>'[11]Volume (KT)'!M71</f>
        <v>15</v>
      </c>
      <c r="N68" s="186">
        <f>'[11]Volume (KT)'!N71</f>
        <v>15</v>
      </c>
      <c r="O68" s="186">
        <f>'[11]Volume (KT)'!O71</f>
        <v>15</v>
      </c>
      <c r="P68" s="186">
        <f>'[11]Volume (KT)'!P71</f>
        <v>15</v>
      </c>
    </row>
    <row r="69" spans="1:16">
      <c r="A69" s="177" t="s">
        <v>241</v>
      </c>
      <c r="B69" s="202" t="s">
        <v>25</v>
      </c>
      <c r="C69" s="202" t="s">
        <v>68</v>
      </c>
      <c r="D69" s="202" t="s">
        <v>279</v>
      </c>
      <c r="E69" s="186">
        <f>'[11]Volume (KT)'!E72</f>
        <v>0.25</v>
      </c>
      <c r="F69" s="186">
        <f>'[11]Volume (KT)'!F72</f>
        <v>0.4</v>
      </c>
      <c r="G69" s="186">
        <f>'[11]Volume (KT)'!G72</f>
        <v>0.5</v>
      </c>
      <c r="H69" s="186">
        <f>'[11]Volume (KT)'!H72</f>
        <v>0.6</v>
      </c>
      <c r="I69" s="186">
        <f>'[11]Volume (KT)'!I72</f>
        <v>0.6</v>
      </c>
      <c r="J69" s="186">
        <f>'[11]Volume (KT)'!J72</f>
        <v>0.5</v>
      </c>
      <c r="K69" s="186">
        <f>'[11]Volume (KT)'!K72</f>
        <v>0.5</v>
      </c>
      <c r="L69" s="186">
        <f>'[11]Volume (KT)'!L72</f>
        <v>0.5</v>
      </c>
      <c r="M69" s="186">
        <f>'[11]Volume (KT)'!M72</f>
        <v>0.5</v>
      </c>
      <c r="N69" s="186">
        <f>'[11]Volume (KT)'!N72</f>
        <v>0.5</v>
      </c>
      <c r="O69" s="186">
        <f>'[11]Volume (KT)'!O72</f>
        <v>0.5</v>
      </c>
      <c r="P69" s="186">
        <f>'[11]Volume (KT)'!P72</f>
        <v>0.5</v>
      </c>
    </row>
    <row r="70" spans="1:16">
      <c r="A70" s="177" t="s">
        <v>241</v>
      </c>
      <c r="B70" s="202" t="s">
        <v>25</v>
      </c>
      <c r="C70" s="202" t="s">
        <v>226</v>
      </c>
      <c r="D70" s="202" t="s">
        <v>276</v>
      </c>
      <c r="E70" s="186">
        <f>'[11]Volume (KT)'!E73</f>
        <v>0</v>
      </c>
      <c r="F70" s="186">
        <f>'[11]Volume (KT)'!F73</f>
        <v>0</v>
      </c>
      <c r="G70" s="186">
        <f>'[11]Volume (KT)'!G73</f>
        <v>0</v>
      </c>
      <c r="H70" s="186">
        <f>'[11]Volume (KT)'!H73</f>
        <v>0</v>
      </c>
      <c r="I70" s="186">
        <f>'[11]Volume (KT)'!I73</f>
        <v>0</v>
      </c>
      <c r="J70" s="186">
        <f>'[11]Volume (KT)'!J73</f>
        <v>0</v>
      </c>
      <c r="K70" s="186">
        <f>'[11]Volume (KT)'!K73</f>
        <v>27</v>
      </c>
      <c r="L70" s="186">
        <f>'[11]Volume (KT)'!L73</f>
        <v>0</v>
      </c>
      <c r="M70" s="186">
        <f>'[11]Volume (KT)'!M73</f>
        <v>0</v>
      </c>
      <c r="N70" s="186">
        <f>'[11]Volume (KT)'!N73</f>
        <v>0</v>
      </c>
      <c r="O70" s="186">
        <f>'[11]Volume (KT)'!O73</f>
        <v>0</v>
      </c>
      <c r="P70" s="186">
        <f>'[11]Volume (KT)'!P73</f>
        <v>0</v>
      </c>
    </row>
    <row r="71" spans="1:16">
      <c r="A71" s="177" t="s">
        <v>241</v>
      </c>
      <c r="B71" s="202" t="s">
        <v>25</v>
      </c>
      <c r="C71" s="202" t="s">
        <v>280</v>
      </c>
      <c r="D71" s="202" t="s">
        <v>276</v>
      </c>
      <c r="E71" s="186">
        <f>'[11]Volume (KT)'!E74</f>
        <v>0</v>
      </c>
      <c r="F71" s="186">
        <f>'[11]Volume (KT)'!F74</f>
        <v>0</v>
      </c>
      <c r="G71" s="186">
        <f>'[11]Volume (KT)'!G74</f>
        <v>0</v>
      </c>
      <c r="H71" s="186">
        <f>'[11]Volume (KT)'!H74</f>
        <v>0</v>
      </c>
      <c r="I71" s="186">
        <f>'[11]Volume (KT)'!I74</f>
        <v>0</v>
      </c>
      <c r="J71" s="186">
        <f>'[11]Volume (KT)'!J74</f>
        <v>0</v>
      </c>
      <c r="K71" s="186">
        <f>'[11]Volume (KT)'!K74</f>
        <v>7.6331829100000022</v>
      </c>
      <c r="L71" s="186">
        <f>'[11]Volume (KT)'!L74</f>
        <v>0</v>
      </c>
      <c r="M71" s="186">
        <f>'[11]Volume (KT)'!M74</f>
        <v>0</v>
      </c>
      <c r="N71" s="186">
        <f>'[11]Volume (KT)'!N74</f>
        <v>0</v>
      </c>
      <c r="O71" s="186">
        <f>'[11]Volume (KT)'!O74</f>
        <v>0</v>
      </c>
      <c r="P71" s="186">
        <f>'[11]Volume (KT)'!P74</f>
        <v>0</v>
      </c>
    </row>
    <row r="72" spans="1:16">
      <c r="A72" s="177" t="s">
        <v>241</v>
      </c>
      <c r="B72" s="202" t="s">
        <v>25</v>
      </c>
      <c r="C72" s="202" t="s">
        <v>231</v>
      </c>
      <c r="D72" s="202" t="s">
        <v>276</v>
      </c>
      <c r="E72" s="186">
        <f>'[11]Volume (KT)'!E75</f>
        <v>0</v>
      </c>
      <c r="F72" s="186">
        <f>'[11]Volume (KT)'!F75</f>
        <v>0</v>
      </c>
      <c r="G72" s="186">
        <f>'[11]Volume (KT)'!G75</f>
        <v>0</v>
      </c>
      <c r="H72" s="186">
        <f>'[11]Volume (KT)'!H75</f>
        <v>0</v>
      </c>
      <c r="I72" s="186">
        <f>'[11]Volume (KT)'!I75</f>
        <v>0</v>
      </c>
      <c r="J72" s="186">
        <f>'[11]Volume (KT)'!J75</f>
        <v>0</v>
      </c>
      <c r="K72" s="186">
        <f>'[11]Volume (KT)'!K75</f>
        <v>0</v>
      </c>
      <c r="L72" s="186">
        <f>'[11]Volume (KT)'!L75</f>
        <v>0</v>
      </c>
      <c r="M72" s="186">
        <f>'[11]Volume (KT)'!M75</f>
        <v>0</v>
      </c>
      <c r="N72" s="186">
        <f>'[11]Volume (KT)'!N75</f>
        <v>0</v>
      </c>
      <c r="O72" s="186">
        <f>'[11]Volume (KT)'!O75</f>
        <v>0</v>
      </c>
      <c r="P72" s="186">
        <f>'[11]Volume (KT)'!P75</f>
        <v>0</v>
      </c>
    </row>
    <row r="73" spans="1:16">
      <c r="A73" s="177" t="s">
        <v>241</v>
      </c>
      <c r="B73" s="202" t="s">
        <v>25</v>
      </c>
      <c r="C73" s="202" t="s">
        <v>231</v>
      </c>
      <c r="D73" s="202" t="s">
        <v>278</v>
      </c>
      <c r="E73" s="186">
        <f>'[11]Volume (KT)'!E76</f>
        <v>0</v>
      </c>
      <c r="F73" s="186">
        <f>'[11]Volume (KT)'!F76</f>
        <v>0</v>
      </c>
      <c r="G73" s="186">
        <f>'[11]Volume (KT)'!G76</f>
        <v>0</v>
      </c>
      <c r="H73" s="186">
        <f>'[11]Volume (KT)'!H76</f>
        <v>0</v>
      </c>
      <c r="I73" s="186">
        <f>'[11]Volume (KT)'!I76</f>
        <v>0</v>
      </c>
      <c r="J73" s="186">
        <f>'[11]Volume (KT)'!J76</f>
        <v>0</v>
      </c>
      <c r="K73" s="186">
        <f>'[11]Volume (KT)'!K76</f>
        <v>0</v>
      </c>
      <c r="L73" s="186">
        <f>'[11]Volume (KT)'!L76</f>
        <v>0</v>
      </c>
      <c r="M73" s="186">
        <f>'[11]Volume (KT)'!M76</f>
        <v>0</v>
      </c>
      <c r="N73" s="186">
        <f>'[11]Volume (KT)'!N76</f>
        <v>0</v>
      </c>
      <c r="O73" s="186">
        <f>'[11]Volume (KT)'!O76</f>
        <v>0</v>
      </c>
      <c r="P73" s="186">
        <f>'[11]Volume (KT)'!P76</f>
        <v>0</v>
      </c>
    </row>
    <row r="74" spans="1:16">
      <c r="A74" s="177" t="s">
        <v>241</v>
      </c>
      <c r="B74" s="202" t="s">
        <v>25</v>
      </c>
      <c r="C74" s="202" t="s">
        <v>281</v>
      </c>
      <c r="D74" s="202" t="s">
        <v>276</v>
      </c>
      <c r="E74" s="186">
        <f>'[11]Volume (KT)'!E77</f>
        <v>0</v>
      </c>
      <c r="F74" s="186">
        <f>'[11]Volume (KT)'!F77</f>
        <v>0</v>
      </c>
      <c r="G74" s="186">
        <f>'[11]Volume (KT)'!G77</f>
        <v>0</v>
      </c>
      <c r="H74" s="186">
        <f>'[11]Volume (KT)'!H77</f>
        <v>0</v>
      </c>
      <c r="I74" s="186">
        <f>'[11]Volume (KT)'!I77</f>
        <v>0</v>
      </c>
      <c r="J74" s="186">
        <f>'[11]Volume (KT)'!J77</f>
        <v>0</v>
      </c>
      <c r="K74" s="186">
        <f>'[11]Volume (KT)'!K77</f>
        <v>0</v>
      </c>
      <c r="L74" s="186">
        <f>'[11]Volume (KT)'!L77</f>
        <v>0</v>
      </c>
      <c r="M74" s="186">
        <f>'[11]Volume (KT)'!M77</f>
        <v>0</v>
      </c>
      <c r="N74" s="186">
        <f>'[11]Volume (KT)'!N77</f>
        <v>0</v>
      </c>
      <c r="O74" s="186">
        <f>'[11]Volume (KT)'!O77</f>
        <v>0</v>
      </c>
      <c r="P74" s="186">
        <f>'[11]Volume (KT)'!P77</f>
        <v>0</v>
      </c>
    </row>
    <row r="75" spans="1:16">
      <c r="A75" s="177" t="s">
        <v>241</v>
      </c>
      <c r="B75" s="202" t="s">
        <v>25</v>
      </c>
      <c r="C75" s="202" t="s">
        <v>281</v>
      </c>
      <c r="D75" s="202" t="s">
        <v>278</v>
      </c>
      <c r="E75" s="186">
        <f>'[11]Volume (KT)'!E78</f>
        <v>0</v>
      </c>
      <c r="F75" s="186">
        <f>'[11]Volume (KT)'!F78</f>
        <v>0</v>
      </c>
      <c r="G75" s="186">
        <f>'[11]Volume (KT)'!G78</f>
        <v>0</v>
      </c>
      <c r="H75" s="186">
        <f>'[11]Volume (KT)'!H78</f>
        <v>0</v>
      </c>
      <c r="I75" s="186">
        <f>'[11]Volume (KT)'!I78</f>
        <v>0</v>
      </c>
      <c r="J75" s="186">
        <f>'[11]Volume (KT)'!J78</f>
        <v>0</v>
      </c>
      <c r="K75" s="186">
        <f>'[11]Volume (KT)'!K78</f>
        <v>0</v>
      </c>
      <c r="L75" s="186">
        <f>'[11]Volume (KT)'!L78</f>
        <v>0</v>
      </c>
      <c r="M75" s="186">
        <f>'[11]Volume (KT)'!M78</f>
        <v>0</v>
      </c>
      <c r="N75" s="186">
        <f>'[11]Volume (KT)'!N78</f>
        <v>0</v>
      </c>
      <c r="O75" s="186">
        <f>'[11]Volume (KT)'!O78</f>
        <v>0</v>
      </c>
      <c r="P75" s="186">
        <f>'[11]Volume (KT)'!P78</f>
        <v>0</v>
      </c>
    </row>
    <row r="76" spans="1:16">
      <c r="A76" s="177" t="s">
        <v>241</v>
      </c>
      <c r="B76" s="202" t="s">
        <v>25</v>
      </c>
      <c r="C76" s="202" t="s">
        <v>229</v>
      </c>
      <c r="D76" s="202" t="s">
        <v>276</v>
      </c>
      <c r="E76" s="186">
        <f>'[11]Volume (KT)'!E79</f>
        <v>0</v>
      </c>
      <c r="F76" s="186">
        <f>'[11]Volume (KT)'!F79</f>
        <v>0</v>
      </c>
      <c r="G76" s="186">
        <f>'[11]Volume (KT)'!G79</f>
        <v>0</v>
      </c>
      <c r="H76" s="186">
        <f>'[11]Volume (KT)'!H79</f>
        <v>0</v>
      </c>
      <c r="I76" s="186">
        <f>'[11]Volume (KT)'!I79</f>
        <v>0</v>
      </c>
      <c r="J76" s="186">
        <f>'[11]Volume (KT)'!J79</f>
        <v>0</v>
      </c>
      <c r="K76" s="186">
        <f>'[11]Volume (KT)'!K79</f>
        <v>0</v>
      </c>
      <c r="L76" s="186">
        <f>'[11]Volume (KT)'!L79</f>
        <v>0</v>
      </c>
      <c r="M76" s="186">
        <f>'[11]Volume (KT)'!M79</f>
        <v>0</v>
      </c>
      <c r="N76" s="186">
        <f>'[11]Volume (KT)'!N79</f>
        <v>0</v>
      </c>
      <c r="O76" s="186">
        <f>'[11]Volume (KT)'!O79</f>
        <v>0</v>
      </c>
      <c r="P76" s="186">
        <f>'[11]Volume (KT)'!P79</f>
        <v>0</v>
      </c>
    </row>
    <row r="77" spans="1:16">
      <c r="A77" s="177" t="s">
        <v>241</v>
      </c>
      <c r="B77" s="202" t="s">
        <v>25</v>
      </c>
      <c r="C77" s="202" t="s">
        <v>229</v>
      </c>
      <c r="D77" s="202" t="s">
        <v>278</v>
      </c>
      <c r="E77" s="186">
        <f>'[11]Volume (KT)'!E80</f>
        <v>0</v>
      </c>
      <c r="F77" s="186">
        <f>'[11]Volume (KT)'!F80</f>
        <v>4.2</v>
      </c>
      <c r="G77" s="186">
        <f>'[11]Volume (KT)'!G80</f>
        <v>3</v>
      </c>
      <c r="H77" s="186">
        <f>'[11]Volume (KT)'!H80</f>
        <v>3</v>
      </c>
      <c r="I77" s="186">
        <f>'[11]Volume (KT)'!I80</f>
        <v>3.6</v>
      </c>
      <c r="J77" s="186">
        <f>'[11]Volume (KT)'!J80</f>
        <v>3.6</v>
      </c>
      <c r="K77" s="186">
        <f>'[11]Volume (KT)'!K80</f>
        <v>3.6</v>
      </c>
      <c r="L77" s="186">
        <f>'[11]Volume (KT)'!L80</f>
        <v>3.6</v>
      </c>
      <c r="M77" s="186">
        <f>'[11]Volume (KT)'!M80</f>
        <v>3.6</v>
      </c>
      <c r="N77" s="186">
        <f>'[11]Volume (KT)'!N80</f>
        <v>3.6</v>
      </c>
      <c r="O77" s="186">
        <f>'[11]Volume (KT)'!O80</f>
        <v>3.6</v>
      </c>
      <c r="P77" s="186">
        <f>'[11]Volume (KT)'!P80</f>
        <v>3.6</v>
      </c>
    </row>
    <row r="78" spans="1:16">
      <c r="A78" s="177" t="s">
        <v>241</v>
      </c>
      <c r="B78" s="202" t="s">
        <v>25</v>
      </c>
      <c r="C78" s="202" t="s">
        <v>229</v>
      </c>
      <c r="D78" s="202" t="s">
        <v>279</v>
      </c>
      <c r="E78" s="186">
        <f>'[11]Volume (KT)'!E81</f>
        <v>0</v>
      </c>
      <c r="F78" s="186">
        <f>'[11]Volume (KT)'!F81</f>
        <v>0.8</v>
      </c>
      <c r="G78" s="186">
        <f>'[11]Volume (KT)'!G81</f>
        <v>1.2</v>
      </c>
      <c r="H78" s="186">
        <f>'[11]Volume (KT)'!H81</f>
        <v>1.2</v>
      </c>
      <c r="I78" s="186">
        <f>'[11]Volume (KT)'!I81</f>
        <v>0.6</v>
      </c>
      <c r="J78" s="186">
        <f>'[11]Volume (KT)'!J81</f>
        <v>0.6</v>
      </c>
      <c r="K78" s="186">
        <f>'[11]Volume (KT)'!K81</f>
        <v>0.6</v>
      </c>
      <c r="L78" s="186">
        <f>'[11]Volume (KT)'!L81</f>
        <v>0.6</v>
      </c>
      <c r="M78" s="186">
        <f>'[11]Volume (KT)'!M81</f>
        <v>0.6</v>
      </c>
      <c r="N78" s="186">
        <f>'[11]Volume (KT)'!N81</f>
        <v>0.6</v>
      </c>
      <c r="O78" s="186">
        <f>'[11]Volume (KT)'!O81</f>
        <v>0.6</v>
      </c>
      <c r="P78" s="186">
        <f>'[11]Volume (KT)'!P81</f>
        <v>0.6</v>
      </c>
    </row>
    <row r="79" spans="1:16">
      <c r="A79" s="177" t="s">
        <v>241</v>
      </c>
      <c r="B79" s="202" t="s">
        <v>25</v>
      </c>
      <c r="C79" s="202" t="s">
        <v>228</v>
      </c>
      <c r="D79" s="202" t="s">
        <v>276</v>
      </c>
      <c r="E79" s="186">
        <f>'[11]Volume (KT)'!E82</f>
        <v>0</v>
      </c>
      <c r="F79" s="186">
        <f>'[11]Volume (KT)'!F82</f>
        <v>0</v>
      </c>
      <c r="G79" s="186">
        <f>'[11]Volume (KT)'!G82</f>
        <v>0</v>
      </c>
      <c r="H79" s="186">
        <f>'[11]Volume (KT)'!H82</f>
        <v>0</v>
      </c>
      <c r="I79" s="186">
        <f>'[11]Volume (KT)'!I82</f>
        <v>0</v>
      </c>
      <c r="J79" s="186">
        <f>'[11]Volume (KT)'!J82</f>
        <v>0</v>
      </c>
      <c r="K79" s="186">
        <f>'[11]Volume (KT)'!K82</f>
        <v>0</v>
      </c>
      <c r="L79" s="186">
        <f>'[11]Volume (KT)'!L82</f>
        <v>0</v>
      </c>
      <c r="M79" s="186">
        <f>'[11]Volume (KT)'!M82</f>
        <v>0</v>
      </c>
      <c r="N79" s="186">
        <f>'[11]Volume (KT)'!N82</f>
        <v>0</v>
      </c>
      <c r="O79" s="186">
        <f>'[11]Volume (KT)'!O82</f>
        <v>0</v>
      </c>
      <c r="P79" s="186">
        <f>'[11]Volume (KT)'!P82</f>
        <v>0</v>
      </c>
    </row>
    <row r="80" spans="1:16">
      <c r="A80" s="177" t="s">
        <v>241</v>
      </c>
      <c r="B80" s="202" t="s">
        <v>25</v>
      </c>
      <c r="C80" s="202" t="s">
        <v>228</v>
      </c>
      <c r="D80" s="202" t="s">
        <v>278</v>
      </c>
      <c r="E80" s="186">
        <f>'[11]Volume (KT)'!E83</f>
        <v>2.8</v>
      </c>
      <c r="F80" s="186">
        <f>'[11]Volume (KT)'!F83</f>
        <v>5.7199999999999989</v>
      </c>
      <c r="G80" s="186">
        <f>'[11]Volume (KT)'!G83</f>
        <v>10.67</v>
      </c>
      <c r="H80" s="186">
        <f>'[11]Volume (KT)'!H83</f>
        <v>9.17</v>
      </c>
      <c r="I80" s="186">
        <f>'[11]Volume (KT)'!I83</f>
        <v>11.22</v>
      </c>
      <c r="J80" s="186">
        <f>'[11]Volume (KT)'!J83</f>
        <v>11.1</v>
      </c>
      <c r="K80" s="186">
        <f>'[11]Volume (KT)'!K83</f>
        <v>10.88</v>
      </c>
      <c r="L80" s="186">
        <f>'[11]Volume (KT)'!L83</f>
        <v>10.88</v>
      </c>
      <c r="M80" s="186">
        <f>'[11]Volume (KT)'!M83</f>
        <v>10.88</v>
      </c>
      <c r="N80" s="186">
        <f>'[11]Volume (KT)'!N83</f>
        <v>10.88</v>
      </c>
      <c r="O80" s="186">
        <f>'[11]Volume (KT)'!O83</f>
        <v>10.88</v>
      </c>
      <c r="P80" s="186">
        <f>'[11]Volume (KT)'!P83</f>
        <v>10.88</v>
      </c>
    </row>
    <row r="81" spans="1:16">
      <c r="A81" s="177" t="s">
        <v>241</v>
      </c>
      <c r="B81" s="202" t="s">
        <v>25</v>
      </c>
      <c r="C81" s="202" t="s">
        <v>133</v>
      </c>
      <c r="D81" s="202" t="s">
        <v>276</v>
      </c>
      <c r="E81" s="186">
        <f>'[11]Volume (KT)'!E85</f>
        <v>0</v>
      </c>
      <c r="F81" s="186">
        <f>'[11]Volume (KT)'!F85</f>
        <v>0</v>
      </c>
      <c r="G81" s="186">
        <f>'[11]Volume (KT)'!G85</f>
        <v>0</v>
      </c>
      <c r="H81" s="186">
        <f>'[11]Volume (KT)'!H85</f>
        <v>0</v>
      </c>
      <c r="I81" s="186">
        <f>'[11]Volume (KT)'!I85</f>
        <v>0</v>
      </c>
      <c r="J81" s="186">
        <f>'[11]Volume (KT)'!J85</f>
        <v>0</v>
      </c>
      <c r="K81" s="186">
        <f>'[11]Volume (KT)'!K85</f>
        <v>0</v>
      </c>
      <c r="L81" s="186">
        <f>'[11]Volume (KT)'!L85</f>
        <v>0</v>
      </c>
      <c r="M81" s="186">
        <f>'[11]Volume (KT)'!M85</f>
        <v>0</v>
      </c>
      <c r="N81" s="186">
        <f>'[11]Volume (KT)'!N85</f>
        <v>0</v>
      </c>
      <c r="O81" s="186">
        <f>'[11]Volume (KT)'!O85</f>
        <v>0</v>
      </c>
      <c r="P81" s="186">
        <f>'[11]Volume (KT)'!P85</f>
        <v>0</v>
      </c>
    </row>
    <row r="82" spans="1:16">
      <c r="A82" s="177" t="s">
        <v>241</v>
      </c>
      <c r="B82" s="202" t="s">
        <v>25</v>
      </c>
      <c r="C82" s="202" t="s">
        <v>133</v>
      </c>
      <c r="D82" s="202" t="s">
        <v>278</v>
      </c>
      <c r="E82" s="186">
        <f>'[11]Volume (KT)'!E86</f>
        <v>0</v>
      </c>
      <c r="F82" s="186">
        <f>'[11]Volume (KT)'!F86</f>
        <v>0</v>
      </c>
      <c r="G82" s="186">
        <f>'[11]Volume (KT)'!G86</f>
        <v>0</v>
      </c>
      <c r="H82" s="186">
        <f>'[11]Volume (KT)'!H86</f>
        <v>0</v>
      </c>
      <c r="I82" s="186">
        <f>'[11]Volume (KT)'!I86</f>
        <v>0</v>
      </c>
      <c r="J82" s="186">
        <f>'[11]Volume (KT)'!J86</f>
        <v>0</v>
      </c>
      <c r="K82" s="186">
        <f>'[11]Volume (KT)'!K86</f>
        <v>0</v>
      </c>
      <c r="L82" s="186">
        <f>'[11]Volume (KT)'!L86</f>
        <v>0</v>
      </c>
      <c r="M82" s="186">
        <f>'[11]Volume (KT)'!M86</f>
        <v>0</v>
      </c>
      <c r="N82" s="186">
        <f>'[11]Volume (KT)'!N86</f>
        <v>0</v>
      </c>
      <c r="O82" s="186">
        <f>'[11]Volume (KT)'!O86</f>
        <v>0</v>
      </c>
      <c r="P82" s="186">
        <f>'[11]Volume (KT)'!P86</f>
        <v>0</v>
      </c>
    </row>
    <row r="83" spans="1:16">
      <c r="A83" s="177" t="s">
        <v>241</v>
      </c>
      <c r="B83" s="202" t="s">
        <v>25</v>
      </c>
      <c r="C83" s="202" t="s">
        <v>230</v>
      </c>
      <c r="D83" s="202" t="s">
        <v>276</v>
      </c>
      <c r="E83" s="186">
        <f>'[11]Volume (KT)'!E87</f>
        <v>0</v>
      </c>
      <c r="F83" s="186">
        <f>'[11]Volume (KT)'!F87</f>
        <v>0</v>
      </c>
      <c r="G83" s="186">
        <f>'[11]Volume (KT)'!G87</f>
        <v>0</v>
      </c>
      <c r="H83" s="186">
        <f>'[11]Volume (KT)'!H87</f>
        <v>0</v>
      </c>
      <c r="I83" s="186">
        <f>'[11]Volume (KT)'!I87</f>
        <v>0</v>
      </c>
      <c r="J83" s="186">
        <f>'[11]Volume (KT)'!J87</f>
        <v>0</v>
      </c>
      <c r="K83" s="186">
        <f>'[11]Volume (KT)'!K87</f>
        <v>0</v>
      </c>
      <c r="L83" s="186">
        <f>'[11]Volume (KT)'!L87</f>
        <v>0</v>
      </c>
      <c r="M83" s="186">
        <f>'[11]Volume (KT)'!M87</f>
        <v>0</v>
      </c>
      <c r="N83" s="186">
        <f>'[11]Volume (KT)'!N87</f>
        <v>0</v>
      </c>
      <c r="O83" s="186">
        <f>'[11]Volume (KT)'!O87</f>
        <v>0</v>
      </c>
      <c r="P83" s="186">
        <f>'[11]Volume (KT)'!P87</f>
        <v>0</v>
      </c>
    </row>
    <row r="84" spans="1:16">
      <c r="A84" s="177" t="s">
        <v>241</v>
      </c>
      <c r="B84" s="202" t="s">
        <v>25</v>
      </c>
      <c r="C84" s="202" t="s">
        <v>230</v>
      </c>
      <c r="D84" s="202" t="s">
        <v>278</v>
      </c>
      <c r="E84" s="186">
        <f>'[11]Volume (KT)'!E88</f>
        <v>0</v>
      </c>
      <c r="F84" s="186">
        <f>'[11]Volume (KT)'!F88</f>
        <v>0</v>
      </c>
      <c r="G84" s="186">
        <f>'[11]Volume (KT)'!G88</f>
        <v>0</v>
      </c>
      <c r="H84" s="186">
        <f>'[11]Volume (KT)'!H88</f>
        <v>0</v>
      </c>
      <c r="I84" s="186">
        <f>'[11]Volume (KT)'!I88</f>
        <v>0</v>
      </c>
      <c r="J84" s="186">
        <f>'[11]Volume (KT)'!J88</f>
        <v>0</v>
      </c>
      <c r="K84" s="186">
        <f>'[11]Volume (KT)'!K88</f>
        <v>0</v>
      </c>
      <c r="L84" s="186">
        <f>'[11]Volume (KT)'!L88</f>
        <v>0</v>
      </c>
      <c r="M84" s="186">
        <f>'[11]Volume (KT)'!M88</f>
        <v>0</v>
      </c>
      <c r="N84" s="186">
        <f>'[11]Volume (KT)'!N88</f>
        <v>0</v>
      </c>
      <c r="O84" s="186">
        <f>'[11]Volume (KT)'!O88</f>
        <v>0</v>
      </c>
      <c r="P84" s="186">
        <f>'[11]Volume (KT)'!P88</f>
        <v>0</v>
      </c>
    </row>
    <row r="85" spans="1:16">
      <c r="A85" s="177" t="s">
        <v>241</v>
      </c>
      <c r="B85" s="202" t="s">
        <v>25</v>
      </c>
      <c r="C85" s="202" t="s">
        <v>282</v>
      </c>
      <c r="D85" s="202" t="s">
        <v>276</v>
      </c>
      <c r="E85" s="186">
        <f>'[11]Volume (KT)'!E89</f>
        <v>0</v>
      </c>
      <c r="F85" s="186">
        <f>'[11]Volume (KT)'!F89</f>
        <v>0</v>
      </c>
      <c r="G85" s="186">
        <f>'[11]Volume (KT)'!G89</f>
        <v>0</v>
      </c>
      <c r="H85" s="186">
        <f>'[11]Volume (KT)'!H89</f>
        <v>0</v>
      </c>
      <c r="I85" s="186">
        <f>'[11]Volume (KT)'!I89</f>
        <v>0</v>
      </c>
      <c r="J85" s="186">
        <f>'[11]Volume (KT)'!J89</f>
        <v>0</v>
      </c>
      <c r="K85" s="186">
        <f>'[11]Volume (KT)'!K89</f>
        <v>0</v>
      </c>
      <c r="L85" s="186">
        <f>'[11]Volume (KT)'!L89</f>
        <v>0</v>
      </c>
      <c r="M85" s="186">
        <f>'[11]Volume (KT)'!M89</f>
        <v>0</v>
      </c>
      <c r="N85" s="186">
        <f>'[11]Volume (KT)'!N89</f>
        <v>0</v>
      </c>
      <c r="O85" s="186">
        <f>'[11]Volume (KT)'!O89</f>
        <v>0</v>
      </c>
      <c r="P85" s="186">
        <f>'[11]Volume (KT)'!P89</f>
        <v>0</v>
      </c>
    </row>
    <row r="86" spans="1:16">
      <c r="A86" s="177" t="s">
        <v>241</v>
      </c>
      <c r="B86" s="202" t="s">
        <v>25</v>
      </c>
      <c r="C86" s="202" t="s">
        <v>282</v>
      </c>
      <c r="D86" s="202" t="s">
        <v>277</v>
      </c>
      <c r="E86" s="186">
        <f>'[11]Volume (KT)'!E90</f>
        <v>0</v>
      </c>
      <c r="F86" s="186">
        <f>'[11]Volume (KT)'!F90</f>
        <v>0</v>
      </c>
      <c r="G86" s="186">
        <f>'[11]Volume (KT)'!G90</f>
        <v>0</v>
      </c>
      <c r="H86" s="186">
        <f>'[11]Volume (KT)'!H90</f>
        <v>0</v>
      </c>
      <c r="I86" s="186">
        <f>'[11]Volume (KT)'!I90</f>
        <v>0</v>
      </c>
      <c r="J86" s="186">
        <f>'[11]Volume (KT)'!J90</f>
        <v>0</v>
      </c>
      <c r="K86" s="186">
        <f>'[11]Volume (KT)'!K90</f>
        <v>0</v>
      </c>
      <c r="L86" s="186">
        <f>'[11]Volume (KT)'!L90</f>
        <v>0</v>
      </c>
      <c r="M86" s="186">
        <f>'[11]Volume (KT)'!M90</f>
        <v>0</v>
      </c>
      <c r="N86" s="186">
        <f>'[11]Volume (KT)'!N90</f>
        <v>0</v>
      </c>
      <c r="O86" s="186">
        <f>'[11]Volume (KT)'!O90</f>
        <v>0</v>
      </c>
      <c r="P86" s="186">
        <f>'[11]Volume (KT)'!P90</f>
        <v>0</v>
      </c>
    </row>
    <row r="87" spans="1:16">
      <c r="A87" s="177" t="s">
        <v>241</v>
      </c>
      <c r="B87" s="202" t="s">
        <v>25</v>
      </c>
      <c r="C87" s="202" t="s">
        <v>282</v>
      </c>
      <c r="D87" s="202" t="s">
        <v>278</v>
      </c>
      <c r="E87" s="186">
        <f>'[11]Volume (KT)'!E91</f>
        <v>0</v>
      </c>
      <c r="F87" s="186">
        <f>'[11]Volume (KT)'!F91</f>
        <v>0</v>
      </c>
      <c r="G87" s="186">
        <f>'[11]Volume (KT)'!G91</f>
        <v>0</v>
      </c>
      <c r="H87" s="186">
        <f>'[11]Volume (KT)'!H91</f>
        <v>0</v>
      </c>
      <c r="I87" s="186">
        <f>'[11]Volume (KT)'!I91</f>
        <v>0</v>
      </c>
      <c r="J87" s="186">
        <f>'[11]Volume (KT)'!J91</f>
        <v>0</v>
      </c>
      <c r="K87" s="186">
        <f>'[11]Volume (KT)'!K91</f>
        <v>0</v>
      </c>
      <c r="L87" s="186">
        <f>'[11]Volume (KT)'!L91</f>
        <v>0</v>
      </c>
      <c r="M87" s="186">
        <f>'[11]Volume (KT)'!M91</f>
        <v>0</v>
      </c>
      <c r="N87" s="186">
        <f>'[11]Volume (KT)'!N91</f>
        <v>0</v>
      </c>
      <c r="O87" s="186">
        <f>'[11]Volume (KT)'!O91</f>
        <v>0</v>
      </c>
      <c r="P87" s="186">
        <f>'[11]Volume (KT)'!P91</f>
        <v>0</v>
      </c>
    </row>
    <row r="88" spans="1:16">
      <c r="A88" s="177" t="s">
        <v>241</v>
      </c>
      <c r="B88" s="202" t="s">
        <v>25</v>
      </c>
      <c r="C88" s="202" t="s">
        <v>283</v>
      </c>
      <c r="D88" s="202" t="s">
        <v>278</v>
      </c>
      <c r="E88" s="186">
        <f>'[11]Volume (KT)'!E92</f>
        <v>0</v>
      </c>
      <c r="F88" s="186">
        <f>'[11]Volume (KT)'!F92</f>
        <v>0</v>
      </c>
      <c r="G88" s="186">
        <f>'[11]Volume (KT)'!G92</f>
        <v>0</v>
      </c>
      <c r="H88" s="186">
        <f>'[11]Volume (KT)'!H92</f>
        <v>0</v>
      </c>
      <c r="I88" s="186">
        <f>'[11]Volume (KT)'!I92</f>
        <v>0</v>
      </c>
      <c r="J88" s="186">
        <f>'[11]Volume (KT)'!J92</f>
        <v>0</v>
      </c>
      <c r="K88" s="186">
        <f>'[11]Volume (KT)'!K92</f>
        <v>0</v>
      </c>
      <c r="L88" s="186">
        <f>'[11]Volume (KT)'!L92</f>
        <v>0</v>
      </c>
      <c r="M88" s="186">
        <f>'[11]Volume (KT)'!M92</f>
        <v>0</v>
      </c>
      <c r="N88" s="186">
        <f>'[11]Volume (KT)'!N92</f>
        <v>0</v>
      </c>
      <c r="O88" s="186">
        <f>'[11]Volume (KT)'!O92</f>
        <v>0</v>
      </c>
      <c r="P88" s="186">
        <f>'[11]Volume (KT)'!P92</f>
        <v>0</v>
      </c>
    </row>
    <row r="89" spans="1:16">
      <c r="A89" s="177" t="s">
        <v>241</v>
      </c>
      <c r="B89" s="202" t="s">
        <v>25</v>
      </c>
      <c r="C89" s="202" t="s">
        <v>284</v>
      </c>
      <c r="D89" s="202" t="s">
        <v>278</v>
      </c>
      <c r="E89" s="186">
        <f>'[11]Volume (KT)'!E93</f>
        <v>0</v>
      </c>
      <c r="F89" s="186">
        <f>'[11]Volume (KT)'!F93</f>
        <v>0</v>
      </c>
      <c r="G89" s="186">
        <f>'[11]Volume (KT)'!G93</f>
        <v>0</v>
      </c>
      <c r="H89" s="186">
        <f>'[11]Volume (KT)'!H93</f>
        <v>0</v>
      </c>
      <c r="I89" s="186">
        <f>'[11]Volume (KT)'!I93</f>
        <v>0</v>
      </c>
      <c r="J89" s="186">
        <f>'[11]Volume (KT)'!J93</f>
        <v>0</v>
      </c>
      <c r="K89" s="186">
        <f>'[11]Volume (KT)'!K93</f>
        <v>0</v>
      </c>
      <c r="L89" s="186">
        <f>'[11]Volume (KT)'!L93</f>
        <v>0</v>
      </c>
      <c r="M89" s="186">
        <f>'[11]Volume (KT)'!M93</f>
        <v>0</v>
      </c>
      <c r="N89" s="186">
        <f>'[11]Volume (KT)'!N93</f>
        <v>0</v>
      </c>
      <c r="O89" s="186">
        <f>'[11]Volume (KT)'!O93</f>
        <v>0</v>
      </c>
      <c r="P89" s="186">
        <f>'[11]Volume (KT)'!P93</f>
        <v>0</v>
      </c>
    </row>
    <row r="90" spans="1:16">
      <c r="A90" s="177" t="s">
        <v>241</v>
      </c>
      <c r="B90" s="202" t="s">
        <v>133</v>
      </c>
      <c r="C90" s="202" t="s">
        <v>68</v>
      </c>
      <c r="D90" s="202" t="s">
        <v>133</v>
      </c>
      <c r="E90" s="186">
        <f>'[11]Volume (KT)'!E94</f>
        <v>0</v>
      </c>
      <c r="F90" s="186">
        <f>'[11]Volume (KT)'!F94</f>
        <v>0</v>
      </c>
      <c r="G90" s="186">
        <f>'[11]Volume (KT)'!G94</f>
        <v>0</v>
      </c>
      <c r="H90" s="186">
        <f>'[11]Volume (KT)'!H94</f>
        <v>0</v>
      </c>
      <c r="I90" s="186">
        <f>'[11]Volume (KT)'!I94</f>
        <v>1.2</v>
      </c>
      <c r="J90" s="186">
        <f>'[11]Volume (KT)'!J94</f>
        <v>1.2</v>
      </c>
      <c r="K90" s="186">
        <f>'[11]Volume (KT)'!K94</f>
        <v>1.2</v>
      </c>
      <c r="L90" s="186">
        <f>'[11]Volume (KT)'!L94</f>
        <v>1.2</v>
      </c>
      <c r="M90" s="186">
        <f>'[11]Volume (KT)'!M94</f>
        <v>1.2</v>
      </c>
      <c r="N90" s="186">
        <f>'[11]Volume (KT)'!N94</f>
        <v>1.2</v>
      </c>
      <c r="O90" s="186">
        <f>'[11]Volume (KT)'!O94</f>
        <v>1.2</v>
      </c>
      <c r="P90" s="186">
        <f>'[11]Volume (KT)'!P94</f>
        <v>1.2</v>
      </c>
    </row>
    <row r="91" spans="1:16">
      <c r="A91" s="177" t="s">
        <v>241</v>
      </c>
      <c r="B91" s="202" t="s">
        <v>133</v>
      </c>
      <c r="C91" s="202" t="s">
        <v>228</v>
      </c>
      <c r="D91" s="202" t="s">
        <v>133</v>
      </c>
      <c r="E91" s="186">
        <f>'[11]Volume (KT)'!E95</f>
        <v>0</v>
      </c>
      <c r="F91" s="186">
        <f>'[11]Volume (KT)'!F95</f>
        <v>2.4</v>
      </c>
      <c r="G91" s="186">
        <f>'[11]Volume (KT)'!G95</f>
        <v>1.2</v>
      </c>
      <c r="H91" s="186">
        <f>'[11]Volume (KT)'!H95</f>
        <v>1.2</v>
      </c>
      <c r="I91" s="186">
        <f>'[11]Volume (KT)'!I95</f>
        <v>0</v>
      </c>
      <c r="J91" s="186">
        <f>'[11]Volume (KT)'!J95</f>
        <v>0</v>
      </c>
      <c r="K91" s="186">
        <f>'[11]Volume (KT)'!K95</f>
        <v>0</v>
      </c>
      <c r="L91" s="186">
        <f>'[11]Volume (KT)'!L95</f>
        <v>0</v>
      </c>
      <c r="M91" s="186">
        <f>'[11]Volume (KT)'!M95</f>
        <v>0</v>
      </c>
      <c r="N91" s="186">
        <f>'[11]Volume (KT)'!N95</f>
        <v>0</v>
      </c>
      <c r="O91" s="186">
        <f>'[11]Volume (KT)'!O95</f>
        <v>0</v>
      </c>
      <c r="P91" s="186">
        <f>'[11]Volume (KT)'!P95</f>
        <v>0</v>
      </c>
    </row>
    <row r="92" spans="1:16">
      <c r="A92" s="177" t="s">
        <v>241</v>
      </c>
      <c r="B92" s="202" t="s">
        <v>134</v>
      </c>
      <c r="C92" s="909" t="s">
        <v>68</v>
      </c>
      <c r="D92" s="202" t="s">
        <v>276</v>
      </c>
      <c r="E92" s="186">
        <f>'[11]Volume (KT)'!E97</f>
        <v>0</v>
      </c>
      <c r="F92" s="186">
        <f>'[11]Volume (KT)'!F97</f>
        <v>0</v>
      </c>
      <c r="G92" s="186">
        <f>'[11]Volume (KT)'!G97</f>
        <v>0</v>
      </c>
      <c r="H92" s="186">
        <f>'[11]Volume (KT)'!H97</f>
        <v>0</v>
      </c>
      <c r="I92" s="186">
        <f>'[11]Volume (KT)'!I97</f>
        <v>0</v>
      </c>
      <c r="J92" s="186">
        <f>'[11]Volume (KT)'!J97</f>
        <v>0</v>
      </c>
      <c r="K92" s="186">
        <f>'[11]Volume (KT)'!K97</f>
        <v>0</v>
      </c>
      <c r="L92" s="186">
        <f>'[11]Volume (KT)'!L97</f>
        <v>0</v>
      </c>
      <c r="M92" s="186">
        <f>'[11]Volume (KT)'!M97</f>
        <v>0</v>
      </c>
      <c r="N92" s="186">
        <f>'[11]Volume (KT)'!N97</f>
        <v>0</v>
      </c>
      <c r="O92" s="186">
        <f>'[11]Volume (KT)'!O97</f>
        <v>0</v>
      </c>
      <c r="P92" s="186">
        <f>'[11]Volume (KT)'!P97</f>
        <v>0</v>
      </c>
    </row>
    <row r="93" spans="1:16">
      <c r="A93" s="177" t="s">
        <v>241</v>
      </c>
      <c r="B93" s="202" t="s">
        <v>134</v>
      </c>
      <c r="C93" s="202" t="s">
        <v>68</v>
      </c>
      <c r="D93" s="202" t="s">
        <v>278</v>
      </c>
      <c r="E93" s="186">
        <f>'[11]Volume (KT)'!E98</f>
        <v>10.93</v>
      </c>
      <c r="F93" s="186">
        <f>'[11]Volume (KT)'!F98</f>
        <v>15</v>
      </c>
      <c r="G93" s="186">
        <f>'[11]Volume (KT)'!G98</f>
        <v>0</v>
      </c>
      <c r="H93" s="186">
        <f>'[11]Volume (KT)'!H98</f>
        <v>0</v>
      </c>
      <c r="I93" s="186">
        <f>'[11]Volume (KT)'!I98</f>
        <v>0</v>
      </c>
      <c r="J93" s="186">
        <f>'[11]Volume (KT)'!J98</f>
        <v>0</v>
      </c>
      <c r="K93" s="186">
        <f>'[11]Volume (KT)'!K98</f>
        <v>0</v>
      </c>
      <c r="L93" s="186">
        <f>'[11]Volume (KT)'!L98</f>
        <v>0</v>
      </c>
      <c r="M93" s="186">
        <f>'[11]Volume (KT)'!M98</f>
        <v>0</v>
      </c>
      <c r="N93" s="186">
        <f>'[11]Volume (KT)'!N98</f>
        <v>0</v>
      </c>
      <c r="O93" s="186">
        <f>'[11]Volume (KT)'!O98</f>
        <v>0</v>
      </c>
      <c r="P93" s="186">
        <f>'[11]Volume (KT)'!P98</f>
        <v>0</v>
      </c>
    </row>
    <row r="94" spans="1:16">
      <c r="A94" s="177" t="s">
        <v>241</v>
      </c>
      <c r="B94" s="202" t="s">
        <v>134</v>
      </c>
      <c r="C94" s="202" t="s">
        <v>68</v>
      </c>
      <c r="D94" s="202" t="s">
        <v>279</v>
      </c>
      <c r="E94" s="186">
        <f>'[11]Volume (KT)'!E99</f>
        <v>0</v>
      </c>
      <c r="F94" s="186">
        <f>'[11]Volume (KT)'!F99</f>
        <v>0</v>
      </c>
      <c r="G94" s="186">
        <f>'[11]Volume (KT)'!G99</f>
        <v>0</v>
      </c>
      <c r="H94" s="186">
        <f>'[11]Volume (KT)'!H99</f>
        <v>0</v>
      </c>
      <c r="I94" s="186">
        <f>'[11]Volume (KT)'!I99</f>
        <v>0</v>
      </c>
      <c r="J94" s="186">
        <f>'[11]Volume (KT)'!J99</f>
        <v>0</v>
      </c>
      <c r="K94" s="186">
        <f>'[11]Volume (KT)'!K99</f>
        <v>0</v>
      </c>
      <c r="L94" s="186">
        <f>'[11]Volume (KT)'!L99</f>
        <v>0</v>
      </c>
      <c r="M94" s="186">
        <f>'[11]Volume (KT)'!M99</f>
        <v>0</v>
      </c>
      <c r="N94" s="186">
        <f>'[11]Volume (KT)'!N99</f>
        <v>0</v>
      </c>
      <c r="O94" s="186">
        <f>'[11]Volume (KT)'!O99</f>
        <v>0</v>
      </c>
      <c r="P94" s="186">
        <f>'[11]Volume (KT)'!P99</f>
        <v>0</v>
      </c>
    </row>
    <row r="95" spans="1:16">
      <c r="A95" s="177" t="s">
        <v>241</v>
      </c>
      <c r="B95" s="202" t="s">
        <v>134</v>
      </c>
      <c r="C95" s="202" t="s">
        <v>231</v>
      </c>
      <c r="D95" s="205" t="s">
        <v>276</v>
      </c>
      <c r="E95" s="186">
        <f>'[11]Volume (KT)'!E100</f>
        <v>0</v>
      </c>
      <c r="F95" s="186">
        <f>'[11]Volume (KT)'!F100</f>
        <v>0</v>
      </c>
      <c r="G95" s="186">
        <f>'[11]Volume (KT)'!G100</f>
        <v>0</v>
      </c>
      <c r="H95" s="186">
        <f>'[11]Volume (KT)'!H100</f>
        <v>0</v>
      </c>
      <c r="I95" s="186">
        <f>'[11]Volume (KT)'!I100</f>
        <v>0</v>
      </c>
      <c r="J95" s="186">
        <f>'[11]Volume (KT)'!J100</f>
        <v>0</v>
      </c>
      <c r="K95" s="186">
        <f>'[11]Volume (KT)'!K100</f>
        <v>0</v>
      </c>
      <c r="L95" s="186">
        <f>'[11]Volume (KT)'!L100</f>
        <v>0</v>
      </c>
      <c r="M95" s="186">
        <f>'[11]Volume (KT)'!M100</f>
        <v>0</v>
      </c>
      <c r="N95" s="186">
        <f>'[11]Volume (KT)'!N100</f>
        <v>0</v>
      </c>
      <c r="O95" s="186">
        <f>'[11]Volume (KT)'!O100</f>
        <v>0</v>
      </c>
      <c r="P95" s="186">
        <f>'[11]Volume (KT)'!P100</f>
        <v>0</v>
      </c>
    </row>
    <row r="96" spans="1:16">
      <c r="A96" s="177" t="s">
        <v>241</v>
      </c>
      <c r="B96" s="202" t="s">
        <v>134</v>
      </c>
      <c r="C96" s="202" t="s">
        <v>231</v>
      </c>
      <c r="D96" s="205" t="s">
        <v>278</v>
      </c>
      <c r="E96" s="186">
        <f>'[11]Volume (KT)'!E101</f>
        <v>0</v>
      </c>
      <c r="F96" s="186">
        <f>'[11]Volume (KT)'!F101</f>
        <v>0</v>
      </c>
      <c r="G96" s="186">
        <f>'[11]Volume (KT)'!G101</f>
        <v>0</v>
      </c>
      <c r="H96" s="186">
        <f>'[11]Volume (KT)'!H101</f>
        <v>0</v>
      </c>
      <c r="I96" s="186">
        <f>'[11]Volume (KT)'!I101</f>
        <v>0</v>
      </c>
      <c r="J96" s="186">
        <f>'[11]Volume (KT)'!J101</f>
        <v>0</v>
      </c>
      <c r="K96" s="186">
        <f>'[11]Volume (KT)'!K101</f>
        <v>0</v>
      </c>
      <c r="L96" s="186">
        <f>'[11]Volume (KT)'!L101</f>
        <v>0</v>
      </c>
      <c r="M96" s="186">
        <f>'[11]Volume (KT)'!M101</f>
        <v>0</v>
      </c>
      <c r="N96" s="186">
        <f>'[11]Volume (KT)'!N101</f>
        <v>0</v>
      </c>
      <c r="O96" s="186">
        <f>'[11]Volume (KT)'!O101</f>
        <v>0</v>
      </c>
      <c r="P96" s="186">
        <f>'[11]Volume (KT)'!P101</f>
        <v>0</v>
      </c>
    </row>
    <row r="97" spans="1:16">
      <c r="A97" s="177" t="s">
        <v>241</v>
      </c>
      <c r="B97" s="202" t="s">
        <v>134</v>
      </c>
      <c r="C97" s="202" t="s">
        <v>281</v>
      </c>
      <c r="D97" s="205" t="s">
        <v>276</v>
      </c>
      <c r="E97" s="186">
        <f>'[11]Volume (KT)'!E102</f>
        <v>0</v>
      </c>
      <c r="F97" s="186">
        <f>'[11]Volume (KT)'!F102</f>
        <v>0</v>
      </c>
      <c r="G97" s="186">
        <f>'[11]Volume (KT)'!G102</f>
        <v>0</v>
      </c>
      <c r="H97" s="186">
        <f>'[11]Volume (KT)'!H102</f>
        <v>0</v>
      </c>
      <c r="I97" s="186">
        <f>'[11]Volume (KT)'!I102</f>
        <v>0</v>
      </c>
      <c r="J97" s="186">
        <f>'[11]Volume (KT)'!J102</f>
        <v>0</v>
      </c>
      <c r="K97" s="186">
        <f>'[11]Volume (KT)'!K102</f>
        <v>0</v>
      </c>
      <c r="L97" s="186">
        <f>'[11]Volume (KT)'!L102</f>
        <v>0</v>
      </c>
      <c r="M97" s="186">
        <f>'[11]Volume (KT)'!M102</f>
        <v>0</v>
      </c>
      <c r="N97" s="186">
        <f>'[11]Volume (KT)'!N102</f>
        <v>0</v>
      </c>
      <c r="O97" s="186">
        <f>'[11]Volume (KT)'!O102</f>
        <v>0</v>
      </c>
      <c r="P97" s="186">
        <f>'[11]Volume (KT)'!P102</f>
        <v>0</v>
      </c>
    </row>
    <row r="98" spans="1:16">
      <c r="A98" s="177" t="s">
        <v>241</v>
      </c>
      <c r="B98" s="202" t="s">
        <v>134</v>
      </c>
      <c r="C98" s="202" t="s">
        <v>281</v>
      </c>
      <c r="D98" s="205" t="s">
        <v>278</v>
      </c>
      <c r="E98" s="186">
        <f>'[11]Volume (KT)'!E103</f>
        <v>3.6</v>
      </c>
      <c r="F98" s="186">
        <f>'[11]Volume (KT)'!F103</f>
        <v>0</v>
      </c>
      <c r="G98" s="186">
        <f>'[11]Volume (KT)'!G103</f>
        <v>0</v>
      </c>
      <c r="H98" s="186">
        <f>'[11]Volume (KT)'!H103</f>
        <v>0</v>
      </c>
      <c r="I98" s="186">
        <f>'[11]Volume (KT)'!I103</f>
        <v>0</v>
      </c>
      <c r="J98" s="186">
        <f>'[11]Volume (KT)'!J103</f>
        <v>0</v>
      </c>
      <c r="K98" s="186">
        <f>'[11]Volume (KT)'!K103</f>
        <v>0</v>
      </c>
      <c r="L98" s="186">
        <f>'[11]Volume (KT)'!L103</f>
        <v>0</v>
      </c>
      <c r="M98" s="186">
        <f>'[11]Volume (KT)'!M103</f>
        <v>0</v>
      </c>
      <c r="N98" s="186">
        <f>'[11]Volume (KT)'!N103</f>
        <v>0</v>
      </c>
      <c r="O98" s="186">
        <f>'[11]Volume (KT)'!O103</f>
        <v>0</v>
      </c>
      <c r="P98" s="186">
        <f>'[11]Volume (KT)'!P103</f>
        <v>0</v>
      </c>
    </row>
    <row r="99" spans="1:16">
      <c r="A99" s="177" t="s">
        <v>241</v>
      </c>
      <c r="B99" s="202" t="s">
        <v>134</v>
      </c>
      <c r="C99" s="202" t="s">
        <v>229</v>
      </c>
      <c r="D99" s="205" t="s">
        <v>276</v>
      </c>
      <c r="E99" s="186">
        <f>'[11]Volume (KT)'!E104</f>
        <v>0.8</v>
      </c>
      <c r="F99" s="186">
        <f>'[11]Volume (KT)'!F104</f>
        <v>0</v>
      </c>
      <c r="G99" s="186">
        <f>'[11]Volume (KT)'!G104</f>
        <v>0</v>
      </c>
      <c r="H99" s="186">
        <f>'[11]Volume (KT)'!H104</f>
        <v>0</v>
      </c>
      <c r="I99" s="186">
        <f>'[11]Volume (KT)'!I104</f>
        <v>0</v>
      </c>
      <c r="J99" s="186">
        <f>'[11]Volume (KT)'!J104</f>
        <v>0</v>
      </c>
      <c r="K99" s="186">
        <f>'[11]Volume (KT)'!K104</f>
        <v>0</v>
      </c>
      <c r="L99" s="186">
        <f>'[11]Volume (KT)'!L104</f>
        <v>0</v>
      </c>
      <c r="M99" s="186">
        <f>'[11]Volume (KT)'!M104</f>
        <v>0</v>
      </c>
      <c r="N99" s="186">
        <f>'[11]Volume (KT)'!N104</f>
        <v>0</v>
      </c>
      <c r="O99" s="186">
        <f>'[11]Volume (KT)'!O104</f>
        <v>0</v>
      </c>
      <c r="P99" s="186">
        <f>'[11]Volume (KT)'!P104</f>
        <v>0</v>
      </c>
    </row>
    <row r="100" spans="1:16">
      <c r="A100" s="177" t="s">
        <v>241</v>
      </c>
      <c r="B100" s="202" t="s">
        <v>134</v>
      </c>
      <c r="C100" s="202" t="s">
        <v>229</v>
      </c>
      <c r="D100" s="205" t="s">
        <v>278</v>
      </c>
      <c r="E100" s="186">
        <f>'[11]Volume (KT)'!E105</f>
        <v>0</v>
      </c>
      <c r="F100" s="186">
        <f>'[11]Volume (KT)'!F105</f>
        <v>0</v>
      </c>
      <c r="G100" s="186">
        <f>'[11]Volume (KT)'!G105</f>
        <v>0</v>
      </c>
      <c r="H100" s="186">
        <f>'[11]Volume (KT)'!H105</f>
        <v>0</v>
      </c>
      <c r="I100" s="186">
        <f>'[11]Volume (KT)'!I105</f>
        <v>0</v>
      </c>
      <c r="J100" s="186">
        <f>'[11]Volume (KT)'!J105</f>
        <v>0</v>
      </c>
      <c r="K100" s="186">
        <f>'[11]Volume (KT)'!K105</f>
        <v>0</v>
      </c>
      <c r="L100" s="186">
        <f>'[11]Volume (KT)'!L105</f>
        <v>0</v>
      </c>
      <c r="M100" s="186">
        <f>'[11]Volume (KT)'!M105</f>
        <v>0</v>
      </c>
      <c r="N100" s="186">
        <f>'[11]Volume (KT)'!N105</f>
        <v>0</v>
      </c>
      <c r="O100" s="186">
        <f>'[11]Volume (KT)'!O105</f>
        <v>0</v>
      </c>
      <c r="P100" s="186">
        <f>'[11]Volume (KT)'!P105</f>
        <v>0</v>
      </c>
    </row>
    <row r="101" spans="1:16">
      <c r="A101" s="177" t="s">
        <v>241</v>
      </c>
      <c r="B101" s="202" t="s">
        <v>134</v>
      </c>
      <c r="C101" s="202" t="s">
        <v>228</v>
      </c>
      <c r="D101" s="205" t="s">
        <v>276</v>
      </c>
      <c r="E101" s="186">
        <f>'[11]Volume (KT)'!E106</f>
        <v>3.67</v>
      </c>
      <c r="F101" s="186">
        <f>'[11]Volume (KT)'!F106</f>
        <v>0</v>
      </c>
      <c r="G101" s="186">
        <f>'[11]Volume (KT)'!G106</f>
        <v>0</v>
      </c>
      <c r="H101" s="186">
        <f>'[11]Volume (KT)'!H106</f>
        <v>0</v>
      </c>
      <c r="I101" s="186">
        <f>'[11]Volume (KT)'!I106</f>
        <v>0</v>
      </c>
      <c r="J101" s="186">
        <f>'[11]Volume (KT)'!J106</f>
        <v>0</v>
      </c>
      <c r="K101" s="186">
        <f>'[11]Volume (KT)'!K106</f>
        <v>0</v>
      </c>
      <c r="L101" s="186">
        <f>'[11]Volume (KT)'!L106</f>
        <v>0</v>
      </c>
      <c r="M101" s="186">
        <f>'[11]Volume (KT)'!M106</f>
        <v>0</v>
      </c>
      <c r="N101" s="186">
        <f>'[11]Volume (KT)'!N106</f>
        <v>0</v>
      </c>
      <c r="O101" s="186">
        <f>'[11]Volume (KT)'!O106</f>
        <v>0</v>
      </c>
      <c r="P101" s="186">
        <f>'[11]Volume (KT)'!P106</f>
        <v>0</v>
      </c>
    </row>
    <row r="102" spans="1:16">
      <c r="A102" s="177" t="s">
        <v>241</v>
      </c>
      <c r="B102" s="202" t="s">
        <v>134</v>
      </c>
      <c r="C102" s="202" t="s">
        <v>228</v>
      </c>
      <c r="D102" s="205" t="s">
        <v>278</v>
      </c>
      <c r="E102" s="186">
        <f>'[11]Volume (KT)'!E107</f>
        <v>0</v>
      </c>
      <c r="F102" s="186">
        <f>'[11]Volume (KT)'!F107</f>
        <v>0</v>
      </c>
      <c r="G102" s="186">
        <f>'[11]Volume (KT)'!G107</f>
        <v>0</v>
      </c>
      <c r="H102" s="186">
        <f>'[11]Volume (KT)'!H107</f>
        <v>0</v>
      </c>
      <c r="I102" s="186">
        <f>'[11]Volume (KT)'!I107</f>
        <v>0</v>
      </c>
      <c r="J102" s="186">
        <f>'[11]Volume (KT)'!J107</f>
        <v>0</v>
      </c>
      <c r="K102" s="186">
        <f>'[11]Volume (KT)'!K107</f>
        <v>0</v>
      </c>
      <c r="L102" s="186">
        <f>'[11]Volume (KT)'!L107</f>
        <v>0</v>
      </c>
      <c r="M102" s="186">
        <f>'[11]Volume (KT)'!M107</f>
        <v>0</v>
      </c>
      <c r="N102" s="186">
        <f>'[11]Volume (KT)'!N107</f>
        <v>0</v>
      </c>
      <c r="O102" s="186">
        <f>'[11]Volume (KT)'!O107</f>
        <v>0</v>
      </c>
      <c r="P102" s="186">
        <f>'[11]Volume (KT)'!P107</f>
        <v>0</v>
      </c>
    </row>
    <row r="103" spans="1:16">
      <c r="A103" s="177" t="s">
        <v>241</v>
      </c>
      <c r="B103" s="202" t="s">
        <v>134</v>
      </c>
      <c r="C103" s="202" t="s">
        <v>133</v>
      </c>
      <c r="D103" s="205" t="s">
        <v>276</v>
      </c>
      <c r="E103" s="186">
        <f>'[11]Volume (KT)'!E108</f>
        <v>0</v>
      </c>
      <c r="F103" s="186">
        <f>'[11]Volume (KT)'!F108</f>
        <v>0</v>
      </c>
      <c r="G103" s="186">
        <f>'[11]Volume (KT)'!G108</f>
        <v>0</v>
      </c>
      <c r="H103" s="186">
        <f>'[11]Volume (KT)'!H108</f>
        <v>0</v>
      </c>
      <c r="I103" s="186">
        <f>'[11]Volume (KT)'!I108</f>
        <v>0</v>
      </c>
      <c r="J103" s="186">
        <f>'[11]Volume (KT)'!J108</f>
        <v>0</v>
      </c>
      <c r="K103" s="186">
        <f>'[11]Volume (KT)'!K108</f>
        <v>0</v>
      </c>
      <c r="L103" s="186">
        <f>'[11]Volume (KT)'!L108</f>
        <v>0</v>
      </c>
      <c r="M103" s="186">
        <f>'[11]Volume (KT)'!M108</f>
        <v>0</v>
      </c>
      <c r="N103" s="186">
        <f>'[11]Volume (KT)'!N108</f>
        <v>0</v>
      </c>
      <c r="O103" s="186">
        <f>'[11]Volume (KT)'!O108</f>
        <v>0</v>
      </c>
      <c r="P103" s="186">
        <f>'[11]Volume (KT)'!P108</f>
        <v>0</v>
      </c>
    </row>
    <row r="104" spans="1:16">
      <c r="A104" s="177" t="s">
        <v>241</v>
      </c>
      <c r="B104" s="202" t="s">
        <v>134</v>
      </c>
      <c r="C104" s="202" t="s">
        <v>133</v>
      </c>
      <c r="D104" s="205" t="s">
        <v>278</v>
      </c>
      <c r="E104" s="186">
        <f>'[11]Volume (KT)'!E109</f>
        <v>0</v>
      </c>
      <c r="F104" s="186">
        <f>'[11]Volume (KT)'!F109</f>
        <v>0</v>
      </c>
      <c r="G104" s="186">
        <f>'[11]Volume (KT)'!G109</f>
        <v>0</v>
      </c>
      <c r="H104" s="186">
        <f>'[11]Volume (KT)'!H109</f>
        <v>0</v>
      </c>
      <c r="I104" s="186">
        <f>'[11]Volume (KT)'!I109</f>
        <v>0</v>
      </c>
      <c r="J104" s="186">
        <f>'[11]Volume (KT)'!J109</f>
        <v>0</v>
      </c>
      <c r="K104" s="186">
        <f>'[11]Volume (KT)'!K109</f>
        <v>0</v>
      </c>
      <c r="L104" s="186">
        <f>'[11]Volume (KT)'!L109</f>
        <v>0</v>
      </c>
      <c r="M104" s="186">
        <f>'[11]Volume (KT)'!M109</f>
        <v>0</v>
      </c>
      <c r="N104" s="186">
        <f>'[11]Volume (KT)'!N109</f>
        <v>0</v>
      </c>
      <c r="O104" s="186">
        <f>'[11]Volume (KT)'!O109</f>
        <v>0</v>
      </c>
      <c r="P104" s="186">
        <f>'[11]Volume (KT)'!P109</f>
        <v>0</v>
      </c>
    </row>
    <row r="105" spans="1:16">
      <c r="A105" s="177" t="s">
        <v>241</v>
      </c>
      <c r="B105" s="202" t="s">
        <v>134</v>
      </c>
      <c r="C105" s="202" t="s">
        <v>230</v>
      </c>
      <c r="D105" s="205" t="s">
        <v>276</v>
      </c>
      <c r="E105" s="186">
        <f>'[11]Volume (KT)'!E110</f>
        <v>0</v>
      </c>
      <c r="F105" s="186">
        <f>'[11]Volume (KT)'!F110</f>
        <v>0</v>
      </c>
      <c r="G105" s="186">
        <f>'[11]Volume (KT)'!G110</f>
        <v>0</v>
      </c>
      <c r="H105" s="186">
        <f>'[11]Volume (KT)'!H110</f>
        <v>0</v>
      </c>
      <c r="I105" s="186">
        <f>'[11]Volume (KT)'!I110</f>
        <v>0</v>
      </c>
      <c r="J105" s="186">
        <f>'[11]Volume (KT)'!J110</f>
        <v>0</v>
      </c>
      <c r="K105" s="186">
        <f>'[11]Volume (KT)'!K110</f>
        <v>0</v>
      </c>
      <c r="L105" s="186">
        <f>'[11]Volume (KT)'!L110</f>
        <v>0</v>
      </c>
      <c r="M105" s="186">
        <f>'[11]Volume (KT)'!M110</f>
        <v>0</v>
      </c>
      <c r="N105" s="186">
        <f>'[11]Volume (KT)'!N110</f>
        <v>0</v>
      </c>
      <c r="O105" s="186">
        <f>'[11]Volume (KT)'!O110</f>
        <v>0</v>
      </c>
      <c r="P105" s="186">
        <f>'[11]Volume (KT)'!P110</f>
        <v>0</v>
      </c>
    </row>
    <row r="106" spans="1:16">
      <c r="A106" s="177" t="s">
        <v>241</v>
      </c>
      <c r="B106" s="202" t="s">
        <v>134</v>
      </c>
      <c r="C106" s="202" t="s">
        <v>230</v>
      </c>
      <c r="D106" s="205" t="s">
        <v>278</v>
      </c>
      <c r="E106" s="186">
        <f>'[11]Volume (KT)'!E111</f>
        <v>0</v>
      </c>
      <c r="F106" s="186">
        <f>'[11]Volume (KT)'!F111</f>
        <v>0</v>
      </c>
      <c r="G106" s="186">
        <f>'[11]Volume (KT)'!G111</f>
        <v>0</v>
      </c>
      <c r="H106" s="186">
        <f>'[11]Volume (KT)'!H111</f>
        <v>0</v>
      </c>
      <c r="I106" s="186">
        <f>'[11]Volume (KT)'!I111</f>
        <v>0</v>
      </c>
      <c r="J106" s="186">
        <f>'[11]Volume (KT)'!J111</f>
        <v>0</v>
      </c>
      <c r="K106" s="186">
        <f>'[11]Volume (KT)'!K111</f>
        <v>0</v>
      </c>
      <c r="L106" s="186">
        <f>'[11]Volume (KT)'!L111</f>
        <v>0</v>
      </c>
      <c r="M106" s="186">
        <f>'[11]Volume (KT)'!M111</f>
        <v>0</v>
      </c>
      <c r="N106" s="186">
        <f>'[11]Volume (KT)'!N111</f>
        <v>0</v>
      </c>
      <c r="O106" s="186">
        <f>'[11]Volume (KT)'!O111</f>
        <v>0</v>
      </c>
      <c r="P106" s="186">
        <f>'[11]Volume (KT)'!P111</f>
        <v>0</v>
      </c>
    </row>
    <row r="107" spans="1:16">
      <c r="A107" s="177" t="s">
        <v>241</v>
      </c>
      <c r="B107" s="202" t="s">
        <v>134</v>
      </c>
      <c r="C107" s="909" t="s">
        <v>282</v>
      </c>
      <c r="D107" s="205" t="s">
        <v>276</v>
      </c>
      <c r="E107" s="186">
        <f>'[11]Volume (KT)'!E111</f>
        <v>0</v>
      </c>
      <c r="F107" s="186">
        <f>'[11]Volume (KT)'!F111</f>
        <v>0</v>
      </c>
      <c r="G107" s="186">
        <f>'[11]Volume (KT)'!G111</f>
        <v>0</v>
      </c>
      <c r="H107" s="186">
        <f>'[11]Volume (KT)'!H111</f>
        <v>0</v>
      </c>
      <c r="I107" s="186">
        <f>'[11]Volume (KT)'!I111</f>
        <v>0</v>
      </c>
      <c r="J107" s="186">
        <f>'[11]Volume (KT)'!J111</f>
        <v>0</v>
      </c>
      <c r="K107" s="186">
        <f>'[11]Volume (KT)'!K111</f>
        <v>0</v>
      </c>
      <c r="L107" s="186">
        <f>'[11]Volume (KT)'!L111</f>
        <v>0</v>
      </c>
      <c r="M107" s="186">
        <f>'[11]Volume (KT)'!M111</f>
        <v>0</v>
      </c>
      <c r="N107" s="186">
        <f>'[11]Volume (KT)'!N111</f>
        <v>0</v>
      </c>
      <c r="O107" s="186">
        <f>'[11]Volume (KT)'!O111</f>
        <v>0</v>
      </c>
      <c r="P107" s="186">
        <f>'[11]Volume (KT)'!P111</f>
        <v>0</v>
      </c>
    </row>
    <row r="108" spans="1:16">
      <c r="A108" s="177" t="s">
        <v>241</v>
      </c>
      <c r="B108" s="202" t="s">
        <v>134</v>
      </c>
      <c r="C108" s="202" t="s">
        <v>282</v>
      </c>
      <c r="D108" s="205" t="s">
        <v>278</v>
      </c>
      <c r="E108" s="186">
        <f>'[11]Volume (KT)'!E112</f>
        <v>0</v>
      </c>
      <c r="F108" s="186">
        <f>'[11]Volume (KT)'!F112</f>
        <v>0</v>
      </c>
      <c r="G108" s="186">
        <f>'[11]Volume (KT)'!G112</f>
        <v>0</v>
      </c>
      <c r="H108" s="186">
        <f>'[11]Volume (KT)'!H112</f>
        <v>0</v>
      </c>
      <c r="I108" s="186">
        <f>'[11]Volume (KT)'!I112</f>
        <v>0</v>
      </c>
      <c r="J108" s="186">
        <f>'[11]Volume (KT)'!J112</f>
        <v>0</v>
      </c>
      <c r="K108" s="186">
        <f>'[11]Volume (KT)'!K112</f>
        <v>0</v>
      </c>
      <c r="L108" s="186">
        <f>'[11]Volume (KT)'!L112</f>
        <v>0</v>
      </c>
      <c r="M108" s="186">
        <f>'[11]Volume (KT)'!M112</f>
        <v>0</v>
      </c>
      <c r="N108" s="186">
        <f>'[11]Volume (KT)'!N112</f>
        <v>0</v>
      </c>
      <c r="O108" s="186">
        <f>'[11]Volume (KT)'!O112</f>
        <v>0</v>
      </c>
      <c r="P108" s="186">
        <f>'[11]Volume (KT)'!P112</f>
        <v>0</v>
      </c>
    </row>
    <row r="109" spans="1:16">
      <c r="A109" s="177" t="s">
        <v>241</v>
      </c>
      <c r="B109" s="202" t="s">
        <v>134</v>
      </c>
      <c r="C109" s="202" t="s">
        <v>284</v>
      </c>
      <c r="D109" s="205" t="s">
        <v>278</v>
      </c>
      <c r="E109" s="186">
        <f>'[11]Volume (KT)'!E113</f>
        <v>0</v>
      </c>
      <c r="F109" s="186">
        <f>'[11]Volume (KT)'!F113</f>
        <v>0</v>
      </c>
      <c r="G109" s="186">
        <f>'[11]Volume (KT)'!G113</f>
        <v>0</v>
      </c>
      <c r="H109" s="186">
        <f>'[11]Volume (KT)'!H113</f>
        <v>0</v>
      </c>
      <c r="I109" s="186">
        <f>'[11]Volume (KT)'!I113</f>
        <v>0</v>
      </c>
      <c r="J109" s="186">
        <f>'[11]Volume (KT)'!J113</f>
        <v>0</v>
      </c>
      <c r="K109" s="186">
        <f>'[11]Volume (KT)'!K113</f>
        <v>0</v>
      </c>
      <c r="L109" s="186">
        <f>'[11]Volume (KT)'!L113</f>
        <v>0</v>
      </c>
      <c r="M109" s="186">
        <f>'[11]Volume (KT)'!M113</f>
        <v>0</v>
      </c>
      <c r="N109" s="186">
        <f>'[11]Volume (KT)'!N113</f>
        <v>0</v>
      </c>
      <c r="O109" s="186">
        <f>'[11]Volume (KT)'!O113</f>
        <v>0</v>
      </c>
      <c r="P109" s="186">
        <f>'[11]Volume (KT)'!P113</f>
        <v>0</v>
      </c>
    </row>
    <row r="110" spans="1:16">
      <c r="A110" s="177" t="s">
        <v>241</v>
      </c>
      <c r="B110" s="202" t="s">
        <v>132</v>
      </c>
      <c r="C110" s="909" t="s">
        <v>68</v>
      </c>
      <c r="D110" s="206" t="s">
        <v>278</v>
      </c>
      <c r="E110" s="186">
        <f>'[11]Volume (KT)'!E115</f>
        <v>3.5399999999999991</v>
      </c>
      <c r="F110" s="186">
        <f>'[11]Volume (KT)'!F115</f>
        <v>1.9999999999999996</v>
      </c>
      <c r="G110" s="186">
        <f>'[11]Volume (KT)'!G115</f>
        <v>2</v>
      </c>
      <c r="H110" s="186">
        <f>'[11]Volume (KT)'!H115</f>
        <v>2</v>
      </c>
      <c r="I110" s="186">
        <f>'[11]Volume (KT)'!I115</f>
        <v>2.0000000000000004</v>
      </c>
      <c r="J110" s="186">
        <f>'[11]Volume (KT)'!J115</f>
        <v>2.0000000000000004</v>
      </c>
      <c r="K110" s="186">
        <f>'[11]Volume (KT)'!K115</f>
        <v>2</v>
      </c>
      <c r="L110" s="186">
        <f>'[11]Volume (KT)'!L115</f>
        <v>2</v>
      </c>
      <c r="M110" s="186">
        <f>'[11]Volume (KT)'!M115</f>
        <v>2</v>
      </c>
      <c r="N110" s="186">
        <f>'[11]Volume (KT)'!N115</f>
        <v>2</v>
      </c>
      <c r="O110" s="186">
        <f>'[11]Volume (KT)'!O115</f>
        <v>2</v>
      </c>
      <c r="P110" s="186">
        <f>'[11]Volume (KT)'!P115</f>
        <v>2</v>
      </c>
    </row>
    <row r="111" spans="1:16">
      <c r="A111" s="177" t="s">
        <v>241</v>
      </c>
      <c r="B111" s="202" t="s">
        <v>132</v>
      </c>
      <c r="C111" s="202" t="s">
        <v>229</v>
      </c>
      <c r="D111" s="205" t="s">
        <v>285</v>
      </c>
      <c r="E111" s="186">
        <f>'[11]Volume (KT)'!E116</f>
        <v>0</v>
      </c>
      <c r="F111" s="186">
        <f>'[11]Volume (KT)'!F116</f>
        <v>0</v>
      </c>
      <c r="G111" s="186">
        <f>'[11]Volume (KT)'!G116</f>
        <v>0</v>
      </c>
      <c r="H111" s="186">
        <f>'[11]Volume (KT)'!H116</f>
        <v>0</v>
      </c>
      <c r="I111" s="186">
        <f>'[11]Volume (KT)'!I116</f>
        <v>0</v>
      </c>
      <c r="J111" s="186">
        <f>'[11]Volume (KT)'!J116</f>
        <v>0</v>
      </c>
      <c r="K111" s="186">
        <f>'[11]Volume (KT)'!K116</f>
        <v>0</v>
      </c>
      <c r="L111" s="186">
        <f>'[11]Volume (KT)'!L116</f>
        <v>0</v>
      </c>
      <c r="M111" s="186">
        <f>'[11]Volume (KT)'!M116</f>
        <v>0</v>
      </c>
      <c r="N111" s="186">
        <f>'[11]Volume (KT)'!N116</f>
        <v>0</v>
      </c>
      <c r="O111" s="186">
        <f>'[11]Volume (KT)'!O116</f>
        <v>0</v>
      </c>
      <c r="P111" s="186">
        <f>'[11]Volume (KT)'!P116</f>
        <v>0</v>
      </c>
    </row>
    <row r="112" spans="1:16">
      <c r="A112" s="177" t="s">
        <v>241</v>
      </c>
      <c r="B112" s="202" t="s">
        <v>132</v>
      </c>
      <c r="C112" s="202" t="s">
        <v>228</v>
      </c>
      <c r="D112" s="205" t="s">
        <v>285</v>
      </c>
      <c r="E112" s="186">
        <f>'[11]Volume (KT)'!E117</f>
        <v>4.83</v>
      </c>
      <c r="F112" s="186">
        <f>'[11]Volume (KT)'!F117</f>
        <v>5.08</v>
      </c>
      <c r="G112" s="186">
        <f>'[11]Volume (KT)'!G117</f>
        <v>4.63</v>
      </c>
      <c r="H112" s="186">
        <f>'[11]Volume (KT)'!H117</f>
        <v>4.63</v>
      </c>
      <c r="I112" s="186">
        <f>'[11]Volume (KT)'!I117</f>
        <v>3.78</v>
      </c>
      <c r="J112" s="186">
        <f>'[11]Volume (KT)'!J117</f>
        <v>3.9</v>
      </c>
      <c r="K112" s="186">
        <f>'[11]Volume (KT)'!K117</f>
        <v>4.12</v>
      </c>
      <c r="L112" s="186">
        <f>'[11]Volume (KT)'!L117</f>
        <v>4.12</v>
      </c>
      <c r="M112" s="186">
        <f>'[11]Volume (KT)'!M117</f>
        <v>4.12</v>
      </c>
      <c r="N112" s="186">
        <f>'[11]Volume (KT)'!N117</f>
        <v>4.12</v>
      </c>
      <c r="O112" s="186">
        <f>'[11]Volume (KT)'!O117</f>
        <v>4.12</v>
      </c>
      <c r="P112" s="186">
        <f>'[11]Volume (KT)'!P117</f>
        <v>4.12</v>
      </c>
    </row>
    <row r="113" spans="1:16">
      <c r="A113" s="177" t="s">
        <v>241</v>
      </c>
      <c r="B113" s="202" t="s">
        <v>286</v>
      </c>
      <c r="C113" s="909" t="s">
        <v>68</v>
      </c>
      <c r="D113" s="205" t="s">
        <v>287</v>
      </c>
      <c r="E113" s="186">
        <f>'[11]Volume (KT)'!E119</f>
        <v>5.4870000000000001</v>
      </c>
      <c r="F113" s="186">
        <f>'[11]Volume (KT)'!F119</f>
        <v>5.32</v>
      </c>
      <c r="G113" s="186">
        <f>'[11]Volume (KT)'!G119</f>
        <v>5.74</v>
      </c>
      <c r="H113" s="186">
        <f>'[11]Volume (KT)'!H119</f>
        <v>5.55</v>
      </c>
      <c r="I113" s="186">
        <f>'[11]Volume (KT)'!I119</f>
        <v>5.7350000000000003</v>
      </c>
      <c r="J113" s="186">
        <f>'[11]Volume (KT)'!J119</f>
        <v>5.55</v>
      </c>
      <c r="K113" s="186">
        <f>'[11]Volume (KT)'!K119</f>
        <v>5.8259999999999996</v>
      </c>
      <c r="L113" s="186">
        <f>'[11]Volume (KT)'!L119</f>
        <v>5.8259999999999996</v>
      </c>
      <c r="M113" s="186">
        <f>'[11]Volume (KT)'!M119</f>
        <v>5.8259999999999996</v>
      </c>
      <c r="N113" s="186">
        <f>'[11]Volume (KT)'!N119</f>
        <v>5.8259999999999996</v>
      </c>
      <c r="O113" s="186">
        <f>'[11]Volume (KT)'!O119</f>
        <v>5.8259999999999996</v>
      </c>
      <c r="P113" s="186">
        <f>'[11]Volume (KT)'!P119</f>
        <v>5.8259999999999996</v>
      </c>
    </row>
    <row r="114" spans="1:16">
      <c r="A114" s="177" t="s">
        <v>241</v>
      </c>
      <c r="B114" s="202" t="s">
        <v>288</v>
      </c>
      <c r="C114" s="202" t="s">
        <v>68</v>
      </c>
      <c r="D114" s="205" t="s">
        <v>288</v>
      </c>
      <c r="E114" s="186">
        <f>'[11]Volume (KT)'!E120</f>
        <v>11</v>
      </c>
      <c r="F114" s="186">
        <f>'[11]Volume (KT)'!F120</f>
        <v>6.72</v>
      </c>
      <c r="G114" s="186">
        <f>'[11]Volume (KT)'!G120</f>
        <v>13.5</v>
      </c>
      <c r="H114" s="186">
        <f>'[11]Volume (KT)'!H120</f>
        <v>15</v>
      </c>
      <c r="I114" s="186">
        <f>'[11]Volume (KT)'!I120</f>
        <v>15.5</v>
      </c>
      <c r="J114" s="186">
        <f>'[11]Volume (KT)'!J120</f>
        <v>15</v>
      </c>
      <c r="K114" s="186">
        <f>'[11]Volume (KT)'!K120</f>
        <v>9.41</v>
      </c>
      <c r="L114" s="186">
        <f>'[11]Volume (KT)'!L120</f>
        <v>13.19</v>
      </c>
      <c r="M114" s="186">
        <f>'[11]Volume (KT)'!M120</f>
        <v>15</v>
      </c>
      <c r="N114" s="186">
        <f>'[11]Volume (KT)'!N120</f>
        <v>15.5</v>
      </c>
      <c r="O114" s="186">
        <f>'[11]Volume (KT)'!O120</f>
        <v>15</v>
      </c>
      <c r="P114" s="186">
        <f>'[11]Volume (KT)'!P120</f>
        <v>15.08</v>
      </c>
    </row>
    <row r="115" spans="1:16" s="174" customFormat="1" ht="23.5">
      <c r="A115" s="172" t="s">
        <v>71</v>
      </c>
      <c r="B115" s="173"/>
      <c r="D115" s="173"/>
      <c r="E115" s="181">
        <f>SUM(E55:E114)</f>
        <v>202.43700000000001</v>
      </c>
      <c r="F115" s="181">
        <f t="shared" ref="F115:P115" si="7">SUM(F55:F114)</f>
        <v>201.26743945000004</v>
      </c>
      <c r="G115" s="181">
        <f t="shared" si="7"/>
        <v>216.2</v>
      </c>
      <c r="H115" s="181">
        <f t="shared" si="7"/>
        <v>221.20542810999999</v>
      </c>
      <c r="I115" s="181">
        <f t="shared" si="7"/>
        <v>247.85366386999999</v>
      </c>
      <c r="J115" s="181">
        <f t="shared" si="7"/>
        <v>223.38535404999999</v>
      </c>
      <c r="K115" s="181">
        <f t="shared" si="7"/>
        <v>282.42178031000003</v>
      </c>
      <c r="L115" s="181">
        <f t="shared" si="7"/>
        <v>216.22864504999995</v>
      </c>
      <c r="M115" s="181">
        <f t="shared" si="7"/>
        <v>214.10245453999997</v>
      </c>
      <c r="N115" s="181">
        <f t="shared" si="7"/>
        <v>215.50917172999996</v>
      </c>
      <c r="O115" s="181">
        <f t="shared" si="7"/>
        <v>214.38978416999998</v>
      </c>
      <c r="P115" s="181">
        <f t="shared" si="7"/>
        <v>217.56878729999997</v>
      </c>
    </row>
    <row r="116" spans="1:16">
      <c r="A116" s="1375" t="s">
        <v>1</v>
      </c>
      <c r="B116" s="1377" t="s">
        <v>23</v>
      </c>
      <c r="C116" s="1377" t="s">
        <v>249</v>
      </c>
      <c r="D116" s="1377" t="s">
        <v>250</v>
      </c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</row>
    <row r="117" spans="1:16">
      <c r="A117" s="1376"/>
      <c r="B117" s="1378"/>
      <c r="C117" s="1378"/>
      <c r="D117" s="1378"/>
      <c r="E117" s="207">
        <v>23377</v>
      </c>
      <c r="F117" s="207">
        <v>23408</v>
      </c>
      <c r="G117" s="207">
        <v>23437</v>
      </c>
      <c r="H117" s="207">
        <v>23468</v>
      </c>
      <c r="I117" s="207">
        <v>23498</v>
      </c>
      <c r="J117" s="207">
        <v>23529</v>
      </c>
      <c r="K117" s="207">
        <v>23559</v>
      </c>
      <c r="L117" s="207">
        <v>23590</v>
      </c>
      <c r="M117" s="207">
        <v>23621</v>
      </c>
      <c r="N117" s="207">
        <v>23651</v>
      </c>
      <c r="O117" s="207">
        <v>23682</v>
      </c>
      <c r="P117" s="207">
        <v>23712</v>
      </c>
    </row>
    <row r="118" spans="1:16">
      <c r="A118" s="177" t="s">
        <v>241</v>
      </c>
      <c r="B118" s="208" t="s">
        <v>25</v>
      </c>
      <c r="C118" s="208" t="s">
        <v>134</v>
      </c>
      <c r="D118" s="208" t="s">
        <v>25</v>
      </c>
      <c r="E118" s="209">
        <f>'[11]Volume (KT)'!E124</f>
        <v>24.5</v>
      </c>
      <c r="F118" s="209">
        <f>'[11]Volume (KT)'!F124</f>
        <v>24.5</v>
      </c>
      <c r="G118" s="209">
        <f>'[11]Volume (KT)'!G124</f>
        <v>26</v>
      </c>
      <c r="H118" s="209">
        <f>'[11]Volume (KT)'!H124</f>
        <v>22.5</v>
      </c>
      <c r="I118" s="209">
        <f>'[11]Volume (KT)'!I124</f>
        <v>23.000000000000004</v>
      </c>
      <c r="J118" s="209">
        <f>'[11]Volume (KT)'!J124</f>
        <v>23.000000000000004</v>
      </c>
      <c r="K118" s="209">
        <f>'[11]Volume (KT)'!K124</f>
        <v>18</v>
      </c>
      <c r="L118" s="209">
        <f>'[11]Volume (KT)'!L124</f>
        <v>22</v>
      </c>
      <c r="M118" s="209">
        <f>'[11]Volume (KT)'!M124</f>
        <v>19</v>
      </c>
      <c r="N118" s="209">
        <f>'[11]Volume (KT)'!N124</f>
        <v>17</v>
      </c>
      <c r="O118" s="209">
        <f>'[11]Volume (KT)'!O124</f>
        <v>20.5</v>
      </c>
      <c r="P118" s="209">
        <f>'[11]Volume (KT)'!P124</f>
        <v>21</v>
      </c>
    </row>
    <row r="119" spans="1:16">
      <c r="A119" s="177" t="s">
        <v>241</v>
      </c>
      <c r="B119" s="208" t="s">
        <v>25</v>
      </c>
      <c r="C119" s="208" t="s">
        <v>220</v>
      </c>
      <c r="D119" s="208" t="s">
        <v>25</v>
      </c>
      <c r="E119" s="209">
        <f>'[11]Volume (KT)'!E125</f>
        <v>29.16</v>
      </c>
      <c r="F119" s="209">
        <f>'[11]Volume (KT)'!F125</f>
        <v>25.272000000000002</v>
      </c>
      <c r="G119" s="209">
        <f>'[11]Volume (KT)'!G125</f>
        <v>28.271999999999998</v>
      </c>
      <c r="H119" s="209">
        <f>'[11]Volume (KT)'!H125</f>
        <v>27.36</v>
      </c>
      <c r="I119" s="209">
        <f>'[11]Volume (KT)'!I125</f>
        <v>28.271999999999998</v>
      </c>
      <c r="J119" s="209">
        <f>'[11]Volume (KT)'!J125</f>
        <v>27.36</v>
      </c>
      <c r="K119" s="209">
        <f>'[11]Volume (KT)'!K125</f>
        <v>21.384</v>
      </c>
      <c r="L119" s="209">
        <f>'[11]Volume (KT)'!L125</f>
        <v>28.271999999999998</v>
      </c>
      <c r="M119" s="209">
        <f>'[11]Volume (KT)'!M125</f>
        <v>27.36</v>
      </c>
      <c r="N119" s="209">
        <f>'[11]Volume (KT)'!N125</f>
        <v>25.296000000000003</v>
      </c>
      <c r="O119" s="209">
        <f>'[11]Volume (KT)'!O125</f>
        <v>27.36</v>
      </c>
      <c r="P119" s="209">
        <f>'[11]Volume (KT)'!P125</f>
        <v>28.271999999999998</v>
      </c>
    </row>
    <row r="120" spans="1:16">
      <c r="A120" s="177" t="s">
        <v>241</v>
      </c>
      <c r="B120" s="208" t="s">
        <v>25</v>
      </c>
      <c r="C120" s="208" t="s">
        <v>233</v>
      </c>
      <c r="D120" s="208" t="s">
        <v>289</v>
      </c>
      <c r="E120" s="209">
        <f>'[11]Volume (KT)'!E126</f>
        <v>0</v>
      </c>
      <c r="F120" s="209">
        <f>'[11]Volume (KT)'!F126</f>
        <v>1.2</v>
      </c>
      <c r="G120" s="209">
        <f>'[11]Volume (KT)'!G126</f>
        <v>0</v>
      </c>
      <c r="H120" s="209">
        <f>'[11]Volume (KT)'!H126</f>
        <v>0</v>
      </c>
      <c r="I120" s="209">
        <f>'[11]Volume (KT)'!I126</f>
        <v>0</v>
      </c>
      <c r="J120" s="209">
        <f>'[11]Volume (KT)'!J126</f>
        <v>0</v>
      </c>
      <c r="K120" s="209">
        <f>'[11]Volume (KT)'!K126</f>
        <v>1.1664000000000001</v>
      </c>
      <c r="L120" s="209">
        <f>'[11]Volume (KT)'!L126</f>
        <v>0</v>
      </c>
      <c r="M120" s="209">
        <f>'[11]Volume (KT)'!M126</f>
        <v>0</v>
      </c>
      <c r="N120" s="209">
        <f>'[11]Volume (KT)'!N126</f>
        <v>0</v>
      </c>
      <c r="O120" s="209">
        <f>'[11]Volume (KT)'!O126</f>
        <v>0</v>
      </c>
      <c r="P120" s="209">
        <f>'[11]Volume (KT)'!P126</f>
        <v>0</v>
      </c>
    </row>
    <row r="121" spans="1:16">
      <c r="A121" s="177" t="s">
        <v>241</v>
      </c>
      <c r="B121" s="208" t="s">
        <v>288</v>
      </c>
      <c r="C121" s="208" t="s">
        <v>233</v>
      </c>
      <c r="D121" s="208" t="s">
        <v>288</v>
      </c>
      <c r="E121" s="209">
        <f>'[11]Volume (KT)'!E127</f>
        <v>1.2312000000000001</v>
      </c>
      <c r="F121" s="209">
        <f>'[11]Volume (KT)'!F127</f>
        <v>0</v>
      </c>
      <c r="G121" s="209">
        <f>'[11]Volume (KT)'!G127</f>
        <v>1.2312000000000001</v>
      </c>
      <c r="H121" s="209">
        <f>'[11]Volume (KT)'!H127</f>
        <v>1.2312000000000001</v>
      </c>
      <c r="I121" s="209">
        <f>'[11]Volume (KT)'!I127</f>
        <v>1.2312000000000001</v>
      </c>
      <c r="J121" s="209">
        <f>'[11]Volume (KT)'!J127</f>
        <v>1.2312000000000001</v>
      </c>
      <c r="K121" s="209">
        <f>'[11]Volume (KT)'!K127</f>
        <v>0</v>
      </c>
      <c r="L121" s="209">
        <f>'[11]Volume (KT)'!L127</f>
        <v>1.2312000000000001</v>
      </c>
      <c r="M121" s="209">
        <f>'[11]Volume (KT)'!M127</f>
        <v>1.2312000000000001</v>
      </c>
      <c r="N121" s="209">
        <f>'[11]Volume (KT)'!N127</f>
        <v>1.2312000000000001</v>
      </c>
      <c r="O121" s="209">
        <f>'[11]Volume (KT)'!O127</f>
        <v>1.2312000000000001</v>
      </c>
      <c r="P121" s="209">
        <f>'[11]Volume (KT)'!P127</f>
        <v>1.2312000000000001</v>
      </c>
    </row>
    <row r="122" spans="1:16">
      <c r="A122" s="177" t="s">
        <v>241</v>
      </c>
      <c r="B122" s="208" t="s">
        <v>288</v>
      </c>
      <c r="C122" s="208" t="s">
        <v>133</v>
      </c>
      <c r="D122" s="208" t="s">
        <v>288</v>
      </c>
      <c r="E122" s="209">
        <f>'[11]Volume (KT)'!E128</f>
        <v>1.2312000000000001</v>
      </c>
      <c r="F122" s="209">
        <f>'[11]Volume (KT)'!F128</f>
        <v>1.2312000000000001</v>
      </c>
      <c r="G122" s="209">
        <f>'[11]Volume (KT)'!G128</f>
        <v>2.4624000000000001</v>
      </c>
      <c r="H122" s="209">
        <f>'[11]Volume (KT)'!H128</f>
        <v>1.2312000000000001</v>
      </c>
      <c r="I122" s="209">
        <f>'[11]Volume (KT)'!I128</f>
        <v>2.4624000000000001</v>
      </c>
      <c r="J122" s="209">
        <f>'[11]Volume (KT)'!J128</f>
        <v>1.2312000000000001</v>
      </c>
      <c r="K122" s="209">
        <f>'[11]Volume (KT)'!K128</f>
        <v>1.2312000000000001</v>
      </c>
      <c r="L122" s="209">
        <f>'[11]Volume (KT)'!L128</f>
        <v>2.4624000000000001</v>
      </c>
      <c r="M122" s="209">
        <f>'[11]Volume (KT)'!M128</f>
        <v>1.2312000000000001</v>
      </c>
      <c r="N122" s="209">
        <f>'[11]Volume (KT)'!N128</f>
        <v>2.4624000000000001</v>
      </c>
      <c r="O122" s="209">
        <f>'[11]Volume (KT)'!O128</f>
        <v>1.2312000000000001</v>
      </c>
      <c r="P122" s="209">
        <f>'[11]Volume (KT)'!P128</f>
        <v>2.4624000000000001</v>
      </c>
    </row>
    <row r="123" spans="1:16" s="174" customFormat="1" ht="23.5">
      <c r="A123" s="172" t="s">
        <v>79</v>
      </c>
      <c r="B123" s="173"/>
      <c r="D123" s="173"/>
      <c r="E123" s="181">
        <f>SUM(E118:E122)</f>
        <v>56.122399999999999</v>
      </c>
      <c r="F123" s="181">
        <f t="shared" ref="F123:P123" si="8">SUM(F118:F122)</f>
        <v>52.20320000000001</v>
      </c>
      <c r="G123" s="181">
        <f t="shared" si="8"/>
        <v>57.965600000000002</v>
      </c>
      <c r="H123" s="181">
        <f t="shared" si="8"/>
        <v>52.322400000000002</v>
      </c>
      <c r="I123" s="181">
        <f t="shared" si="8"/>
        <v>54.965600000000009</v>
      </c>
      <c r="J123" s="181">
        <f t="shared" si="8"/>
        <v>52.822400000000002</v>
      </c>
      <c r="K123" s="181">
        <f t="shared" si="8"/>
        <v>41.781600000000005</v>
      </c>
      <c r="L123" s="181">
        <f t="shared" si="8"/>
        <v>53.965600000000002</v>
      </c>
      <c r="M123" s="181">
        <f t="shared" si="8"/>
        <v>48.822400000000002</v>
      </c>
      <c r="N123" s="181">
        <f t="shared" si="8"/>
        <v>45.98960000000001</v>
      </c>
      <c r="O123" s="181">
        <f t="shared" si="8"/>
        <v>50.322400000000002</v>
      </c>
      <c r="P123" s="181">
        <f t="shared" si="8"/>
        <v>52.965600000000002</v>
      </c>
    </row>
    <row r="124" spans="1:16">
      <c r="A124" s="1375" t="s">
        <v>1</v>
      </c>
      <c r="B124" s="1377" t="s">
        <v>79</v>
      </c>
      <c r="C124" s="1377" t="s">
        <v>249</v>
      </c>
      <c r="D124" s="1377" t="s">
        <v>250</v>
      </c>
      <c r="E124" s="175">
        <v>31</v>
      </c>
      <c r="F124" s="175">
        <v>28</v>
      </c>
      <c r="G124" s="175">
        <v>31</v>
      </c>
      <c r="H124" s="175">
        <v>30</v>
      </c>
      <c r="I124" s="175">
        <v>31</v>
      </c>
      <c r="J124" s="175">
        <v>30</v>
      </c>
      <c r="K124" s="175">
        <v>31</v>
      </c>
      <c r="L124" s="175">
        <v>31</v>
      </c>
      <c r="M124" s="175">
        <v>30</v>
      </c>
      <c r="N124" s="175">
        <v>31</v>
      </c>
      <c r="O124" s="175">
        <v>30</v>
      </c>
      <c r="P124" s="175">
        <v>31</v>
      </c>
    </row>
    <row r="125" spans="1:16">
      <c r="A125" s="1376"/>
      <c r="B125" s="1378"/>
      <c r="C125" s="1378"/>
      <c r="D125" s="1378"/>
      <c r="E125" s="207">
        <v>23377</v>
      </c>
      <c r="F125" s="207">
        <v>23408</v>
      </c>
      <c r="G125" s="207">
        <v>23437</v>
      </c>
      <c r="H125" s="207">
        <v>23468</v>
      </c>
      <c r="I125" s="207">
        <v>23498</v>
      </c>
      <c r="J125" s="207">
        <v>23529</v>
      </c>
      <c r="K125" s="207">
        <v>23559</v>
      </c>
      <c r="L125" s="207">
        <v>23590</v>
      </c>
      <c r="M125" s="207">
        <v>23621</v>
      </c>
      <c r="N125" s="207">
        <v>23651</v>
      </c>
      <c r="O125" s="207">
        <v>23682</v>
      </c>
      <c r="P125" s="207">
        <v>23712</v>
      </c>
    </row>
    <row r="126" spans="1:16">
      <c r="A126" s="177" t="s">
        <v>241</v>
      </c>
      <c r="B126" s="208" t="s">
        <v>25</v>
      </c>
      <c r="C126" s="208" t="s">
        <v>220</v>
      </c>
      <c r="D126" s="208" t="s">
        <v>25</v>
      </c>
      <c r="E126" s="210">
        <f>'[11]Volume (KT)'!E132</f>
        <v>2.2320000000000002</v>
      </c>
      <c r="F126" s="210" t="s">
        <v>642</v>
      </c>
      <c r="G126" s="210">
        <f>'[11]Volume (KT)'!G132</f>
        <v>4.4640000000000004</v>
      </c>
      <c r="H126" s="210">
        <f>'[11]Volume (KT)'!H132</f>
        <v>4.32</v>
      </c>
      <c r="I126" s="210">
        <f>'[11]Volume (KT)'!I132</f>
        <v>4.4640000000000004</v>
      </c>
      <c r="J126" s="210">
        <f>'[11]Volume (KT)'!J132</f>
        <v>4.32</v>
      </c>
      <c r="K126" s="210">
        <f>'[11]Volume (KT)'!K132</f>
        <v>4.4640000000000004</v>
      </c>
      <c r="L126" s="210">
        <f>'[11]Volume (KT)'!L132</f>
        <v>4.4640000000000004</v>
      </c>
      <c r="M126" s="210">
        <f>'[11]Volume (KT)'!M132</f>
        <v>4.32</v>
      </c>
      <c r="N126" s="210">
        <f>'[11]Volume (KT)'!N132</f>
        <v>4.4640000000000004</v>
      </c>
      <c r="O126" s="210">
        <f>'[11]Volume (KT)'!O132</f>
        <v>4.32</v>
      </c>
      <c r="P126" s="210">
        <f>'[11]Volume (KT)'!P132</f>
        <v>4.4640000000000004</v>
      </c>
    </row>
    <row r="127" spans="1:16" s="174" customFormat="1" ht="23.5">
      <c r="A127" s="172" t="s">
        <v>83</v>
      </c>
      <c r="B127" s="173"/>
      <c r="D127" s="173"/>
      <c r="E127" s="211">
        <f>E126</f>
        <v>2.2320000000000002</v>
      </c>
      <c r="F127" s="211" t="str">
        <f t="shared" ref="F127:P127" si="9">F126</f>
        <v>ป</v>
      </c>
      <c r="G127" s="211">
        <f t="shared" si="9"/>
        <v>4.4640000000000004</v>
      </c>
      <c r="H127" s="211">
        <f t="shared" si="9"/>
        <v>4.32</v>
      </c>
      <c r="I127" s="211">
        <f t="shared" si="9"/>
        <v>4.4640000000000004</v>
      </c>
      <c r="J127" s="211">
        <f t="shared" si="9"/>
        <v>4.32</v>
      </c>
      <c r="K127" s="211">
        <f t="shared" si="9"/>
        <v>4.4640000000000004</v>
      </c>
      <c r="L127" s="211">
        <f t="shared" si="9"/>
        <v>4.4640000000000004</v>
      </c>
      <c r="M127" s="211">
        <f t="shared" si="9"/>
        <v>4.32</v>
      </c>
      <c r="N127" s="211">
        <f t="shared" si="9"/>
        <v>4.4640000000000004</v>
      </c>
      <c r="O127" s="211">
        <f t="shared" si="9"/>
        <v>4.32</v>
      </c>
      <c r="P127" s="211">
        <f t="shared" si="9"/>
        <v>4.4640000000000004</v>
      </c>
    </row>
    <row r="128" spans="1:16">
      <c r="A128" s="1375" t="s">
        <v>1</v>
      </c>
      <c r="B128" s="1377" t="s">
        <v>83</v>
      </c>
      <c r="C128" s="1377" t="s">
        <v>249</v>
      </c>
      <c r="D128" s="1377" t="s">
        <v>250</v>
      </c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</row>
    <row r="129" spans="1:16">
      <c r="A129" s="1376"/>
      <c r="B129" s="1378"/>
      <c r="C129" s="1378"/>
      <c r="D129" s="1378"/>
      <c r="E129" s="176">
        <v>23377</v>
      </c>
      <c r="F129" s="207">
        <v>23408</v>
      </c>
      <c r="G129" s="207">
        <v>23437</v>
      </c>
      <c r="H129" s="207">
        <v>23468</v>
      </c>
      <c r="I129" s="207">
        <v>23498</v>
      </c>
      <c r="J129" s="207">
        <v>23529</v>
      </c>
      <c r="K129" s="207">
        <v>23559</v>
      </c>
      <c r="L129" s="207">
        <v>23590</v>
      </c>
      <c r="M129" s="207">
        <v>23621</v>
      </c>
      <c r="N129" s="207">
        <v>23651</v>
      </c>
      <c r="O129" s="207">
        <v>23682</v>
      </c>
      <c r="P129" s="207">
        <v>23712</v>
      </c>
    </row>
    <row r="130" spans="1:16">
      <c r="A130" s="177" t="s">
        <v>241</v>
      </c>
      <c r="B130" s="208" t="s">
        <v>25</v>
      </c>
      <c r="C130" s="208" t="s">
        <v>290</v>
      </c>
      <c r="D130" s="208" t="s">
        <v>25</v>
      </c>
      <c r="E130" s="212">
        <f>'[11]Volume (KT)'!E136</f>
        <v>35</v>
      </c>
      <c r="F130" s="212">
        <f>'[11]Volume (KT)'!F136</f>
        <v>35</v>
      </c>
      <c r="G130" s="212">
        <f>'[11]Volume (KT)'!G136</f>
        <v>35</v>
      </c>
      <c r="H130" s="212">
        <f>'[11]Volume (KT)'!H136</f>
        <v>35</v>
      </c>
      <c r="I130" s="212">
        <f>'[11]Volume (KT)'!I136</f>
        <v>35</v>
      </c>
      <c r="J130" s="212">
        <f>'[11]Volume (KT)'!J136</f>
        <v>35</v>
      </c>
      <c r="K130" s="212">
        <f>'[11]Volume (KT)'!K136</f>
        <v>35</v>
      </c>
      <c r="L130" s="212">
        <f>'[11]Volume (KT)'!L136</f>
        <v>35</v>
      </c>
      <c r="M130" s="212">
        <f>'[11]Volume (KT)'!M136</f>
        <v>35</v>
      </c>
      <c r="N130" s="212">
        <f>'[11]Volume (KT)'!N136</f>
        <v>35</v>
      </c>
      <c r="O130" s="212">
        <f>'[11]Volume (KT)'!O136</f>
        <v>35</v>
      </c>
      <c r="P130" s="212">
        <f>'[11]Volume (KT)'!P136</f>
        <v>35</v>
      </c>
    </row>
    <row r="131" spans="1:16">
      <c r="A131" s="177" t="s">
        <v>241</v>
      </c>
      <c r="B131" s="208" t="s">
        <v>25</v>
      </c>
      <c r="C131" s="208" t="s">
        <v>291</v>
      </c>
      <c r="D131" s="208" t="s">
        <v>25</v>
      </c>
      <c r="E131" s="212">
        <f>'[11]Volume (KT)'!E137</f>
        <v>20</v>
      </c>
      <c r="F131" s="212">
        <f>'[11]Volume (KT)'!F137</f>
        <v>20</v>
      </c>
      <c r="G131" s="212">
        <f>'[11]Volume (KT)'!G137</f>
        <v>20</v>
      </c>
      <c r="H131" s="212">
        <f>'[11]Volume (KT)'!H137</f>
        <v>20</v>
      </c>
      <c r="I131" s="212">
        <f>'[11]Volume (KT)'!I137</f>
        <v>20</v>
      </c>
      <c r="J131" s="212">
        <f>'[11]Volume (KT)'!J137</f>
        <v>20</v>
      </c>
      <c r="K131" s="212">
        <f>'[11]Volume (KT)'!K137</f>
        <v>20</v>
      </c>
      <c r="L131" s="212">
        <f>'[11]Volume (KT)'!L137</f>
        <v>20</v>
      </c>
      <c r="M131" s="212">
        <f>'[11]Volume (KT)'!M137</f>
        <v>20</v>
      </c>
      <c r="N131" s="212">
        <f>'[11]Volume (KT)'!N137</f>
        <v>20</v>
      </c>
      <c r="O131" s="212">
        <f>'[11]Volume (KT)'!O137</f>
        <v>20</v>
      </c>
      <c r="P131" s="212">
        <f>'[11]Volume (KT)'!P137</f>
        <v>20</v>
      </c>
    </row>
    <row r="136" spans="1:16" ht="15" thickBot="1">
      <c r="E136" s="176">
        <v>23377</v>
      </c>
      <c r="F136" s="207">
        <v>23408</v>
      </c>
      <c r="G136" s="207">
        <v>23437</v>
      </c>
      <c r="H136" s="207">
        <v>23468</v>
      </c>
      <c r="I136" s="207">
        <v>23498</v>
      </c>
      <c r="J136" s="207">
        <v>23529</v>
      </c>
      <c r="K136" s="207">
        <v>23559</v>
      </c>
      <c r="L136" s="207">
        <v>23590</v>
      </c>
      <c r="M136" s="207">
        <v>23621</v>
      </c>
      <c r="N136" s="207">
        <v>23651</v>
      </c>
      <c r="O136" s="207">
        <v>23682</v>
      </c>
      <c r="P136" s="207">
        <v>23712</v>
      </c>
    </row>
    <row r="137" spans="1:16">
      <c r="A137" s="213" t="s">
        <v>292</v>
      </c>
      <c r="B137" s="214" t="s">
        <v>25</v>
      </c>
      <c r="C137" s="214" t="s">
        <v>134</v>
      </c>
      <c r="D137" s="215" t="s">
        <v>25</v>
      </c>
      <c r="E137" s="186">
        <f>'[11]Volume (KT)'!E143</f>
        <v>37.808641975308639</v>
      </c>
      <c r="F137" s="186">
        <f>'[11]Volume (KT)'!F143</f>
        <v>35.493827160493829</v>
      </c>
      <c r="G137" s="186">
        <f>'[11]Volume (KT)'!G143</f>
        <v>35.493827160493829</v>
      </c>
      <c r="H137" s="186">
        <f>'[11]Volume (KT)'!H143</f>
        <v>35.493827160493829</v>
      </c>
      <c r="I137" s="186">
        <f>'[11]Volume (KT)'!I143</f>
        <v>33.950617283950614</v>
      </c>
      <c r="J137" s="186">
        <f>'[11]Volume (KT)'!J143</f>
        <v>33.179012345679013</v>
      </c>
      <c r="K137" s="186">
        <f>'[11]Volume (KT)'!K143</f>
        <v>20.061728395061728</v>
      </c>
      <c r="L137" s="186">
        <f>'[11]Volume (KT)'!L143</f>
        <v>33.950617283950614</v>
      </c>
      <c r="M137" s="186">
        <f>'[11]Volume (KT)'!M143</f>
        <v>30.864197530864196</v>
      </c>
      <c r="N137" s="186">
        <f>'[11]Volume (KT)'!N143</f>
        <v>26.234567901234566</v>
      </c>
      <c r="O137" s="186">
        <f>'[11]Volume (KT)'!O143</f>
        <v>30.864197530864196</v>
      </c>
      <c r="P137" s="186">
        <f>'[11]Volume (KT)'!P143</f>
        <v>33.950617283950614</v>
      </c>
    </row>
    <row r="138" spans="1:16" ht="15" thickBot="1">
      <c r="A138" s="216" t="s">
        <v>292</v>
      </c>
      <c r="B138" s="217" t="s">
        <v>25</v>
      </c>
      <c r="C138" s="217" t="s">
        <v>220</v>
      </c>
      <c r="D138" s="218" t="s">
        <v>25</v>
      </c>
      <c r="E138" s="186">
        <f>'[11]Volume (KT)'!E144</f>
        <v>45</v>
      </c>
      <c r="F138" s="186">
        <f>'[11]Volume (KT)'!F144</f>
        <v>39</v>
      </c>
      <c r="G138" s="186">
        <f>'[11]Volume (KT)'!G144</f>
        <v>43</v>
      </c>
      <c r="H138" s="186">
        <f>'[11]Volume (KT)'!H144</f>
        <v>42</v>
      </c>
      <c r="I138" s="186">
        <f>'[11]Volume (KT)'!I144</f>
        <v>43</v>
      </c>
      <c r="J138" s="186">
        <f>'[11]Volume (KT)'!J144</f>
        <v>42</v>
      </c>
      <c r="K138" s="186">
        <f>'[11]Volume (KT)'!K144</f>
        <v>43</v>
      </c>
      <c r="L138" s="186">
        <f>'[11]Volume (KT)'!L144</f>
        <v>43</v>
      </c>
      <c r="M138" s="186">
        <f>'[11]Volume (KT)'!M144</f>
        <v>42</v>
      </c>
      <c r="N138" s="186">
        <f>'[11]Volume (KT)'!N144</f>
        <v>39.037037037037038</v>
      </c>
      <c r="O138" s="186">
        <f>'[11]Volume (KT)'!O144</f>
        <v>42</v>
      </c>
      <c r="P138" s="186">
        <f>'[11]Volume (KT)'!P144</f>
        <v>43</v>
      </c>
    </row>
    <row r="139" spans="1:16">
      <c r="A139" s="219" t="s">
        <v>292</v>
      </c>
      <c r="B139" s="219" t="s">
        <v>25</v>
      </c>
      <c r="C139" s="219" t="s">
        <v>233</v>
      </c>
      <c r="D139" s="219" t="s">
        <v>289</v>
      </c>
      <c r="E139" s="186">
        <f>'[11]Volume (KT)'!E145</f>
        <v>0</v>
      </c>
      <c r="F139" s="186">
        <f>'[11]Volume (KT)'!F145</f>
        <v>0</v>
      </c>
      <c r="G139" s="186">
        <f>'[11]Volume (KT)'!G145</f>
        <v>0</v>
      </c>
      <c r="H139" s="186">
        <f>'[11]Volume (KT)'!H145</f>
        <v>0</v>
      </c>
      <c r="I139" s="186">
        <f>'[11]Volume (KT)'!I145</f>
        <v>0</v>
      </c>
      <c r="J139" s="186">
        <f>'[11]Volume (KT)'!J145</f>
        <v>0</v>
      </c>
      <c r="K139" s="186">
        <f>'[11]Volume (KT)'!K145</f>
        <v>0</v>
      </c>
      <c r="L139" s="186">
        <f>'[11]Volume (KT)'!L145</f>
        <v>0</v>
      </c>
      <c r="M139" s="186">
        <f>'[11]Volume (KT)'!M145</f>
        <v>0</v>
      </c>
      <c r="N139" s="186">
        <f>'[11]Volume (KT)'!N145</f>
        <v>0</v>
      </c>
      <c r="O139" s="186">
        <f>'[11]Volume (KT)'!O145</f>
        <v>0</v>
      </c>
      <c r="P139" s="186">
        <f>'[11]Volume (KT)'!P145</f>
        <v>0</v>
      </c>
    </row>
    <row r="140" spans="1:16">
      <c r="A140" s="208" t="s">
        <v>292</v>
      </c>
      <c r="B140" s="208" t="s">
        <v>288</v>
      </c>
      <c r="C140" s="208" t="s">
        <v>233</v>
      </c>
      <c r="D140" s="208" t="s">
        <v>288</v>
      </c>
      <c r="E140" s="186">
        <f>'[11]Volume (KT)'!E146</f>
        <v>1.9</v>
      </c>
      <c r="F140" s="186">
        <f>'[11]Volume (KT)'!F146</f>
        <v>1.9</v>
      </c>
      <c r="G140" s="186">
        <f>'[11]Volume (KT)'!G146</f>
        <v>3.8</v>
      </c>
      <c r="H140" s="186">
        <f>'[11]Volume (KT)'!H146</f>
        <v>3.8</v>
      </c>
      <c r="I140" s="186">
        <f>'[11]Volume (KT)'!I146</f>
        <v>3.8</v>
      </c>
      <c r="J140" s="186">
        <f>'[11]Volume (KT)'!J146</f>
        <v>3.8</v>
      </c>
      <c r="K140" s="186">
        <f>'[11]Volume (KT)'!K146</f>
        <v>1.9</v>
      </c>
      <c r="L140" s="186">
        <f>'[11]Volume (KT)'!L146</f>
        <v>1.9</v>
      </c>
      <c r="M140" s="186">
        <f>'[11]Volume (KT)'!M146</f>
        <v>3.8</v>
      </c>
      <c r="N140" s="186">
        <f>'[11]Volume (KT)'!N146</f>
        <v>3.8</v>
      </c>
      <c r="O140" s="186">
        <f>'[11]Volume (KT)'!O146</f>
        <v>3.8</v>
      </c>
      <c r="P140" s="186">
        <f>'[11]Volume (KT)'!P146</f>
        <v>3.8</v>
      </c>
    </row>
    <row r="141" spans="1:16">
      <c r="A141" s="208" t="s">
        <v>292</v>
      </c>
      <c r="B141" s="208" t="s">
        <v>288</v>
      </c>
      <c r="C141" s="208" t="s">
        <v>132</v>
      </c>
      <c r="D141" s="208" t="s">
        <v>288</v>
      </c>
      <c r="E141" s="186">
        <f>'[11]Volume (KT)'!E147</f>
        <v>1.9</v>
      </c>
      <c r="F141" s="186">
        <f>'[11]Volume (KT)'!F147</f>
        <v>1.9</v>
      </c>
      <c r="G141" s="186">
        <f>'[11]Volume (KT)'!G147</f>
        <v>1.9</v>
      </c>
      <c r="H141" s="186">
        <f>'[11]Volume (KT)'!H147</f>
        <v>1.9</v>
      </c>
      <c r="I141" s="186">
        <f>'[11]Volume (KT)'!I147</f>
        <v>1.9</v>
      </c>
      <c r="J141" s="186">
        <f>'[11]Volume (KT)'!J147</f>
        <v>1.9</v>
      </c>
      <c r="K141" s="186">
        <f>'[11]Volume (KT)'!K147</f>
        <v>1.9</v>
      </c>
      <c r="L141" s="186">
        <f>'[11]Volume (KT)'!L147</f>
        <v>1.9</v>
      </c>
      <c r="M141" s="186">
        <f>'[11]Volume (KT)'!M147</f>
        <v>1.9</v>
      </c>
      <c r="N141" s="186">
        <f>'[11]Volume (KT)'!N147</f>
        <v>1.9</v>
      </c>
      <c r="O141" s="186">
        <f>'[11]Volume (KT)'!O147</f>
        <v>1.9</v>
      </c>
      <c r="P141" s="186">
        <f>'[11]Volume (KT)'!P147</f>
        <v>1.9</v>
      </c>
    </row>
  </sheetData>
  <mergeCells count="24">
    <mergeCell ref="A23:A24"/>
    <mergeCell ref="B23:B24"/>
    <mergeCell ref="C23:C24"/>
    <mergeCell ref="D23:D24"/>
    <mergeCell ref="A35:A36"/>
    <mergeCell ref="B35:B36"/>
    <mergeCell ref="C35:C36"/>
    <mergeCell ref="D35:D36"/>
    <mergeCell ref="A53:A54"/>
    <mergeCell ref="B53:B54"/>
    <mergeCell ref="C53:C54"/>
    <mergeCell ref="D53:D54"/>
    <mergeCell ref="A116:A117"/>
    <mergeCell ref="B116:B117"/>
    <mergeCell ref="C116:C117"/>
    <mergeCell ref="D116:D117"/>
    <mergeCell ref="A124:A125"/>
    <mergeCell ref="B124:B125"/>
    <mergeCell ref="C124:C125"/>
    <mergeCell ref="D124:D125"/>
    <mergeCell ref="A128:A129"/>
    <mergeCell ref="B128:B129"/>
    <mergeCell ref="C128:C129"/>
    <mergeCell ref="D128:D129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rgb="FFFFFF00"/>
  </sheetPr>
  <dimension ref="B2:Q156"/>
  <sheetViews>
    <sheetView zoomScale="85" zoomScaleNormal="85" workbookViewId="0">
      <pane xSplit="3" topLeftCell="D1" activePane="topRight" state="frozen"/>
      <selection pane="topRight" activeCell="B19" sqref="B19"/>
    </sheetView>
  </sheetViews>
  <sheetFormatPr defaultRowHeight="14.5"/>
  <cols>
    <col min="2" max="2" width="35.81640625" customWidth="1"/>
    <col min="3" max="4" width="18.81640625" customWidth="1"/>
    <col min="5" max="16" width="16.6328125" customWidth="1"/>
    <col min="17" max="17" width="9.453125" bestFit="1" customWidth="1"/>
  </cols>
  <sheetData>
    <row r="2" spans="2:17" ht="21">
      <c r="B2" s="921" t="s">
        <v>608</v>
      </c>
      <c r="C2" s="897" t="s">
        <v>1</v>
      </c>
      <c r="D2" s="942">
        <v>23346</v>
      </c>
      <c r="E2" s="920">
        <f>'Revenue (Baht)'!E2</f>
        <v>23377</v>
      </c>
      <c r="F2" s="920">
        <f>'Revenue (Baht)'!F2</f>
        <v>23408</v>
      </c>
      <c r="G2" s="920">
        <f>'Revenue (Baht)'!G2</f>
        <v>23437</v>
      </c>
      <c r="H2" s="920">
        <f>'Revenue (Baht)'!H2</f>
        <v>23468</v>
      </c>
      <c r="I2" s="920">
        <f>'Revenue (Baht)'!I2</f>
        <v>23498</v>
      </c>
      <c r="J2" s="920">
        <f>'Revenue (Baht)'!J2</f>
        <v>23529</v>
      </c>
      <c r="K2" s="920">
        <f>'Revenue (Baht)'!K2</f>
        <v>23559</v>
      </c>
      <c r="L2" s="920">
        <f>'Revenue (Baht)'!L2</f>
        <v>23590</v>
      </c>
      <c r="M2" s="920">
        <f>'Revenue (Baht)'!M2</f>
        <v>23621</v>
      </c>
      <c r="N2" s="920">
        <f>'Revenue (Baht)'!N2</f>
        <v>23651</v>
      </c>
      <c r="O2" s="920">
        <f>'Revenue (Baht)'!O2</f>
        <v>23682</v>
      </c>
      <c r="P2" s="920">
        <f>'Revenue (Baht)'!P2</f>
        <v>23712</v>
      </c>
    </row>
    <row r="3" spans="2:17">
      <c r="B3" s="28" t="str">
        <f>'Revenue (Baht)'!C7</f>
        <v>Net Revenue include oil fund Exclude CO2</v>
      </c>
      <c r="C3" s="897" t="s">
        <v>234</v>
      </c>
      <c r="D3" s="943">
        <v>6980836707.0344572</v>
      </c>
      <c r="E3" s="714">
        <f>'Revenue (Baht)'!E3</f>
        <v>8280577527.526886</v>
      </c>
      <c r="F3" s="714">
        <f>'Revenue (Baht)'!F3</f>
        <v>8348222804.2471189</v>
      </c>
      <c r="G3" s="714">
        <f>'Revenue (Baht)'!G3</f>
        <v>9628834067.8821983</v>
      </c>
      <c r="H3" s="714">
        <f>'Revenue (Baht)'!H3</f>
        <v>8397902879.7596502</v>
      </c>
      <c r="I3" s="714">
        <f>'Revenue (Baht)'!I3</f>
        <v>9878472849.9271069</v>
      </c>
      <c r="J3" s="714">
        <f>'Revenue (Baht)'!J3</f>
        <v>9802065687.2853565</v>
      </c>
      <c r="K3" s="714">
        <f>'Revenue (Baht)'!K3</f>
        <v>9765638761.4991493</v>
      </c>
      <c r="L3" s="714">
        <f>'Revenue (Baht)'!L3</f>
        <v>8901569926.0154037</v>
      </c>
      <c r="M3" s="714">
        <f>'Revenue (Baht)'!M3</f>
        <v>8953092511.4837646</v>
      </c>
      <c r="N3" s="714">
        <f>'Revenue (Baht)'!N3</f>
        <v>8161549350.0912924</v>
      </c>
      <c r="O3" s="714">
        <f>'Revenue (Baht)'!O3</f>
        <v>8474143884.8275299</v>
      </c>
      <c r="P3" s="714">
        <f>'Revenue (Baht)'!P3</f>
        <v>9368692077.1857395</v>
      </c>
    </row>
    <row r="5" spans="2:17">
      <c r="B5" s="28" t="s">
        <v>616</v>
      </c>
      <c r="C5" s="897" t="s">
        <v>613</v>
      </c>
      <c r="D5" s="943">
        <v>6980.8367070344575</v>
      </c>
      <c r="E5" s="891">
        <f>E3/10^6</f>
        <v>8280.5775275268861</v>
      </c>
      <c r="F5" s="891">
        <f t="shared" ref="F5:P5" si="0">F3/10^6</f>
        <v>8348.2228042471197</v>
      </c>
      <c r="G5" s="891">
        <f>G3/10^6</f>
        <v>9628.8340678821987</v>
      </c>
      <c r="H5" s="891">
        <f t="shared" si="0"/>
        <v>8397.9028797596511</v>
      </c>
      <c r="I5" s="891">
        <f t="shared" si="0"/>
        <v>9878.4728499271077</v>
      </c>
      <c r="J5" s="891">
        <f t="shared" si="0"/>
        <v>9802.065687285356</v>
      </c>
      <c r="K5" s="891">
        <f t="shared" si="0"/>
        <v>9765.638761499149</v>
      </c>
      <c r="L5" s="891">
        <f t="shared" si="0"/>
        <v>8901.5699260154033</v>
      </c>
      <c r="M5" s="891">
        <f t="shared" si="0"/>
        <v>8953.0925114837646</v>
      </c>
      <c r="N5" s="891">
        <f t="shared" si="0"/>
        <v>8161.5493500912926</v>
      </c>
      <c r="O5" s="891">
        <f t="shared" si="0"/>
        <v>8474.1438848275302</v>
      </c>
      <c r="P5" s="891">
        <f t="shared" si="0"/>
        <v>9368.6920771857403</v>
      </c>
    </row>
    <row r="6" spans="2:17">
      <c r="B6" s="28" t="s">
        <v>609</v>
      </c>
      <c r="C6" s="897" t="s">
        <v>613</v>
      </c>
      <c r="D6" s="897"/>
      <c r="E6" s="891">
        <f>'Bz Revenue '!E11</f>
        <v>8001.6722447686234</v>
      </c>
      <c r="F6" s="891">
        <f>'Bz Revenue '!F11</f>
        <v>7507.9860896512582</v>
      </c>
      <c r="G6" s="891">
        <f>'Bz Revenue '!G11</f>
        <v>7962.9611194855215</v>
      </c>
      <c r="H6" s="891">
        <f>'Bz Revenue '!H11</f>
        <v>7787.6460222203204</v>
      </c>
      <c r="I6" s="891">
        <f>'Bz Revenue '!I11</f>
        <v>7917.1411618623242</v>
      </c>
      <c r="J6" s="891">
        <f>'Bz Revenue '!J11</f>
        <v>7839.556527471831</v>
      </c>
      <c r="K6" s="891">
        <f>'Bz Revenue '!K11</f>
        <v>6691.7566996874111</v>
      </c>
      <c r="L6" s="891">
        <f>'Bz Revenue '!L11</f>
        <v>8014.8764016142895</v>
      </c>
      <c r="M6" s="891">
        <f>'Bz Revenue '!M11</f>
        <v>7550.2729918971345</v>
      </c>
      <c r="N6" s="891">
        <f>'Bz Revenue '!N11</f>
        <v>6642.5544396856922</v>
      </c>
      <c r="O6" s="891">
        <f>'Bz Revenue '!O11</f>
        <v>7605.4141853609754</v>
      </c>
      <c r="P6" s="891">
        <f>'Bz Revenue '!P11</f>
        <v>8023.1593333362634</v>
      </c>
    </row>
    <row r="7" spans="2:17">
      <c r="B7" s="28" t="s">
        <v>610</v>
      </c>
      <c r="C7" s="897" t="s">
        <v>613</v>
      </c>
      <c r="D7" s="897"/>
      <c r="E7" s="891">
        <f>E6</f>
        <v>8001.6722447686234</v>
      </c>
      <c r="F7" s="891">
        <f>E7+F6</f>
        <v>15509.658334419881</v>
      </c>
      <c r="G7" s="891">
        <f>F7+G6</f>
        <v>23472.619453905401</v>
      </c>
      <c r="H7" s="891">
        <f t="shared" ref="H7:P7" si="1">G7+H6</f>
        <v>31260.265476125722</v>
      </c>
      <c r="I7" s="891">
        <f t="shared" si="1"/>
        <v>39177.406637988046</v>
      </c>
      <c r="J7" s="891">
        <f t="shared" si="1"/>
        <v>47016.963165459878</v>
      </c>
      <c r="K7" s="891">
        <f t="shared" si="1"/>
        <v>53708.719865147286</v>
      </c>
      <c r="L7" s="891">
        <f t="shared" si="1"/>
        <v>61723.596266761575</v>
      </c>
      <c r="M7" s="891">
        <f t="shared" si="1"/>
        <v>69273.869258658713</v>
      </c>
      <c r="N7" s="891">
        <f t="shared" si="1"/>
        <v>75916.423698344399</v>
      </c>
      <c r="O7" s="891">
        <f t="shared" si="1"/>
        <v>83521.837883705375</v>
      </c>
      <c r="P7" s="891">
        <f t="shared" si="1"/>
        <v>91544.997217041644</v>
      </c>
    </row>
    <row r="8" spans="2:17">
      <c r="B8" s="917" t="s">
        <v>611</v>
      </c>
      <c r="C8" s="918" t="s">
        <v>613</v>
      </c>
      <c r="D8" s="918"/>
      <c r="E8" s="919">
        <f>E5</f>
        <v>8280.5775275268861</v>
      </c>
      <c r="F8" s="919">
        <f>E8+F6</f>
        <v>15788.563617178144</v>
      </c>
      <c r="G8" s="919">
        <f t="shared" ref="G8:P8" si="2">F8+G6</f>
        <v>23751.524736663665</v>
      </c>
      <c r="H8" s="919">
        <f t="shared" si="2"/>
        <v>31539.170758883985</v>
      </c>
      <c r="I8" s="919">
        <f t="shared" si="2"/>
        <v>39456.31192074631</v>
      </c>
      <c r="J8" s="919">
        <f t="shared" si="2"/>
        <v>47295.868448218142</v>
      </c>
      <c r="K8" s="919">
        <f t="shared" si="2"/>
        <v>53987.62514790555</v>
      </c>
      <c r="L8" s="919">
        <f t="shared" si="2"/>
        <v>62002.501549519839</v>
      </c>
      <c r="M8" s="919">
        <f t="shared" si="2"/>
        <v>69552.774541416977</v>
      </c>
      <c r="N8" s="919">
        <f t="shared" si="2"/>
        <v>76195.328981102663</v>
      </c>
      <c r="O8" s="919">
        <f t="shared" si="2"/>
        <v>83800.743166463639</v>
      </c>
      <c r="P8" s="919">
        <f t="shared" si="2"/>
        <v>91823.902499799908</v>
      </c>
      <c r="Q8" s="911">
        <f>(P8-P7)/P7</f>
        <v>3.0466469084816767E-3</v>
      </c>
    </row>
    <row r="9" spans="2:17">
      <c r="B9" s="28" t="s">
        <v>612</v>
      </c>
      <c r="C9" s="897" t="s">
        <v>613</v>
      </c>
      <c r="D9" s="897"/>
      <c r="E9" s="891">
        <f>E5</f>
        <v>8280.5775275268861</v>
      </c>
      <c r="F9" s="891">
        <f t="shared" ref="F9:P9" si="3">E9+F5</f>
        <v>16628.800331774008</v>
      </c>
      <c r="G9" s="891">
        <f t="shared" si="3"/>
        <v>26257.634399656206</v>
      </c>
      <c r="H9" s="891">
        <f t="shared" si="3"/>
        <v>34655.537279415861</v>
      </c>
      <c r="I9" s="891">
        <f t="shared" si="3"/>
        <v>44534.010129342969</v>
      </c>
      <c r="J9" s="891">
        <f t="shared" si="3"/>
        <v>54336.075816628327</v>
      </c>
      <c r="K9" s="891">
        <f t="shared" si="3"/>
        <v>64101.714578127474</v>
      </c>
      <c r="L9" s="891">
        <f t="shared" si="3"/>
        <v>73003.284504142881</v>
      </c>
      <c r="M9" s="891">
        <f t="shared" si="3"/>
        <v>81956.37701562664</v>
      </c>
      <c r="N9" s="891">
        <f t="shared" si="3"/>
        <v>90117.926365717925</v>
      </c>
      <c r="O9" s="891">
        <f t="shared" si="3"/>
        <v>98592.070250545454</v>
      </c>
      <c r="P9" s="891">
        <f t="shared" si="3"/>
        <v>107960.76232773119</v>
      </c>
      <c r="Q9" s="912">
        <f>(P9-P7)/P7</f>
        <v>0.1793190847094554</v>
      </c>
    </row>
    <row r="11" spans="2:17" s="913" customFormat="1">
      <c r="B11" s="1379" t="s">
        <v>140</v>
      </c>
      <c r="C11" s="914" t="s">
        <v>613</v>
      </c>
      <c r="D11" s="914"/>
      <c r="E11" s="915">
        <f>E5-D5</f>
        <v>1299.7408204924286</v>
      </c>
      <c r="F11" s="915">
        <f>F5-E5</f>
        <v>67.645276720233596</v>
      </c>
      <c r="G11" s="915">
        <f>G5-F5</f>
        <v>1280.611263635079</v>
      </c>
      <c r="H11" s="915">
        <f t="shared" ref="H11:P11" si="4">H5-G5</f>
        <v>-1230.9311881225476</v>
      </c>
      <c r="I11" s="915">
        <f t="shared" si="4"/>
        <v>1480.5699701674566</v>
      </c>
      <c r="J11" s="915">
        <f t="shared" si="4"/>
        <v>-76.407162641751711</v>
      </c>
      <c r="K11" s="915">
        <f t="shared" si="4"/>
        <v>-36.426925786206994</v>
      </c>
      <c r="L11" s="915">
        <f t="shared" si="4"/>
        <v>-864.06883548374572</v>
      </c>
      <c r="M11" s="915">
        <f t="shared" si="4"/>
        <v>51.522585468361285</v>
      </c>
      <c r="N11" s="915">
        <f t="shared" si="4"/>
        <v>-791.54316139247203</v>
      </c>
      <c r="O11" s="915">
        <f t="shared" si="4"/>
        <v>312.59453473623762</v>
      </c>
      <c r="P11" s="915">
        <f t="shared" si="4"/>
        <v>894.54819235821014</v>
      </c>
    </row>
    <row r="12" spans="2:17" s="913" customFormat="1">
      <c r="B12" s="1379"/>
      <c r="C12" s="914" t="s">
        <v>235</v>
      </c>
      <c r="D12" s="914"/>
      <c r="E12" s="916">
        <f>(E5-D5)/D5</f>
        <v>0.18618696798661746</v>
      </c>
      <c r="F12" s="916">
        <f>(F5-E5)/E5</f>
        <v>8.1691496149105952E-3</v>
      </c>
      <c r="G12" s="916">
        <f t="shared" ref="G12:P12" si="5">(G5-F5)/F5</f>
        <v>0.15339926756429811</v>
      </c>
      <c r="H12" s="916">
        <f>(H5-G5)/G5</f>
        <v>-0.12783803100610322</v>
      </c>
      <c r="I12" s="916">
        <f t="shared" si="5"/>
        <v>0.17630234492659799</v>
      </c>
      <c r="J12" s="916">
        <f t="shared" si="5"/>
        <v>-7.7347140395608331E-3</v>
      </c>
      <c r="K12" s="916">
        <f t="shared" si="5"/>
        <v>-3.7162499159190281E-3</v>
      </c>
      <c r="L12" s="916">
        <f t="shared" si="5"/>
        <v>-8.8480524068770716E-2</v>
      </c>
      <c r="M12" s="916">
        <f t="shared" si="5"/>
        <v>5.7880335599884754E-3</v>
      </c>
      <c r="N12" s="916">
        <f t="shared" si="5"/>
        <v>-8.8410028197205837E-2</v>
      </c>
      <c r="O12" s="916">
        <f t="shared" si="5"/>
        <v>3.8300881527199369E-2</v>
      </c>
      <c r="P12" s="916">
        <f t="shared" si="5"/>
        <v>0.10556207264309585</v>
      </c>
    </row>
    <row r="13" spans="2:17" s="913" customFormat="1">
      <c r="B13" s="1379" t="s">
        <v>617</v>
      </c>
      <c r="C13" s="914" t="s">
        <v>613</v>
      </c>
      <c r="D13" s="914"/>
      <c r="E13" s="915">
        <f t="shared" ref="E13:P13" si="6">E5-E6</f>
        <v>278.90528275826273</v>
      </c>
      <c r="F13" s="915">
        <f t="shared" si="6"/>
        <v>840.23671459586149</v>
      </c>
      <c r="G13" s="915">
        <f t="shared" si="6"/>
        <v>1665.8729483966772</v>
      </c>
      <c r="H13" s="915">
        <f>H5-H6</f>
        <v>610.25685753933067</v>
      </c>
      <c r="I13" s="915">
        <f t="shared" si="6"/>
        <v>1961.3316880647835</v>
      </c>
      <c r="J13" s="915">
        <f t="shared" si="6"/>
        <v>1962.509159813525</v>
      </c>
      <c r="K13" s="915">
        <f t="shared" si="6"/>
        <v>3073.8820618117379</v>
      </c>
      <c r="L13" s="915">
        <f t="shared" si="6"/>
        <v>886.69352440111379</v>
      </c>
      <c r="M13" s="915">
        <f t="shared" si="6"/>
        <v>1402.8195195866301</v>
      </c>
      <c r="N13" s="915">
        <f t="shared" si="6"/>
        <v>1518.9949104056004</v>
      </c>
      <c r="O13" s="915">
        <f t="shared" si="6"/>
        <v>868.72969946655485</v>
      </c>
      <c r="P13" s="915">
        <f t="shared" si="6"/>
        <v>1345.5327438494769</v>
      </c>
    </row>
    <row r="14" spans="2:17" s="913" customFormat="1">
      <c r="B14" s="1379"/>
      <c r="C14" s="914" t="s">
        <v>235</v>
      </c>
      <c r="D14" s="914"/>
      <c r="E14" s="916">
        <f t="shared" ref="E14" si="7">(E5-E6)/E6</f>
        <v>3.4855874400580071E-2</v>
      </c>
      <c r="F14" s="916">
        <f t="shared" ref="F14:P14" si="8">(F5-F6)/F6</f>
        <v>0.11191239628880159</v>
      </c>
      <c r="G14" s="916">
        <f t="shared" si="8"/>
        <v>0.20920269776531417</v>
      </c>
      <c r="H14" s="916">
        <f t="shared" si="8"/>
        <v>7.8362172060478616E-2</v>
      </c>
      <c r="I14" s="916">
        <f t="shared" si="8"/>
        <v>0.24773231245550076</v>
      </c>
      <c r="J14" s="916">
        <f t="shared" si="8"/>
        <v>0.25033420614245028</v>
      </c>
      <c r="K14" s="916">
        <f t="shared" si="8"/>
        <v>0.45935352998642742</v>
      </c>
      <c r="L14" s="916">
        <f t="shared" si="8"/>
        <v>0.11063096671366303</v>
      </c>
      <c r="M14" s="916">
        <f t="shared" si="8"/>
        <v>0.18579719184884042</v>
      </c>
      <c r="N14" s="916">
        <f t="shared" si="8"/>
        <v>0.22867632086391679</v>
      </c>
      <c r="O14" s="916">
        <f t="shared" si="8"/>
        <v>0.11422516621628574</v>
      </c>
      <c r="P14" s="916">
        <f t="shared" si="8"/>
        <v>0.16770609780349024</v>
      </c>
    </row>
    <row r="15" spans="2:17" s="913" customFormat="1">
      <c r="B15" s="998" t="s">
        <v>644</v>
      </c>
    </row>
    <row r="16" spans="2:17" s="913" customFormat="1">
      <c r="B16" s="913" t="s">
        <v>152</v>
      </c>
      <c r="C16" s="997" t="s">
        <v>613</v>
      </c>
      <c r="H16" s="996">
        <f>('Revenue (Baht)'!G38+'Revenue (Baht)'!H41)/10^6</f>
        <v>856.83267794659992</v>
      </c>
      <c r="I16" s="996">
        <f>('Revenue (Baht)'!H38+'Revenue (Baht)'!I41)/10^6</f>
        <v>700.19158327299999</v>
      </c>
      <c r="J16" s="996">
        <f>('Revenue (Baht)'!I38+'Revenue (Baht)'!J41)/10^6</f>
        <v>990.75677988459995</v>
      </c>
      <c r="K16" s="996">
        <f>('Revenue (Baht)'!J38+'Revenue (Baht)'!K41)/10^6</f>
        <v>851.65253997289994</v>
      </c>
      <c r="L16" s="996">
        <f>('Revenue (Baht)'!K38+'Revenue (Baht)'!L41)/10^6</f>
        <v>1097.9495555999999</v>
      </c>
      <c r="M16" s="996">
        <f>('Revenue (Baht)'!L38+'Revenue (Baht)'!M41)/10^6</f>
        <v>896.94443009999986</v>
      </c>
      <c r="N16" s="996">
        <f>('Revenue (Baht)'!M38+'Revenue (Baht)'!N41)/10^6</f>
        <v>406.48411699200005</v>
      </c>
      <c r="O16" s="996">
        <f>('Revenue (Baht)'!N38+'Revenue (Baht)'!O41)/10^6</f>
        <v>1039.7388427200001</v>
      </c>
      <c r="P16" s="996">
        <f>('Revenue (Baht)'!O38+'Revenue (Baht)'!P41)/10^6</f>
        <v>1066.5364773600002</v>
      </c>
      <c r="Q16" s="999">
        <f>SUM(H16:P16)</f>
        <v>7907.0870038491003</v>
      </c>
    </row>
    <row r="17" spans="2:17" s="913" customFormat="1">
      <c r="B17" s="913" t="s">
        <v>71</v>
      </c>
      <c r="C17" s="997" t="s">
        <v>613</v>
      </c>
      <c r="H17" s="996">
        <f>('Revenue (Baht)'!H135+'Revenue (Baht)'!H136)/10^6</f>
        <v>336.13581312639997</v>
      </c>
      <c r="I17" s="996">
        <f>('Revenue (Baht)'!I135+'Revenue (Baht)'!I136)/10^6</f>
        <v>489.02003823399997</v>
      </c>
      <c r="J17" s="996">
        <f>('Revenue (Baht)'!J135+'Revenue (Baht)'!J136)/10^6</f>
        <v>441.92219755000002</v>
      </c>
      <c r="K17" s="996">
        <f>('Revenue (Baht)'!K135+'Revenue (Baht)'!K136)/10^6</f>
        <v>738.23907599999995</v>
      </c>
      <c r="L17" s="996">
        <f>('Revenue (Baht)'!L135+'Revenue (Baht)'!L136)/10^6</f>
        <v>935.96589120000021</v>
      </c>
      <c r="M17" s="996">
        <f>('Revenue (Baht)'!M135+'Revenue (Baht)'!M136)/10^6</f>
        <v>847.75530000000003</v>
      </c>
      <c r="N17" s="996">
        <f>('Revenue (Baht)'!N135+'Revenue (Baht)'!N136)/10^6</f>
        <v>771.95999040000015</v>
      </c>
      <c r="O17" s="996">
        <f>('Revenue (Baht)'!O135+'Revenue (Baht)'!O136)/10^6</f>
        <v>861.99090600000011</v>
      </c>
      <c r="P17" s="996">
        <f>('Revenue (Baht)'!P135+'Revenue (Baht)'!P136)/10^6</f>
        <v>888.0887232</v>
      </c>
      <c r="Q17" s="999">
        <f>SUM(H17:P17)</f>
        <v>6311.0779357104002</v>
      </c>
    </row>
    <row r="18" spans="2:17" s="913" customFormat="1"/>
    <row r="19" spans="2:17" s="913" customFormat="1"/>
    <row r="20" spans="2:17" s="913" customFormat="1"/>
    <row r="21" spans="2:17" s="913" customFormat="1"/>
    <row r="22" spans="2:17" s="913" customFormat="1"/>
    <row r="23" spans="2:17" s="913" customFormat="1"/>
    <row r="24" spans="2:17" s="913" customFormat="1"/>
    <row r="25" spans="2:17" s="913" customFormat="1"/>
    <row r="26" spans="2:17" s="913" customFormat="1"/>
    <row r="27" spans="2:17" s="913" customFormat="1"/>
    <row r="28" spans="2:17" s="913" customFormat="1"/>
    <row r="29" spans="2:17" s="913" customFormat="1"/>
    <row r="30" spans="2:17" s="913" customFormat="1"/>
    <row r="31" spans="2:17" s="913" customFormat="1"/>
    <row r="32" spans="2:17" s="913" customFormat="1"/>
    <row r="33" s="913" customFormat="1"/>
    <row r="34" s="913" customFormat="1"/>
    <row r="35" s="913" customFormat="1"/>
    <row r="36" s="913" customFormat="1"/>
    <row r="37" s="913" customFormat="1"/>
    <row r="38" s="913" customFormat="1"/>
    <row r="39" s="913" customFormat="1"/>
    <row r="40" s="913" customFormat="1"/>
    <row r="41" s="913" customFormat="1"/>
    <row r="42" s="913" customFormat="1"/>
    <row r="43" s="913" customFormat="1"/>
    <row r="44" s="913" customFormat="1"/>
    <row r="48" s="913" customFormat="1"/>
    <row r="49" s="913" customFormat="1"/>
    <row r="50" s="913" customFormat="1"/>
    <row r="51" s="913" customFormat="1"/>
    <row r="52" s="913" customFormat="1"/>
    <row r="53" s="913" customFormat="1"/>
    <row r="54" s="913" customFormat="1"/>
    <row r="55" s="913" customFormat="1"/>
    <row r="56" s="913" customFormat="1"/>
    <row r="57" s="913" customFormat="1"/>
    <row r="58" s="913" customFormat="1"/>
    <row r="59" s="913" customFormat="1"/>
    <row r="60" s="913" customFormat="1"/>
    <row r="61" s="913" customFormat="1"/>
    <row r="62" s="913" customFormat="1"/>
    <row r="63" s="913" customFormat="1"/>
    <row r="64" s="913" customFormat="1"/>
    <row r="65" spans="2:16" s="913" customFormat="1"/>
    <row r="66" spans="2:16" s="913" customFormat="1"/>
    <row r="67" spans="2:16" s="913" customFormat="1"/>
    <row r="68" spans="2:16" s="913" customFormat="1"/>
    <row r="69" spans="2:16" s="913" customFormat="1"/>
    <row r="70" spans="2:16" s="913" customFormat="1"/>
    <row r="71" spans="2:16" s="913" customFormat="1"/>
    <row r="72" spans="2:16" s="913" customFormat="1"/>
    <row r="73" spans="2:16" s="913" customFormat="1"/>
    <row r="74" spans="2:16" s="913" customFormat="1"/>
    <row r="75" spans="2:16" s="913" customFormat="1"/>
    <row r="80" spans="2:16" ht="21">
      <c r="B80" s="921" t="s">
        <v>618</v>
      </c>
      <c r="C80" s="897" t="s">
        <v>1</v>
      </c>
      <c r="D80" s="942">
        <v>23346</v>
      </c>
      <c r="E80" s="920">
        <v>23377</v>
      </c>
      <c r="F80" s="920">
        <v>23408</v>
      </c>
      <c r="G80" s="920">
        <v>23437</v>
      </c>
      <c r="H80" s="920">
        <v>23468</v>
      </c>
      <c r="I80" s="920">
        <v>23498</v>
      </c>
      <c r="J80" s="920">
        <v>23529</v>
      </c>
      <c r="K80" s="920">
        <v>23559</v>
      </c>
      <c r="L80" s="920">
        <v>23590</v>
      </c>
      <c r="M80" s="920">
        <v>23621</v>
      </c>
      <c r="N80" s="920">
        <v>23651</v>
      </c>
      <c r="O80" s="920">
        <v>23682</v>
      </c>
      <c r="P80" s="920">
        <v>23712</v>
      </c>
    </row>
    <row r="81" spans="2:17">
      <c r="B81" s="28" t="s">
        <v>619</v>
      </c>
      <c r="C81" s="897" t="s">
        <v>234</v>
      </c>
      <c r="D81" s="714">
        <v>713046903.86195719</v>
      </c>
      <c r="E81" s="714">
        <f>'Margin (Baht)'!E3</f>
        <v>1467.0966900568865</v>
      </c>
      <c r="F81" s="714">
        <f>'Margin (Baht)'!F3</f>
        <v>1665.3346210171212</v>
      </c>
      <c r="G81" s="714">
        <f>'Margin (Baht)'!G3</f>
        <v>1596.7627432821973</v>
      </c>
      <c r="H81" s="714">
        <f>'Margin (Baht)'!H3</f>
        <v>1559.0284878096518</v>
      </c>
      <c r="I81" s="714">
        <f>'Margin (Baht)'!I3</f>
        <v>2326.2370470071037</v>
      </c>
      <c r="J81" s="714">
        <f>'Margin (Baht)'!J3</f>
        <v>1901.6013247963901</v>
      </c>
      <c r="K81" s="714">
        <f>'Margin (Baht)'!K3</f>
        <v>1057.0451043548846</v>
      </c>
      <c r="L81" s="714">
        <f>'Margin (Baht)'!L3</f>
        <v>1708.989688677003</v>
      </c>
      <c r="M81" s="714">
        <f>'Margin (Baht)'!M3</f>
        <v>1614.0151891159239</v>
      </c>
      <c r="N81" s="714">
        <f>'Margin (Baht)'!N3</f>
        <v>1202.3661404409841</v>
      </c>
      <c r="O81" s="714">
        <f>'Margin (Baht)'!O3</f>
        <v>1487.4066585575574</v>
      </c>
      <c r="P81" s="714">
        <f>'Margin (Baht)'!P3</f>
        <v>1460.4818791670714</v>
      </c>
    </row>
    <row r="83" spans="2:17">
      <c r="B83" s="28" t="s">
        <v>616</v>
      </c>
      <c r="C83" s="897" t="s">
        <v>613</v>
      </c>
      <c r="D83" s="891">
        <v>713.04690386195716</v>
      </c>
      <c r="E83" s="1037">
        <f>'COST (Baht)'!E168</f>
        <v>1467.0966900568865</v>
      </c>
      <c r="F83" s="1037">
        <f>'COST (Baht)'!F168</f>
        <v>1665.3346210171212</v>
      </c>
      <c r="G83" s="1037">
        <f>'COST (Baht)'!G168</f>
        <v>1596.7627432821973</v>
      </c>
      <c r="H83" s="1037">
        <f>'COST (Baht)'!H168</f>
        <v>1559.0284878096518</v>
      </c>
      <c r="I83" s="1037">
        <f>'COST (Baht)'!I168</f>
        <v>2326.2370470071037</v>
      </c>
      <c r="J83" s="1037">
        <f>'COST (Baht)'!J168</f>
        <v>1901.6013247963901</v>
      </c>
      <c r="K83" s="891">
        <f>'COST (Baht)'!K168</f>
        <v>1057.0451043548846</v>
      </c>
      <c r="L83" s="891">
        <f>'COST (Baht)'!L168</f>
        <v>1708.989688677003</v>
      </c>
      <c r="M83" s="891">
        <f>'COST (Baht)'!M168</f>
        <v>1614.0151891159239</v>
      </c>
      <c r="N83" s="891">
        <f>'COST (Baht)'!N168</f>
        <v>1202.3661404409841</v>
      </c>
      <c r="O83" s="891">
        <f>'COST (Baht)'!O168</f>
        <v>1487.4066585575574</v>
      </c>
      <c r="P83" s="891">
        <f>'COST (Baht)'!P168</f>
        <v>1460.4818791670714</v>
      </c>
    </row>
    <row r="84" spans="2:17">
      <c r="B84" s="28" t="s">
        <v>609</v>
      </c>
      <c r="C84" s="897" t="s">
        <v>613</v>
      </c>
      <c r="D84" s="897"/>
      <c r="E84" s="891">
        <f>'Bz Revenue '!E12</f>
        <v>71.220467852867941</v>
      </c>
      <c r="F84" s="891">
        <f>'Bz Revenue '!F12</f>
        <v>-104.27180634803227</v>
      </c>
      <c r="G84" s="891">
        <f>'Bz Revenue '!G12</f>
        <v>175.52194855911677</v>
      </c>
      <c r="H84" s="891">
        <f>'Bz Revenue '!H12</f>
        <v>146.75780345194465</v>
      </c>
      <c r="I84" s="891">
        <f>'Bz Revenue '!I12</f>
        <v>184.70413338098581</v>
      </c>
      <c r="J84" s="891">
        <f>'Bz Revenue '!J12</f>
        <v>195.02864319719049</v>
      </c>
      <c r="K84" s="891">
        <f>'Bz Revenue '!K12</f>
        <v>58.648291282149543</v>
      </c>
      <c r="L84" s="891">
        <f>'Bz Revenue '!L12</f>
        <v>263.7966933115984</v>
      </c>
      <c r="M84" s="891">
        <f>'Bz Revenue '!M12</f>
        <v>84.549567998241258</v>
      </c>
      <c r="N84" s="891">
        <f>'Bz Revenue '!N12</f>
        <v>124.30778921791665</v>
      </c>
      <c r="O84" s="891">
        <f>'Bz Revenue '!O12</f>
        <v>342.66740713810742</v>
      </c>
      <c r="P84" s="891">
        <f>'Bz Revenue '!P12</f>
        <v>336.55865509840021</v>
      </c>
    </row>
    <row r="85" spans="2:17">
      <c r="B85" s="28" t="s">
        <v>610</v>
      </c>
      <c r="C85" s="897" t="s">
        <v>613</v>
      </c>
      <c r="D85" s="897"/>
      <c r="E85" s="891">
        <f>E84</f>
        <v>71.220467852867941</v>
      </c>
      <c r="F85" s="891">
        <f>E85+F84</f>
        <v>-33.05133849516433</v>
      </c>
      <c r="G85" s="891">
        <f>F85+G84</f>
        <v>142.47061006395245</v>
      </c>
      <c r="H85" s="891">
        <f t="shared" ref="H85" si="9">G85+H84</f>
        <v>289.2284135158971</v>
      </c>
      <c r="I85" s="891">
        <f t="shared" ref="I85" si="10">H85+I84</f>
        <v>473.93254689688291</v>
      </c>
      <c r="J85" s="891">
        <f t="shared" ref="J85" si="11">I85+J84</f>
        <v>668.96119009407334</v>
      </c>
      <c r="K85" s="891">
        <f t="shared" ref="K85" si="12">J85+K84</f>
        <v>727.6094813762229</v>
      </c>
      <c r="L85" s="891">
        <f t="shared" ref="L85" si="13">K85+L84</f>
        <v>991.40617468782125</v>
      </c>
      <c r="M85" s="891">
        <f t="shared" ref="M85" si="14">L85+M84</f>
        <v>1075.9557426860624</v>
      </c>
      <c r="N85" s="891">
        <f t="shared" ref="N85" si="15">M85+N84</f>
        <v>1200.2635319039791</v>
      </c>
      <c r="O85" s="891">
        <f t="shared" ref="O85" si="16">N85+O84</f>
        <v>1542.9309390420865</v>
      </c>
      <c r="P85" s="891">
        <f t="shared" ref="P85" si="17">O85+P84</f>
        <v>1879.4895941404866</v>
      </c>
    </row>
    <row r="86" spans="2:17">
      <c r="B86" s="917" t="s">
        <v>611</v>
      </c>
      <c r="C86" s="918" t="s">
        <v>613</v>
      </c>
      <c r="D86" s="918"/>
      <c r="E86" s="919">
        <f>E83</f>
        <v>1467.0966900568865</v>
      </c>
      <c r="F86" s="919">
        <f>E86+F84</f>
        <v>1362.8248837088543</v>
      </c>
      <c r="G86" s="919">
        <f t="shared" ref="G86:P86" si="18">F86+G84</f>
        <v>1538.346832267971</v>
      </c>
      <c r="H86" s="919">
        <f t="shared" si="18"/>
        <v>1685.1046357199157</v>
      </c>
      <c r="I86" s="919">
        <f t="shared" si="18"/>
        <v>1869.8087691009014</v>
      </c>
      <c r="J86" s="919">
        <f t="shared" si="18"/>
        <v>2064.8374122980917</v>
      </c>
      <c r="K86" s="919">
        <f t="shared" si="18"/>
        <v>2123.4857035802411</v>
      </c>
      <c r="L86" s="919">
        <f t="shared" si="18"/>
        <v>2387.2823968918397</v>
      </c>
      <c r="M86" s="919">
        <f t="shared" si="18"/>
        <v>2471.8319648900811</v>
      </c>
      <c r="N86" s="919">
        <f t="shared" si="18"/>
        <v>2596.1397541079978</v>
      </c>
      <c r="O86" s="919">
        <f t="shared" si="18"/>
        <v>2938.8071612461054</v>
      </c>
      <c r="P86" s="919">
        <f t="shared" si="18"/>
        <v>3275.3658163445057</v>
      </c>
      <c r="Q86" s="911">
        <f>(P86-P85)/P85</f>
        <v>0.74268898670991057</v>
      </c>
    </row>
    <row r="87" spans="2:17">
      <c r="B87" s="28" t="s">
        <v>612</v>
      </c>
      <c r="C87" s="897" t="s">
        <v>613</v>
      </c>
      <c r="D87" s="897"/>
      <c r="E87" s="891">
        <f>E83</f>
        <v>1467.0966900568865</v>
      </c>
      <c r="F87" s="891">
        <f t="shared" ref="F87:O87" si="19">E87+F83</f>
        <v>3132.4313110740077</v>
      </c>
      <c r="G87" s="891">
        <f t="shared" si="19"/>
        <v>4729.194054356205</v>
      </c>
      <c r="H87" s="891">
        <f t="shared" si="19"/>
        <v>6288.2225421658568</v>
      </c>
      <c r="I87" s="891">
        <f t="shared" si="19"/>
        <v>8614.4595891729605</v>
      </c>
      <c r="J87" s="891">
        <f t="shared" si="19"/>
        <v>10516.060913969352</v>
      </c>
      <c r="K87" s="891">
        <f t="shared" si="19"/>
        <v>11573.106018324237</v>
      </c>
      <c r="L87" s="891">
        <f t="shared" si="19"/>
        <v>13282.095707001241</v>
      </c>
      <c r="M87" s="891">
        <f t="shared" si="19"/>
        <v>14896.110896117165</v>
      </c>
      <c r="N87" s="891">
        <f t="shared" si="19"/>
        <v>16098.47703655815</v>
      </c>
      <c r="O87" s="891">
        <f t="shared" si="19"/>
        <v>17585.883695115706</v>
      </c>
      <c r="P87" s="891">
        <f>O87+P83</f>
        <v>19046.365574282776</v>
      </c>
      <c r="Q87" s="912">
        <f>(P87-P85)/P85</f>
        <v>9.1337967678362748</v>
      </c>
    </row>
    <row r="89" spans="2:17">
      <c r="B89" s="1379" t="s">
        <v>140</v>
      </c>
      <c r="C89" s="914" t="s">
        <v>613</v>
      </c>
      <c r="D89" s="914"/>
      <c r="E89" s="915">
        <f>E83-D83</f>
        <v>754.04978619492931</v>
      </c>
      <c r="F89" s="915">
        <f>F83-E83</f>
        <v>198.23793096023473</v>
      </c>
      <c r="G89" s="915">
        <f t="shared" ref="G89:P89" si="20">G83-F83</f>
        <v>-68.571877734923874</v>
      </c>
      <c r="H89" s="915">
        <f t="shared" si="20"/>
        <v>-37.734255472545556</v>
      </c>
      <c r="I89" s="915">
        <f t="shared" si="20"/>
        <v>767.2085591974519</v>
      </c>
      <c r="J89" s="915">
        <f t="shared" si="20"/>
        <v>-424.63572221071354</v>
      </c>
      <c r="K89" s="915">
        <f t="shared" si="20"/>
        <v>-844.5562204415055</v>
      </c>
      <c r="L89" s="915">
        <f t="shared" si="20"/>
        <v>651.94458432211832</v>
      </c>
      <c r="M89" s="915">
        <f t="shared" si="20"/>
        <v>-94.974499561079028</v>
      </c>
      <c r="N89" s="915">
        <f t="shared" si="20"/>
        <v>-411.64904867493988</v>
      </c>
      <c r="O89" s="915">
        <f t="shared" si="20"/>
        <v>285.04051811657337</v>
      </c>
      <c r="P89" s="915">
        <f t="shared" si="20"/>
        <v>-26.924779390486037</v>
      </c>
      <c r="Q89" s="913"/>
    </row>
    <row r="90" spans="2:17">
      <c r="B90" s="1379"/>
      <c r="C90" s="914" t="s">
        <v>235</v>
      </c>
      <c r="D90" s="914"/>
      <c r="E90" s="916">
        <f>(E83-D83)/D83</f>
        <v>1.0575037660368414</v>
      </c>
      <c r="F90" s="916">
        <f>(F83-E83)/E83</f>
        <v>0.13512260800789352</v>
      </c>
      <c r="G90" s="916">
        <f t="shared" ref="G90:P90" si="21">(G83-F83)/F83</f>
        <v>-4.1176035656451344E-2</v>
      </c>
      <c r="H90" s="916">
        <f t="shared" si="21"/>
        <v>-2.3631723392406798E-2</v>
      </c>
      <c r="I90" s="916">
        <f t="shared" si="21"/>
        <v>0.49210682498517855</v>
      </c>
      <c r="J90" s="916">
        <f t="shared" si="21"/>
        <v>-0.18254189647484229</v>
      </c>
      <c r="K90" s="916">
        <f t="shared" si="21"/>
        <v>-0.44412896090716308</v>
      </c>
      <c r="L90" s="916">
        <f t="shared" si="21"/>
        <v>0.61676136773747281</v>
      </c>
      <c r="M90" s="916">
        <f t="shared" si="21"/>
        <v>-5.5573477236485008E-2</v>
      </c>
      <c r="N90" s="916">
        <f t="shared" si="21"/>
        <v>-0.25504657666847635</v>
      </c>
      <c r="O90" s="916">
        <f t="shared" si="21"/>
        <v>0.23706632158822344</v>
      </c>
      <c r="P90" s="916">
        <f t="shared" si="21"/>
        <v>-1.8101827926867615E-2</v>
      </c>
      <c r="Q90" s="913"/>
    </row>
    <row r="91" spans="2:17">
      <c r="B91" s="1379" t="s">
        <v>617</v>
      </c>
      <c r="C91" s="914" t="s">
        <v>613</v>
      </c>
      <c r="D91" s="914"/>
      <c r="E91" s="915">
        <f t="shared" ref="E91:P91" si="22">E83-E84</f>
        <v>1395.8762222040186</v>
      </c>
      <c r="F91" s="915">
        <f t="shared" si="22"/>
        <v>1769.6064273651534</v>
      </c>
      <c r="G91" s="915">
        <f t="shared" si="22"/>
        <v>1421.2407947230806</v>
      </c>
      <c r="H91" s="915">
        <f t="shared" si="22"/>
        <v>1412.2706843577071</v>
      </c>
      <c r="I91" s="915">
        <f t="shared" si="22"/>
        <v>2141.532913626118</v>
      </c>
      <c r="J91" s="915">
        <f t="shared" si="22"/>
        <v>1706.5726815991998</v>
      </c>
      <c r="K91" s="915">
        <f t="shared" si="22"/>
        <v>998.39681307273509</v>
      </c>
      <c r="L91" s="915">
        <f t="shared" si="22"/>
        <v>1445.1929953654046</v>
      </c>
      <c r="M91" s="915">
        <f t="shared" si="22"/>
        <v>1529.4656211176828</v>
      </c>
      <c r="N91" s="915">
        <f t="shared" si="22"/>
        <v>1078.0583512230673</v>
      </c>
      <c r="O91" s="915">
        <f t="shared" si="22"/>
        <v>1144.7392514194501</v>
      </c>
      <c r="P91" s="915">
        <f t="shared" si="22"/>
        <v>1123.9232240686711</v>
      </c>
      <c r="Q91" s="913"/>
    </row>
    <row r="92" spans="2:17">
      <c r="B92" s="1379"/>
      <c r="C92" s="914" t="s">
        <v>235</v>
      </c>
      <c r="D92" s="914"/>
      <c r="E92" s="916">
        <f>(E83-E84)/E84</f>
        <v>19.599368893331537</v>
      </c>
      <c r="F92" s="916">
        <f>(F83-F84)/F84</f>
        <v>-16.971092084649094</v>
      </c>
      <c r="G92" s="916">
        <f t="shared" ref="G92:P92" si="23">(G83-G84)/G84</f>
        <v>8.0972254831389296</v>
      </c>
      <c r="H92" s="916">
        <f t="shared" si="23"/>
        <v>9.6231386075504357</v>
      </c>
      <c r="I92" s="916">
        <f t="shared" si="23"/>
        <v>11.594396261879085</v>
      </c>
      <c r="J92" s="916">
        <f t="shared" si="23"/>
        <v>8.7503694514949277</v>
      </c>
      <c r="K92" s="916">
        <f t="shared" si="23"/>
        <v>17.023459528762292</v>
      </c>
      <c r="L92" s="916">
        <f t="shared" si="23"/>
        <v>5.4784348401908627</v>
      </c>
      <c r="M92" s="916">
        <f t="shared" si="23"/>
        <v>18.089573457660926</v>
      </c>
      <c r="N92" s="916">
        <f t="shared" si="23"/>
        <v>8.6724923514904351</v>
      </c>
      <c r="O92" s="916">
        <f t="shared" si="23"/>
        <v>3.3406715303917962</v>
      </c>
      <c r="P92" s="916">
        <f t="shared" si="23"/>
        <v>3.3394572002317626</v>
      </c>
      <c r="Q92" s="913"/>
    </row>
    <row r="93" spans="2:17">
      <c r="B93" s="998" t="s">
        <v>644</v>
      </c>
      <c r="C93" s="913"/>
    </row>
    <row r="94" spans="2:17">
      <c r="B94" s="913" t="s">
        <v>152</v>
      </c>
      <c r="C94" s="997" t="s">
        <v>613</v>
      </c>
      <c r="H94" s="969">
        <f>('Margin (Baht)'!H38+'Margin (Baht)'!H41)/10^6</f>
        <v>295.02401219461672</v>
      </c>
      <c r="I94" s="969">
        <f>('Margin (Baht)'!I38+'Margin (Baht)'!I41)/10^6</f>
        <v>333.50952347515226</v>
      </c>
      <c r="J94" s="969">
        <f>('Margin (Baht)'!J38+'Margin (Baht)'!J41)/10^6</f>
        <v>356.81101888474683</v>
      </c>
      <c r="K94" s="969">
        <f>('Margin (Baht)'!K38+'Margin (Baht)'!K41)/10^6</f>
        <v>433.23603991477751</v>
      </c>
      <c r="L94" s="969">
        <f>('Margin (Baht)'!L38+'Margin (Baht)'!L41)/10^6</f>
        <v>483.33769367530101</v>
      </c>
      <c r="M94" s="969">
        <f>('Margin (Baht)'!M38+'Margin (Baht)'!M41)/10^6</f>
        <v>379.48100771891342</v>
      </c>
      <c r="N94" s="969">
        <f>('Margin (Baht)'!N38+'Margin (Baht)'!N41)/10^6</f>
        <v>164.77689698972065</v>
      </c>
      <c r="O94" s="969">
        <f>('Margin (Baht)'!O38+'Margin (Baht)'!O41)/10^6</f>
        <v>420.53951659689898</v>
      </c>
      <c r="P94" s="969">
        <f>('Margin (Baht)'!P38+'Margin (Baht)'!P41)/10^6</f>
        <v>455.66136157277344</v>
      </c>
      <c r="Q94" s="1000">
        <f>SUM(H94:P94)</f>
        <v>3322.377071022901</v>
      </c>
    </row>
    <row r="95" spans="2:17">
      <c r="B95" s="913" t="s">
        <v>71</v>
      </c>
      <c r="C95" s="997" t="s">
        <v>613</v>
      </c>
      <c r="H95" s="969">
        <f>('Margin (Baht)'!H135+'Margin (Baht)'!H136)/10^6</f>
        <v>175.50820808747832</v>
      </c>
      <c r="I95" s="969">
        <f>('Margin (Baht)'!I135+'Margin (Baht)'!I136)/10^6</f>
        <v>258.26848243152074</v>
      </c>
      <c r="J95" s="969">
        <f>('Margin (Baht)'!J135+'Margin (Baht)'!J136)/10^6</f>
        <v>147.90338928378583</v>
      </c>
      <c r="K95" s="969">
        <f>('Margin (Baht)'!K135+'Margin (Baht)'!K136)/10^6</f>
        <v>321.84461504690108</v>
      </c>
      <c r="L95" s="969">
        <f>('Margin (Baht)'!L135+'Margin (Baht)'!L136)/10^6</f>
        <v>395.03433744597663</v>
      </c>
      <c r="M95" s="969">
        <f>('Margin (Baht)'!M135+'Margin (Baht)'!M136)/10^6</f>
        <v>350.43256739384805</v>
      </c>
      <c r="N95" s="969">
        <f>('Margin (Baht)'!N135+'Margin (Baht)'!N136)/10^6</f>
        <v>300.71838198059299</v>
      </c>
      <c r="O95" s="969">
        <f>('Margin (Baht)'!O135+'Margin (Baht)'!O136)/10^6</f>
        <v>326.9756791030577</v>
      </c>
      <c r="P95" s="969">
        <f>('Margin (Baht)'!P135+'Margin (Baht)'!P136)/10^6</f>
        <v>336.6625079533577</v>
      </c>
      <c r="Q95" s="1000">
        <f>SUM(H95:P95)</f>
        <v>2613.3481687265194</v>
      </c>
    </row>
    <row r="99" s="913" customFormat="1"/>
    <row r="100" s="913" customFormat="1"/>
    <row r="101" s="913" customFormat="1"/>
    <row r="102" s="913" customFormat="1"/>
    <row r="103" s="913" customFormat="1"/>
    <row r="104" s="913" customFormat="1"/>
    <row r="105" s="913" customFormat="1"/>
    <row r="106" s="913" customFormat="1"/>
    <row r="107" s="913" customFormat="1"/>
    <row r="108" s="913" customFormat="1"/>
    <row r="109" s="913" customFormat="1"/>
    <row r="110" s="913" customFormat="1"/>
    <row r="111" s="913" customFormat="1"/>
    <row r="112" s="913" customFormat="1"/>
    <row r="113" s="913" customFormat="1"/>
    <row r="114" s="913" customFormat="1"/>
    <row r="115" s="913" customFormat="1"/>
    <row r="116" s="913" customFormat="1"/>
    <row r="117" s="913" customFormat="1"/>
    <row r="118" s="913" customFormat="1"/>
    <row r="119" s="913" customFormat="1"/>
    <row r="120" s="913" customFormat="1"/>
    <row r="121" s="913" customFormat="1"/>
    <row r="122" s="913" customFormat="1"/>
    <row r="123" s="913" customFormat="1"/>
    <row r="124" s="913" customFormat="1"/>
    <row r="125" s="913" customFormat="1"/>
    <row r="130" s="913" customFormat="1"/>
    <row r="131" s="913" customFormat="1"/>
    <row r="132" s="913" customFormat="1"/>
    <row r="133" s="913" customFormat="1"/>
    <row r="134" s="913" customFormat="1"/>
    <row r="135" s="913" customFormat="1"/>
    <row r="136" s="913" customFormat="1"/>
    <row r="137" s="913" customFormat="1"/>
    <row r="138" s="913" customFormat="1"/>
    <row r="139" s="913" customFormat="1"/>
    <row r="140" s="913" customFormat="1"/>
    <row r="141" s="913" customFormat="1"/>
    <row r="142" s="913" customFormat="1"/>
    <row r="143" s="913" customFormat="1"/>
    <row r="144" s="913" customFormat="1"/>
    <row r="145" s="913" customFormat="1"/>
    <row r="146" s="913" customFormat="1"/>
    <row r="147" s="913" customFormat="1"/>
    <row r="148" s="913" customFormat="1"/>
    <row r="149" s="913" customFormat="1"/>
    <row r="150" s="913" customFormat="1"/>
    <row r="151" s="913" customFormat="1"/>
    <row r="152" s="913" customFormat="1"/>
    <row r="153" s="913" customFormat="1"/>
    <row r="154" s="913" customFormat="1"/>
    <row r="155" s="913" customFormat="1"/>
    <row r="156" s="913" customFormat="1"/>
  </sheetData>
  <mergeCells count="4">
    <mergeCell ref="B11:B12"/>
    <mergeCell ref="B13:B14"/>
    <mergeCell ref="B89:B90"/>
    <mergeCell ref="B91:B92"/>
  </mergeCells>
  <conditionalFormatting sqref="E11:P14">
    <cfRule type="cellIs" dxfId="1" priority="3" operator="lessThan">
      <formula>0</formula>
    </cfRule>
  </conditionalFormatting>
  <conditionalFormatting sqref="E89:P92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1">
    <tabColor theme="4"/>
  </sheetPr>
  <dimension ref="B1:AF162"/>
  <sheetViews>
    <sheetView topLeftCell="A130" zoomScale="80" zoomScaleNormal="80" workbookViewId="0">
      <selection activeCell="D170" sqref="D170"/>
    </sheetView>
  </sheetViews>
  <sheetFormatPr defaultRowHeight="14.5"/>
  <cols>
    <col min="1" max="1" width="35.36328125" customWidth="1"/>
    <col min="2" max="2" width="20.1796875" customWidth="1"/>
    <col min="3" max="3" width="46.81640625" customWidth="1"/>
    <col min="5" max="5" width="11.1796875" bestFit="1" customWidth="1"/>
  </cols>
  <sheetData>
    <row r="1" spans="2:32">
      <c r="B1" s="1333" t="s">
        <v>0</v>
      </c>
      <c r="C1" s="1380" t="s">
        <v>1</v>
      </c>
      <c r="D1" s="1382">
        <v>2021</v>
      </c>
      <c r="E1" s="1383"/>
      <c r="F1" s="1383"/>
      <c r="G1" s="1383"/>
      <c r="H1" s="1383"/>
      <c r="I1" s="1383"/>
      <c r="J1" s="1383"/>
      <c r="K1" s="1383"/>
      <c r="L1" s="1383"/>
      <c r="M1" s="1383"/>
      <c r="N1" s="1383"/>
      <c r="O1" s="1383"/>
      <c r="P1" s="1384"/>
    </row>
    <row r="2" spans="2:32">
      <c r="B2" s="1333"/>
      <c r="C2" s="1381"/>
      <c r="D2" s="42">
        <v>2563</v>
      </c>
      <c r="E2" s="43">
        <v>23377</v>
      </c>
      <c r="F2" s="43">
        <v>23408</v>
      </c>
      <c r="G2" s="43">
        <v>23437</v>
      </c>
      <c r="H2" s="43">
        <v>23468</v>
      </c>
      <c r="I2" s="43">
        <v>23498</v>
      </c>
      <c r="J2" s="43">
        <v>23529</v>
      </c>
      <c r="K2" s="43">
        <v>23559</v>
      </c>
      <c r="L2" s="43">
        <v>23590</v>
      </c>
      <c r="M2" s="43">
        <v>23621</v>
      </c>
      <c r="N2" s="43">
        <v>23651</v>
      </c>
      <c r="O2" s="43">
        <v>23682</v>
      </c>
      <c r="P2" s="43">
        <v>23712</v>
      </c>
      <c r="S2" t="s">
        <v>5</v>
      </c>
      <c r="T2" t="s">
        <v>0</v>
      </c>
      <c r="U2" s="43">
        <v>23377</v>
      </c>
      <c r="V2" s="43">
        <v>23408</v>
      </c>
      <c r="W2" s="43">
        <v>23437</v>
      </c>
      <c r="X2" s="43">
        <v>23468</v>
      </c>
      <c r="Y2" s="43">
        <v>23498</v>
      </c>
      <c r="Z2" s="43">
        <v>23529</v>
      </c>
      <c r="AA2" s="43">
        <v>23559</v>
      </c>
      <c r="AB2" s="43">
        <v>23590</v>
      </c>
      <c r="AC2" s="43">
        <v>23621</v>
      </c>
      <c r="AD2" s="43">
        <v>23651</v>
      </c>
      <c r="AE2" s="43">
        <v>23682</v>
      </c>
      <c r="AF2" s="43">
        <v>23712</v>
      </c>
    </row>
    <row r="3" spans="2:32">
      <c r="B3" s="1" t="s">
        <v>2</v>
      </c>
      <c r="C3" s="2" t="s">
        <v>3</v>
      </c>
      <c r="D3" s="3">
        <v>49.7</v>
      </c>
      <c r="E3" s="4">
        <v>50</v>
      </c>
      <c r="F3" s="4">
        <v>49.9</v>
      </c>
      <c r="G3" s="4">
        <v>50</v>
      </c>
      <c r="H3" s="4">
        <v>50</v>
      </c>
      <c r="I3" s="4">
        <v>49.9</v>
      </c>
      <c r="J3" s="4">
        <v>49.8</v>
      </c>
      <c r="K3" s="4">
        <v>50.4</v>
      </c>
      <c r="L3" s="4">
        <v>51</v>
      </c>
      <c r="M3" s="4">
        <v>51.3</v>
      </c>
      <c r="N3" s="4">
        <v>52</v>
      </c>
      <c r="O3" s="4">
        <v>52.7</v>
      </c>
      <c r="P3" s="4">
        <v>52.5</v>
      </c>
      <c r="T3" t="s">
        <v>208</v>
      </c>
      <c r="U3">
        <f>E35</f>
        <v>0</v>
      </c>
    </row>
    <row r="4" spans="2:32">
      <c r="B4" s="1" t="s">
        <v>4</v>
      </c>
      <c r="C4" s="2" t="s">
        <v>5</v>
      </c>
      <c r="D4" s="3">
        <v>428.7</v>
      </c>
      <c r="E4" s="3">
        <v>442.8</v>
      </c>
      <c r="F4" s="3">
        <v>442.8</v>
      </c>
      <c r="G4" s="3">
        <v>441.9</v>
      </c>
      <c r="H4" s="3">
        <v>438.3</v>
      </c>
      <c r="I4" s="3">
        <v>436.5</v>
      </c>
      <c r="J4" s="3">
        <v>437.4</v>
      </c>
      <c r="K4" s="3">
        <v>444.6</v>
      </c>
      <c r="L4" s="3">
        <v>451.8</v>
      </c>
      <c r="M4" s="3">
        <v>459</v>
      </c>
      <c r="N4" s="3">
        <v>468</v>
      </c>
      <c r="O4" s="3">
        <v>473.4</v>
      </c>
      <c r="P4" s="3">
        <v>473.4</v>
      </c>
      <c r="T4" t="s">
        <v>38</v>
      </c>
      <c r="U4">
        <f>E52</f>
        <v>0</v>
      </c>
    </row>
    <row r="5" spans="2:32">
      <c r="B5" s="5" t="s">
        <v>6</v>
      </c>
      <c r="C5" s="6" t="s">
        <v>5</v>
      </c>
      <c r="D5" s="3">
        <v>416.7</v>
      </c>
      <c r="E5" s="3">
        <v>429.3</v>
      </c>
      <c r="F5" s="3">
        <v>429.3</v>
      </c>
      <c r="G5" s="3">
        <v>428.4</v>
      </c>
      <c r="H5" s="3">
        <v>424.8</v>
      </c>
      <c r="I5" s="3">
        <v>423</v>
      </c>
      <c r="J5" s="3">
        <v>423.9</v>
      </c>
      <c r="K5" s="3">
        <v>431.1</v>
      </c>
      <c r="L5" s="3">
        <v>438.3</v>
      </c>
      <c r="M5" s="3">
        <v>445.5</v>
      </c>
      <c r="N5" s="3">
        <v>454.5</v>
      </c>
      <c r="O5" s="3">
        <v>459.9</v>
      </c>
      <c r="P5" s="3">
        <v>459.9</v>
      </c>
      <c r="T5" t="s">
        <v>209</v>
      </c>
      <c r="U5">
        <f>D71</f>
        <v>0</v>
      </c>
    </row>
    <row r="6" spans="2:32">
      <c r="B6" s="5" t="s">
        <v>6</v>
      </c>
      <c r="C6" s="6" t="s">
        <v>3</v>
      </c>
      <c r="D6" s="7">
        <v>39.742458994708997</v>
      </c>
      <c r="E6" s="8">
        <v>42.65</v>
      </c>
      <c r="F6" s="8">
        <v>42.55</v>
      </c>
      <c r="G6" s="8">
        <v>43.424999999999997</v>
      </c>
      <c r="H6" s="8">
        <v>42.8</v>
      </c>
      <c r="I6" s="8">
        <v>42.8</v>
      </c>
      <c r="J6" s="8">
        <v>43.625</v>
      </c>
      <c r="K6" s="8">
        <v>44.875</v>
      </c>
      <c r="L6" s="8">
        <v>44.85</v>
      </c>
      <c r="M6" s="9">
        <v>45.625</v>
      </c>
      <c r="N6" s="9">
        <v>46.5</v>
      </c>
      <c r="O6" s="9">
        <v>47.625</v>
      </c>
      <c r="P6" s="9">
        <v>47.174999999999997</v>
      </c>
      <c r="T6" t="s">
        <v>210</v>
      </c>
      <c r="U6" t="e">
        <f>([12]Revenue!D102/'Bz Price '!E102)*(1000/[12]Fx!D5)</f>
        <v>#DIV/0!</v>
      </c>
      <c r="V6" t="e">
        <f>([12]Revenue!E102/'Bz Price '!F102)*(1000/[12]Fx!E5)</f>
        <v>#DIV/0!</v>
      </c>
      <c r="W6" t="e">
        <f>([12]Revenue!F102/'Bz Price '!G102)*(1000/[12]Fx!F5)</f>
        <v>#DIV/0!</v>
      </c>
      <c r="X6" t="e">
        <f>([12]Revenue!G102/'Bz Price '!H102)*(1000/[12]Fx!G5)</f>
        <v>#DIV/0!</v>
      </c>
      <c r="Y6" t="e">
        <f>([12]Revenue!H102/'Bz Price '!I102)*(1000/[12]Fx!H5)</f>
        <v>#DIV/0!</v>
      </c>
      <c r="Z6" t="e">
        <f>([12]Revenue!I102/'Bz Price '!J102)*(1000/[12]Fx!I5)</f>
        <v>#DIV/0!</v>
      </c>
      <c r="AA6" t="e">
        <f>([12]Revenue!J102/'Bz Price '!K102)*(1000/[12]Fx!J5)</f>
        <v>#DIV/0!</v>
      </c>
      <c r="AB6" t="e">
        <f>([12]Revenue!K102/'Bz Price '!L102)*(1000/[12]Fx!K5)</f>
        <v>#DIV/0!</v>
      </c>
      <c r="AC6" t="e">
        <f>([12]Revenue!L102/'Bz Price '!M102)*(1000/[12]Fx!L5)</f>
        <v>#DIV/0!</v>
      </c>
      <c r="AD6" t="e">
        <f>([12]Revenue!M102/'Bz Price '!N102)*(1000/[12]Fx!M5)</f>
        <v>#DIV/0!</v>
      </c>
      <c r="AE6" t="e">
        <f>([12]Revenue!N102/'Bz Price '!O102)*(1000/[12]Fx!N5)</f>
        <v>#DIV/0!</v>
      </c>
      <c r="AF6" t="e">
        <f>([12]Revenue!O102/'Bz Price '!P102)*(1000/[12]Fx!O5)</f>
        <v>#DIV/0!</v>
      </c>
    </row>
    <row r="7" spans="2:32">
      <c r="B7" s="5" t="s">
        <v>7</v>
      </c>
      <c r="C7" s="6" t="s">
        <v>5</v>
      </c>
      <c r="D7" s="3">
        <v>435</v>
      </c>
      <c r="E7" s="3">
        <v>475</v>
      </c>
      <c r="F7" s="3">
        <v>457.5</v>
      </c>
      <c r="G7" s="3">
        <v>430</v>
      </c>
      <c r="H7" s="3">
        <v>400</v>
      </c>
      <c r="I7" s="3">
        <v>370</v>
      </c>
      <c r="J7" s="3">
        <v>375</v>
      </c>
      <c r="K7" s="3">
        <v>380</v>
      </c>
      <c r="L7" s="3">
        <v>395</v>
      </c>
      <c r="M7" s="3">
        <v>400</v>
      </c>
      <c r="N7" s="3">
        <v>405</v>
      </c>
      <c r="O7" s="3">
        <v>410</v>
      </c>
      <c r="P7" s="3">
        <v>410</v>
      </c>
      <c r="T7" t="s">
        <v>71</v>
      </c>
      <c r="U7">
        <f>E150</f>
        <v>0</v>
      </c>
    </row>
    <row r="8" spans="2:32">
      <c r="B8" s="5" t="s">
        <v>8</v>
      </c>
      <c r="C8" s="6" t="s">
        <v>5</v>
      </c>
      <c r="D8" s="4">
        <v>455</v>
      </c>
      <c r="E8" s="4">
        <v>475</v>
      </c>
      <c r="F8" s="4">
        <v>457.5</v>
      </c>
      <c r="G8" s="4">
        <v>430</v>
      </c>
      <c r="H8" s="4">
        <v>400</v>
      </c>
      <c r="I8" s="4">
        <v>370</v>
      </c>
      <c r="J8" s="4">
        <v>375</v>
      </c>
      <c r="K8" s="4">
        <v>380</v>
      </c>
      <c r="L8" s="4">
        <v>395</v>
      </c>
      <c r="M8" s="4">
        <v>400</v>
      </c>
      <c r="N8" s="4">
        <v>405</v>
      </c>
      <c r="O8" s="4">
        <v>410</v>
      </c>
      <c r="P8" s="4">
        <v>410</v>
      </c>
      <c r="T8" t="s">
        <v>79</v>
      </c>
      <c r="U8">
        <f>E156</f>
        <v>0</v>
      </c>
    </row>
    <row r="9" spans="2:32">
      <c r="B9" s="5" t="s">
        <v>9</v>
      </c>
      <c r="C9" s="6" t="s">
        <v>5</v>
      </c>
      <c r="D9" s="3">
        <v>455</v>
      </c>
      <c r="E9" s="3">
        <v>475</v>
      </c>
      <c r="F9" s="3">
        <v>457.5</v>
      </c>
      <c r="G9" s="3">
        <v>430</v>
      </c>
      <c r="H9" s="3">
        <v>400</v>
      </c>
      <c r="I9" s="3">
        <v>370</v>
      </c>
      <c r="J9" s="3">
        <v>375</v>
      </c>
      <c r="K9" s="3">
        <v>380</v>
      </c>
      <c r="L9" s="3">
        <v>395</v>
      </c>
      <c r="M9" s="3">
        <v>400</v>
      </c>
      <c r="N9" s="3">
        <v>405</v>
      </c>
      <c r="O9" s="3">
        <v>410</v>
      </c>
      <c r="P9" s="3">
        <v>410</v>
      </c>
    </row>
    <row r="10" spans="2:32">
      <c r="B10" s="5" t="s">
        <v>10</v>
      </c>
      <c r="C10" s="6" t="s">
        <v>5</v>
      </c>
      <c r="D10" s="3">
        <v>455</v>
      </c>
      <c r="E10" s="3">
        <v>475</v>
      </c>
      <c r="F10" s="3">
        <v>457.5</v>
      </c>
      <c r="G10" s="3">
        <v>430</v>
      </c>
      <c r="H10" s="3">
        <v>400</v>
      </c>
      <c r="I10" s="3">
        <v>370</v>
      </c>
      <c r="J10" s="3">
        <v>375</v>
      </c>
      <c r="K10" s="3">
        <v>380</v>
      </c>
      <c r="L10" s="3">
        <v>395</v>
      </c>
      <c r="M10" s="3">
        <v>400</v>
      </c>
      <c r="N10" s="3">
        <v>405</v>
      </c>
      <c r="O10" s="3">
        <v>410</v>
      </c>
      <c r="P10" s="3">
        <v>410</v>
      </c>
      <c r="S10" t="s">
        <v>211</v>
      </c>
      <c r="T10" t="s">
        <v>0</v>
      </c>
    </row>
    <row r="11" spans="2:32">
      <c r="B11" s="5" t="s">
        <v>11</v>
      </c>
      <c r="C11" s="6" t="s">
        <v>5</v>
      </c>
      <c r="D11" s="10">
        <v>1070</v>
      </c>
      <c r="E11" s="4">
        <v>1045</v>
      </c>
      <c r="F11" s="4">
        <v>1015</v>
      </c>
      <c r="G11" s="4">
        <v>1005</v>
      </c>
      <c r="H11" s="4">
        <v>1000</v>
      </c>
      <c r="I11" s="4">
        <v>1005</v>
      </c>
      <c r="J11" s="11">
        <v>995</v>
      </c>
      <c r="K11" s="11">
        <v>980</v>
      </c>
      <c r="L11" s="11">
        <v>970</v>
      </c>
      <c r="M11" s="11">
        <v>980</v>
      </c>
      <c r="N11" s="11">
        <v>995</v>
      </c>
      <c r="O11" s="11">
        <v>1015</v>
      </c>
      <c r="P11" s="11">
        <v>995</v>
      </c>
      <c r="T11" t="s">
        <v>208</v>
      </c>
      <c r="U11" t="e">
        <f>U3*(1000/[12]Fx!D24)</f>
        <v>#DIV/0!</v>
      </c>
      <c r="V11" t="e">
        <f>V3*(1000/[12]Fx!E24)</f>
        <v>#DIV/0!</v>
      </c>
      <c r="W11" t="e">
        <f>W3*(1000/[12]Fx!F24)</f>
        <v>#DIV/0!</v>
      </c>
      <c r="X11" t="e">
        <f>X3*(1000/[12]Fx!G24)</f>
        <v>#DIV/0!</v>
      </c>
      <c r="Y11" t="e">
        <f>Y3*(1000/[12]Fx!H24)</f>
        <v>#DIV/0!</v>
      </c>
      <c r="Z11" t="e">
        <f>Z3*(1000/[12]Fx!I24)</f>
        <v>#DIV/0!</v>
      </c>
      <c r="AA11" t="e">
        <f>AA3*(1000/[12]Fx!J24)</f>
        <v>#DIV/0!</v>
      </c>
      <c r="AB11" t="e">
        <f>AB3*(1000/[12]Fx!K24)</f>
        <v>#DIV/0!</v>
      </c>
      <c r="AC11" t="e">
        <f>AC3*(1000/[12]Fx!L24)</f>
        <v>#DIV/0!</v>
      </c>
      <c r="AD11" t="e">
        <f>AD3*(1000/[12]Fx!M24)</f>
        <v>#DIV/0!</v>
      </c>
      <c r="AE11" t="e">
        <f>AE3*(1000/[12]Fx!N24)</f>
        <v>#DIV/0!</v>
      </c>
      <c r="AF11" t="e">
        <f>AF3*(1000/[12]Fx!O24)</f>
        <v>#DIV/0!</v>
      </c>
    </row>
    <row r="12" spans="2:32">
      <c r="B12" s="5" t="s">
        <v>12</v>
      </c>
      <c r="C12" s="6" t="s">
        <v>5</v>
      </c>
      <c r="D12" s="10">
        <v>1423</v>
      </c>
      <c r="E12" s="4">
        <v>1370</v>
      </c>
      <c r="F12" s="4">
        <v>1320</v>
      </c>
      <c r="G12" s="4">
        <v>1270</v>
      </c>
      <c r="H12" s="4">
        <v>1220</v>
      </c>
      <c r="I12" s="4">
        <v>1230</v>
      </c>
      <c r="J12" s="11">
        <v>1230</v>
      </c>
      <c r="K12" s="11">
        <v>1180</v>
      </c>
      <c r="L12" s="11">
        <v>1155</v>
      </c>
      <c r="M12" s="11">
        <v>1180</v>
      </c>
      <c r="N12" s="11">
        <v>1200</v>
      </c>
      <c r="O12" s="11">
        <v>1220</v>
      </c>
      <c r="P12" s="11">
        <v>1200</v>
      </c>
      <c r="T12" t="s">
        <v>38</v>
      </c>
      <c r="U12" t="e">
        <f>U4*(1000/[12]Fx!D5)</f>
        <v>#DIV/0!</v>
      </c>
      <c r="V12" t="e">
        <f>V4*(1000/[12]Fx!E5)</f>
        <v>#DIV/0!</v>
      </c>
      <c r="W12" t="e">
        <f>W4*(1000/[12]Fx!F5)</f>
        <v>#DIV/0!</v>
      </c>
      <c r="X12" t="e">
        <f>X4*(1000/[12]Fx!G5)</f>
        <v>#DIV/0!</v>
      </c>
      <c r="Y12" t="e">
        <f>Y4*(1000/[12]Fx!H5)</f>
        <v>#DIV/0!</v>
      </c>
      <c r="Z12" t="e">
        <f>Z4*(1000/[12]Fx!I5)</f>
        <v>#DIV/0!</v>
      </c>
      <c r="AA12" t="e">
        <f>AA4*(1000/[12]Fx!J5)</f>
        <v>#DIV/0!</v>
      </c>
      <c r="AB12" t="e">
        <f>AB4*(1000/[12]Fx!K5)</f>
        <v>#DIV/0!</v>
      </c>
      <c r="AC12" t="e">
        <f>AC4*(1000/[12]Fx!L5)</f>
        <v>#DIV/0!</v>
      </c>
      <c r="AD12" t="e">
        <f>AD4*(1000/[12]Fx!M5)</f>
        <v>#DIV/0!</v>
      </c>
      <c r="AE12" t="e">
        <f>AE4*(1000/[12]Fx!N5)</f>
        <v>#DIV/0!</v>
      </c>
      <c r="AF12" t="e">
        <f>AF4*(1000/[12]Fx!O5)</f>
        <v>#DIV/0!</v>
      </c>
    </row>
    <row r="13" spans="2:32">
      <c r="B13" s="5" t="s">
        <v>13</v>
      </c>
      <c r="C13" s="6" t="s">
        <v>5</v>
      </c>
      <c r="D13" s="10">
        <v>1064</v>
      </c>
      <c r="E13" s="4">
        <v>1040</v>
      </c>
      <c r="F13" s="4">
        <v>1010</v>
      </c>
      <c r="G13" s="4">
        <v>990</v>
      </c>
      <c r="H13" s="4">
        <v>980</v>
      </c>
      <c r="I13" s="4">
        <v>1000</v>
      </c>
      <c r="J13" s="11">
        <v>1000</v>
      </c>
      <c r="K13" s="11">
        <v>980</v>
      </c>
      <c r="L13" s="11">
        <v>950</v>
      </c>
      <c r="M13" s="11">
        <v>950</v>
      </c>
      <c r="N13" s="11">
        <v>985</v>
      </c>
      <c r="O13" s="11">
        <v>1010</v>
      </c>
      <c r="P13" s="11">
        <v>990</v>
      </c>
      <c r="T13" t="s">
        <v>209</v>
      </c>
      <c r="U13" t="e">
        <f>U5*(1000/[12]Fx!D24)</f>
        <v>#DIV/0!</v>
      </c>
      <c r="V13" t="e">
        <f>V5*(1000/[12]Fx!E24)</f>
        <v>#DIV/0!</v>
      </c>
      <c r="W13" t="e">
        <f>W5*(1000/[12]Fx!F24)</f>
        <v>#DIV/0!</v>
      </c>
      <c r="X13" t="e">
        <f>X5*(1000/[12]Fx!G24)</f>
        <v>#DIV/0!</v>
      </c>
      <c r="Y13" t="e">
        <f>Y5*(1000/[12]Fx!H24)</f>
        <v>#DIV/0!</v>
      </c>
      <c r="Z13" t="e">
        <f>Z5*(1000/[12]Fx!I24)</f>
        <v>#DIV/0!</v>
      </c>
      <c r="AA13" t="e">
        <f>AA5*(1000/[12]Fx!J24)</f>
        <v>#DIV/0!</v>
      </c>
      <c r="AB13" t="e">
        <f>AB5*(1000/[12]Fx!K24)</f>
        <v>#DIV/0!</v>
      </c>
      <c r="AC13" t="e">
        <f>AC5*(1000/[12]Fx!L24)</f>
        <v>#DIV/0!</v>
      </c>
      <c r="AD13" t="e">
        <f>AD5*(1000/[12]Fx!M24)</f>
        <v>#DIV/0!</v>
      </c>
      <c r="AE13" t="e">
        <f>AE5*(1000/[12]Fx!N24)</f>
        <v>#DIV/0!</v>
      </c>
      <c r="AF13" t="e">
        <f>AF5*(1000/[12]Fx!O24)</f>
        <v>#DIV/0!</v>
      </c>
    </row>
    <row r="14" spans="2:32">
      <c r="B14" s="5" t="s">
        <v>14</v>
      </c>
      <c r="C14" s="6" t="s">
        <v>5</v>
      </c>
      <c r="D14" s="3">
        <v>1276</v>
      </c>
      <c r="E14" s="4">
        <v>1272</v>
      </c>
      <c r="F14" s="4">
        <v>1227</v>
      </c>
      <c r="G14" s="4">
        <v>1230</v>
      </c>
      <c r="H14" s="4">
        <v>1199</v>
      </c>
      <c r="I14" s="4">
        <v>1159</v>
      </c>
      <c r="J14" s="11">
        <v>1117</v>
      </c>
      <c r="K14" s="11">
        <v>1080</v>
      </c>
      <c r="L14" s="11">
        <v>1065</v>
      </c>
      <c r="M14" s="11">
        <v>1080</v>
      </c>
      <c r="N14" s="11">
        <v>1115</v>
      </c>
      <c r="O14" s="11">
        <v>1146</v>
      </c>
      <c r="P14" s="11">
        <v>1120</v>
      </c>
      <c r="T14" t="s">
        <v>210</v>
      </c>
      <c r="U14">
        <f>[12]Revenue!D102/[12]Delivery!D102</f>
        <v>0</v>
      </c>
      <c r="V14">
        <f>[12]Revenue!E102/[12]Delivery!E102</f>
        <v>0</v>
      </c>
      <c r="W14">
        <f>[12]Revenue!F102/[12]Delivery!F102</f>
        <v>0</v>
      </c>
      <c r="X14">
        <f>[12]Revenue!G102/[12]Delivery!G102</f>
        <v>0</v>
      </c>
      <c r="Y14">
        <f>[12]Revenue!H102/[12]Delivery!H102</f>
        <v>0</v>
      </c>
      <c r="Z14">
        <f>[12]Revenue!I102/[12]Delivery!I102</f>
        <v>0</v>
      </c>
      <c r="AA14">
        <f>[12]Revenue!J102/[12]Delivery!J102</f>
        <v>0</v>
      </c>
      <c r="AB14">
        <f>[12]Revenue!K102/[12]Delivery!K102</f>
        <v>0</v>
      </c>
      <c r="AC14">
        <f>[12]Revenue!L102/[12]Delivery!L102</f>
        <v>0</v>
      </c>
      <c r="AD14">
        <f>[12]Revenue!M102/[12]Delivery!M102</f>
        <v>0</v>
      </c>
      <c r="AE14">
        <f>[12]Revenue!N102/[12]Delivery!N102</f>
        <v>0</v>
      </c>
      <c r="AF14">
        <f>[12]Revenue!O102/[12]Delivery!O102</f>
        <v>0</v>
      </c>
    </row>
    <row r="15" spans="2:32">
      <c r="B15" s="12" t="s">
        <v>15</v>
      </c>
      <c r="C15" s="13" t="s">
        <v>5</v>
      </c>
      <c r="D15" s="14"/>
      <c r="E15" s="15"/>
      <c r="F15" s="15"/>
      <c r="G15" s="15"/>
      <c r="H15" s="15"/>
      <c r="I15" s="15"/>
      <c r="J15" s="16"/>
      <c r="K15" s="16"/>
      <c r="L15" s="16"/>
      <c r="M15" s="16"/>
      <c r="N15" s="16"/>
      <c r="O15" s="16"/>
      <c r="P15" s="16"/>
      <c r="T15" t="s">
        <v>71</v>
      </c>
      <c r="U15" t="e">
        <f>U7*(1000/[12]Fx!D6)</f>
        <v>#DIV/0!</v>
      </c>
      <c r="V15" t="e">
        <f>V7*(1000/[12]Fx!E6)</f>
        <v>#DIV/0!</v>
      </c>
      <c r="W15" t="e">
        <f>W7*(1000/[12]Fx!F6)</f>
        <v>#DIV/0!</v>
      </c>
      <c r="X15" t="e">
        <f>X7*(1000/[12]Fx!G6)</f>
        <v>#DIV/0!</v>
      </c>
      <c r="Y15" t="e">
        <f>Y7*(1000/[12]Fx!H6)</f>
        <v>#DIV/0!</v>
      </c>
      <c r="Z15" t="e">
        <f>Z7*(1000/[12]Fx!I6)</f>
        <v>#DIV/0!</v>
      </c>
      <c r="AA15" t="e">
        <f>AA7*(1000/[12]Fx!J6)</f>
        <v>#DIV/0!</v>
      </c>
      <c r="AB15" t="e">
        <f>AB7*(1000/[12]Fx!K6)</f>
        <v>#DIV/0!</v>
      </c>
      <c r="AC15" t="e">
        <f>AC7*(1000/[12]Fx!L6)</f>
        <v>#DIV/0!</v>
      </c>
      <c r="AD15" t="e">
        <f>AD7*(1000/[12]Fx!M6)</f>
        <v>#DIV/0!</v>
      </c>
      <c r="AE15" t="e">
        <f>AE7*(1000/[12]Fx!N6)</f>
        <v>#DIV/0!</v>
      </c>
      <c r="AF15" t="e">
        <f>AF7*(1000/[12]Fx!O6)</f>
        <v>#DIV/0!</v>
      </c>
    </row>
    <row r="16" spans="2:32">
      <c r="B16" s="12" t="s">
        <v>16</v>
      </c>
      <c r="C16" s="13" t="s">
        <v>5</v>
      </c>
      <c r="D16" s="17">
        <v>103.55955555555556</v>
      </c>
      <c r="E16" s="17">
        <v>103.55955555555556</v>
      </c>
      <c r="F16" s="17">
        <v>103.55955555555556</v>
      </c>
      <c r="G16" s="18">
        <v>48.499999999999993</v>
      </c>
      <c r="H16" s="18">
        <v>48.499999999999993</v>
      </c>
      <c r="I16" s="18">
        <v>48.499999999999993</v>
      </c>
      <c r="J16" s="18">
        <v>48.499999999999993</v>
      </c>
      <c r="K16" s="18">
        <v>48.499999999999993</v>
      </c>
      <c r="L16" s="18">
        <v>48.499999999999993</v>
      </c>
      <c r="M16" s="18">
        <v>48.499999999999993</v>
      </c>
      <c r="N16" s="18">
        <v>48.499999999999993</v>
      </c>
      <c r="O16" s="18">
        <v>48.499999999999993</v>
      </c>
      <c r="P16" s="18">
        <v>48.499999999999993</v>
      </c>
      <c r="T16" t="s">
        <v>79</v>
      </c>
      <c r="U16" t="e">
        <f>U8*(1000/[12]Fx!D153)</f>
        <v>#DIV/0!</v>
      </c>
      <c r="V16" t="e">
        <f>V8*(1000/[12]Fx!E153)</f>
        <v>#DIV/0!</v>
      </c>
      <c r="W16" t="e">
        <f>W8*(1000/[12]Fx!F153)</f>
        <v>#DIV/0!</v>
      </c>
      <c r="X16" t="e">
        <f>X8*(1000/[12]Fx!G153)</f>
        <v>#DIV/0!</v>
      </c>
      <c r="Y16" t="e">
        <f>Y8*(1000/[12]Fx!H153)</f>
        <v>#DIV/0!</v>
      </c>
      <c r="Z16" t="e">
        <f>Z8*(1000/[12]Fx!I153)</f>
        <v>#DIV/0!</v>
      </c>
      <c r="AA16" t="e">
        <f>AA8*(1000/[12]Fx!J153)</f>
        <v>#DIV/0!</v>
      </c>
      <c r="AB16" t="e">
        <f>AB8*(1000/[12]Fx!K153)</f>
        <v>#DIV/0!</v>
      </c>
      <c r="AC16" t="e">
        <f>AC8*(1000/[12]Fx!L153)</f>
        <v>#DIV/0!</v>
      </c>
      <c r="AD16" t="e">
        <f>AD8*(1000/[12]Fx!M153)</f>
        <v>#DIV/0!</v>
      </c>
      <c r="AE16" t="e">
        <f>AE8*(1000/[12]Fx!N153)</f>
        <v>#DIV/0!</v>
      </c>
      <c r="AF16" t="e">
        <f>AF8*(1000/[12]Fx!O153)</f>
        <v>#DIV/0!</v>
      </c>
    </row>
    <row r="17" spans="2:16">
      <c r="B17" s="12" t="s">
        <v>17</v>
      </c>
      <c r="C17" s="13" t="s">
        <v>5</v>
      </c>
      <c r="D17" s="17">
        <v>73.781149999999982</v>
      </c>
      <c r="E17" s="19">
        <v>73.781149999999982</v>
      </c>
      <c r="F17" s="19">
        <v>73.781149999999982</v>
      </c>
      <c r="G17" s="20">
        <v>38.799999999999997</v>
      </c>
      <c r="H17" s="20">
        <v>38.799999999999997</v>
      </c>
      <c r="I17" s="20">
        <v>38.799999999999997</v>
      </c>
      <c r="J17" s="21">
        <v>38.799999999999997</v>
      </c>
      <c r="K17" s="21">
        <v>38.799999999999997</v>
      </c>
      <c r="L17" s="21">
        <v>38.799999999999997</v>
      </c>
      <c r="M17" s="21">
        <v>38.799999999999997</v>
      </c>
      <c r="N17" s="21">
        <v>38.799999999999997</v>
      </c>
      <c r="O17" s="21">
        <v>38.799999999999997</v>
      </c>
      <c r="P17" s="21">
        <v>38.799999999999997</v>
      </c>
    </row>
    <row r="18" spans="2:16">
      <c r="B18" s="12" t="s">
        <v>18</v>
      </c>
      <c r="C18" s="13" t="s">
        <v>5</v>
      </c>
      <c r="D18" s="3">
        <v>429.19773931868713</v>
      </c>
      <c r="E18" s="8">
        <v>419.43822910082719</v>
      </c>
      <c r="F18" s="8">
        <v>419.63406563167024</v>
      </c>
      <c r="G18" s="8">
        <v>417.98127336476443</v>
      </c>
      <c r="H18" s="8">
        <v>425.19356771529436</v>
      </c>
      <c r="I18" s="8">
        <v>423.02138887867267</v>
      </c>
      <c r="J18" s="9">
        <v>422.81856204991334</v>
      </c>
      <c r="K18" s="9">
        <v>426.016636158766</v>
      </c>
      <c r="L18" s="9">
        <v>424.21055961278768</v>
      </c>
      <c r="M18" s="9">
        <v>423.42414219023112</v>
      </c>
      <c r="N18" s="9">
        <v>413.61035224342299</v>
      </c>
      <c r="O18" s="9">
        <v>413.04218732425551</v>
      </c>
      <c r="P18" s="9">
        <v>413.7138709632722</v>
      </c>
    </row>
    <row r="19" spans="2:16">
      <c r="B19" s="12" t="s">
        <v>19</v>
      </c>
      <c r="C19" s="22" t="s">
        <v>20</v>
      </c>
      <c r="D19" s="23">
        <v>31.4</v>
      </c>
      <c r="E19" s="20">
        <v>31</v>
      </c>
      <c r="F19" s="20">
        <v>31</v>
      </c>
      <c r="G19" s="20">
        <v>31</v>
      </c>
      <c r="H19" s="20">
        <v>31</v>
      </c>
      <c r="I19" s="20">
        <v>31</v>
      </c>
      <c r="J19" s="24">
        <v>31</v>
      </c>
      <c r="K19" s="24">
        <v>31</v>
      </c>
      <c r="L19" s="24">
        <v>31</v>
      </c>
      <c r="M19" s="24">
        <v>31</v>
      </c>
      <c r="N19" s="24">
        <v>31</v>
      </c>
      <c r="O19" s="24">
        <v>31</v>
      </c>
      <c r="P19" s="24">
        <v>31</v>
      </c>
    </row>
    <row r="22" spans="2:16" ht="23.5">
      <c r="B22" s="44" t="s">
        <v>208</v>
      </c>
    </row>
    <row r="23" spans="2:16">
      <c r="B23" s="26" t="s">
        <v>23</v>
      </c>
      <c r="C23" s="26" t="s">
        <v>22</v>
      </c>
      <c r="D23" s="43">
        <v>242492</v>
      </c>
      <c r="E23" s="43">
        <v>23377</v>
      </c>
      <c r="F23" s="43">
        <v>23408</v>
      </c>
      <c r="G23" s="43">
        <v>23437</v>
      </c>
      <c r="H23" s="43">
        <v>23468</v>
      </c>
      <c r="I23" s="43">
        <v>23498</v>
      </c>
      <c r="J23" s="43">
        <v>23529</v>
      </c>
      <c r="K23" s="43">
        <v>23559</v>
      </c>
      <c r="L23" s="43">
        <v>23590</v>
      </c>
      <c r="M23" s="43">
        <v>23621</v>
      </c>
      <c r="N23" s="43">
        <v>23651</v>
      </c>
      <c r="O23" s="43">
        <v>23682</v>
      </c>
      <c r="P23" s="43">
        <v>23712</v>
      </c>
    </row>
    <row r="24" spans="2:16">
      <c r="B24" s="28" t="s">
        <v>25</v>
      </c>
      <c r="C24" s="27" t="s">
        <v>86</v>
      </c>
      <c r="D24" s="28"/>
      <c r="E24" s="40">
        <f>VLOOKUP('Data (64)'!$AL63,'Data (64)'!$AL$63:$BB$66,2)/E$19</f>
        <v>370</v>
      </c>
      <c r="F24" s="40">
        <f>VLOOKUP('Data (64)'!$AL63,'Data (64)'!$AL$63:$BB$66,3)/F$19</f>
        <v>370</v>
      </c>
      <c r="G24" s="40">
        <f>VLOOKUP('Data (64)'!$AL63,'Data (64)'!$AL$63:$BB$66,3)/G$19</f>
        <v>370</v>
      </c>
      <c r="H24" s="40">
        <f>VLOOKUP('Data (64)'!$AL63,'Data (64)'!$AL$63:$BB$66,5)/H$19</f>
        <v>370</v>
      </c>
      <c r="I24" s="40">
        <f>VLOOKUP('Data (64)'!$AL63,'Data (64)'!$AL$63:$BB$66,6)/I$19</f>
        <v>370</v>
      </c>
      <c r="J24" s="40">
        <f>VLOOKUP('Data (64)'!$AL63,'Data (64)'!$AL$63:$BB$66,7)/J$19</f>
        <v>370</v>
      </c>
      <c r="K24" s="40">
        <f>VLOOKUP('Data (64)'!$AL63,'Data (64)'!$AL$63:$BB$66,8)/K$19</f>
        <v>370</v>
      </c>
      <c r="L24" s="40">
        <f>VLOOKUP('Data (64)'!$AL63,'Data (64)'!$AL$63:$BB$66,9)/L$19</f>
        <v>370.00000000000006</v>
      </c>
      <c r="M24" s="40">
        <f>VLOOKUP('Data (64)'!$AL63,'Data (64)'!$AL$63:$BB$66,10)/M$19</f>
        <v>370</v>
      </c>
      <c r="N24" s="40">
        <f>VLOOKUP('Data (64)'!$AL63,'Data (64)'!$AL$63:$BB$66,11)/N$19</f>
        <v>370</v>
      </c>
      <c r="O24" s="40">
        <f>VLOOKUP('Data (64)'!$AL63,'Data (64)'!$AL$63:$BB$66,12)/O$19</f>
        <v>370</v>
      </c>
      <c r="P24" s="40">
        <f>VLOOKUP('Data (64)'!$AL63,'Data (64)'!$AL$63:$BB$66,13)/P$19</f>
        <v>370</v>
      </c>
    </row>
    <row r="25" spans="2:16">
      <c r="B25" s="28" t="s">
        <v>25</v>
      </c>
      <c r="C25" s="27" t="s">
        <v>26</v>
      </c>
      <c r="D25" s="28"/>
      <c r="E25" s="40">
        <f>VLOOKUP('Data (64)'!$AL64,'Data (64)'!$AL$63:$BB$66,2)/E$19</f>
        <v>388.35200000000003</v>
      </c>
      <c r="F25" s="40">
        <f>VLOOKUP('Data (64)'!$AL64,'Data (64)'!$AL$63:$BB$66,3)/F$19</f>
        <v>388.35200000000003</v>
      </c>
      <c r="G25" s="40">
        <f>VLOOKUP('Data (64)'!$AL64,'Data (64)'!$AL$63:$BB$66,3)/G$19</f>
        <v>388.35200000000003</v>
      </c>
      <c r="H25" s="40">
        <f>VLOOKUP('Data (64)'!$AL64,'Data (64)'!$AL$63:$BB$66,5)/H$19</f>
        <v>388.35200000000003</v>
      </c>
      <c r="I25" s="40">
        <f>VLOOKUP('Data (64)'!$AL64,'Data (64)'!$AL$63:$BB$66,6)/I$19</f>
        <v>388.35200000000003</v>
      </c>
      <c r="J25" s="40">
        <f>VLOOKUP('Data (64)'!$AL64,'Data (64)'!$AL$63:$BB$66,7)/J$19</f>
        <v>388.35200000000003</v>
      </c>
      <c r="K25" s="40">
        <f>VLOOKUP('Data (64)'!$AL64,'Data (64)'!$AL$63:$BB$66,8)/K$19</f>
        <v>388.35200000000003</v>
      </c>
      <c r="L25" s="40">
        <f>VLOOKUP('Data (64)'!$AL64,'Data (64)'!$AL$63:$BB$66,9)/L$19</f>
        <v>388.35200000000003</v>
      </c>
      <c r="M25" s="40">
        <f>VLOOKUP('Data (64)'!$AL64,'Data (64)'!$AL$63:$BB$66,10)/M$19</f>
        <v>388.35200000000003</v>
      </c>
      <c r="N25" s="40">
        <f>VLOOKUP('Data (64)'!$AL64,'Data (64)'!$AL$63:$BB$66,11)/N$19</f>
        <v>388.35200000000003</v>
      </c>
      <c r="O25" s="40">
        <f>VLOOKUP('Data (64)'!$AL64,'Data (64)'!$AL$63:$BB$66,12)/O$19</f>
        <v>388.35200000000003</v>
      </c>
      <c r="P25" s="40">
        <f>VLOOKUP('Data (64)'!$AL64,'Data (64)'!$AL$63:$BB$66,13)/P$19</f>
        <v>388.35200000000003</v>
      </c>
    </row>
    <row r="26" spans="2:16">
      <c r="B26" s="28" t="s">
        <v>25</v>
      </c>
      <c r="C26" s="221" t="s">
        <v>27</v>
      </c>
      <c r="D26" s="28"/>
      <c r="E26" s="40">
        <f>VLOOKUP('Data (64)'!$AL65,'Data (64)'!$AL$63:$BB$66,2)/E$19</f>
        <v>370</v>
      </c>
      <c r="F26" s="40">
        <f>VLOOKUP('Data (64)'!$AL65,'Data (64)'!$AL$63:$BB$66,3)/F$19</f>
        <v>370</v>
      </c>
      <c r="G26" s="40">
        <f>VLOOKUP('Data (64)'!$AL65,'Data (64)'!$AL$63:$BB$66,3)/G$19</f>
        <v>370</v>
      </c>
      <c r="H26" s="40">
        <f>VLOOKUP('Data (64)'!$AL65,'Data (64)'!$AL$63:$BB$66,5)/H$19</f>
        <v>370</v>
      </c>
      <c r="I26" s="40">
        <f>VLOOKUP('Data (64)'!$AL65,'Data (64)'!$AL$63:$BB$66,6)/I$19</f>
        <v>370</v>
      </c>
      <c r="J26" s="40">
        <f>VLOOKUP('Data (64)'!$AL65,'Data (64)'!$AL$63:$BB$66,7)/J$19</f>
        <v>370</v>
      </c>
      <c r="K26" s="40">
        <f>VLOOKUP('Data (64)'!$AL65,'Data (64)'!$AL$63:$BB$66,8)/K$19</f>
        <v>370</v>
      </c>
      <c r="L26" s="40">
        <f>VLOOKUP('Data (64)'!$AL65,'Data (64)'!$AL$63:$BB$66,9)/L$19</f>
        <v>370.00000000000006</v>
      </c>
      <c r="M26" s="40">
        <f>VLOOKUP('Data (64)'!$AL65,'Data (64)'!$AL$63:$BB$66,10)/M$19</f>
        <v>370</v>
      </c>
      <c r="N26" s="40">
        <f>VLOOKUP('Data (64)'!$AL65,'Data (64)'!$AL$63:$BB$66,11)/N$19</f>
        <v>370</v>
      </c>
      <c r="O26" s="40">
        <f>VLOOKUP('Data (64)'!$AL65,'Data (64)'!$AL$63:$BB$66,12)/O$19</f>
        <v>370</v>
      </c>
      <c r="P26" s="40">
        <f>VLOOKUP('Data (64)'!$AL65,'Data (64)'!$AL$63:$BB$66,13)/P$19</f>
        <v>370</v>
      </c>
    </row>
    <row r="27" spans="2:16" ht="29">
      <c r="B27" s="28" t="s">
        <v>25</v>
      </c>
      <c r="C27" s="228" t="s">
        <v>28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2:16" ht="29">
      <c r="B28" s="28" t="s">
        <v>25</v>
      </c>
      <c r="C28" s="228" t="s">
        <v>29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2:16" ht="29">
      <c r="B29" s="28" t="s">
        <v>25</v>
      </c>
      <c r="C29" s="228" t="s">
        <v>30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2:16">
      <c r="B30" s="28" t="s">
        <v>25</v>
      </c>
      <c r="C30" s="227" t="s">
        <v>31</v>
      </c>
      <c r="D30" s="28"/>
      <c r="E30" s="40">
        <f>'Data (64)'!AM66/'Bz Price '!E$19</f>
        <v>450</v>
      </c>
      <c r="F30" s="40">
        <f>'Data (64)'!AN66/'Bz Price '!F$19</f>
        <v>450</v>
      </c>
      <c r="G30" s="40">
        <f>'Data (64)'!AO66/'Bz Price '!G$19</f>
        <v>450</v>
      </c>
      <c r="H30" s="40">
        <f>'Data (64)'!AQ66/'Bz Price '!H19</f>
        <v>450</v>
      </c>
      <c r="I30" s="40">
        <f>'Data (64)'!AR66/'Bz Price '!I19</f>
        <v>450</v>
      </c>
      <c r="J30" s="40">
        <f>'Data (64)'!AS66/'Bz Price '!J19</f>
        <v>450</v>
      </c>
      <c r="K30" s="40">
        <f>'Data (64)'!AU66/'Bz Price '!K19</f>
        <v>450</v>
      </c>
      <c r="L30" s="40">
        <f>'Data (64)'!AV66/'Bz Price '!L19</f>
        <v>450</v>
      </c>
      <c r="M30" s="40">
        <f>'Data (64)'!AW66/'Bz Price '!M19</f>
        <v>450</v>
      </c>
      <c r="N30" s="40">
        <f>'Data (64)'!AY66/'Bz Price '!N19</f>
        <v>450</v>
      </c>
      <c r="O30" s="40">
        <f>'Data (64)'!AZ66/'Bz Price '!O19</f>
        <v>450</v>
      </c>
      <c r="P30" s="40">
        <f>'Data (64)'!BA66/'Bz Price '!P19</f>
        <v>450</v>
      </c>
    </row>
    <row r="31" spans="2:16">
      <c r="B31" s="28" t="s">
        <v>25</v>
      </c>
      <c r="C31" s="227" t="s">
        <v>32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2:16">
      <c r="B32" s="32" t="s">
        <v>34</v>
      </c>
      <c r="C32" s="227" t="s">
        <v>33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2:16">
      <c r="B33" s="32"/>
      <c r="C33" s="33" t="s">
        <v>35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2:16">
      <c r="B34" s="32"/>
      <c r="C34" s="33" t="s">
        <v>36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2:16">
      <c r="B35" s="28"/>
      <c r="C35" s="34" t="s">
        <v>37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2:16" ht="23.5">
      <c r="B36" s="25" t="s">
        <v>38</v>
      </c>
    </row>
    <row r="37" spans="2:16">
      <c r="B37" s="26" t="s">
        <v>23</v>
      </c>
      <c r="C37" s="26" t="s">
        <v>22</v>
      </c>
      <c r="D37" s="43">
        <v>242492</v>
      </c>
      <c r="E37" s="43">
        <v>23377</v>
      </c>
      <c r="F37" s="43">
        <v>23408</v>
      </c>
      <c r="G37" s="43">
        <v>23437</v>
      </c>
      <c r="H37" s="43">
        <v>23468</v>
      </c>
      <c r="I37" s="43">
        <v>23498</v>
      </c>
      <c r="J37" s="43">
        <v>23529</v>
      </c>
      <c r="K37" s="43">
        <v>23559</v>
      </c>
      <c r="L37" s="43">
        <v>23590</v>
      </c>
      <c r="M37" s="43">
        <v>23621</v>
      </c>
      <c r="N37" s="43">
        <v>23651</v>
      </c>
      <c r="O37" s="43">
        <v>23682</v>
      </c>
      <c r="P37" s="43">
        <v>23712</v>
      </c>
    </row>
    <row r="38" spans="2:16">
      <c r="B38" s="28" t="s">
        <v>25</v>
      </c>
      <c r="C38" s="35" t="s">
        <v>39</v>
      </c>
      <c r="D38" s="28"/>
      <c r="E38" s="40">
        <f>'Data (64)'!AM44/'Bz Price '!E19</f>
        <v>442.8</v>
      </c>
      <c r="F38" s="40">
        <f>'Data (64)'!AN44/'Bz Price '!F19</f>
        <v>431.8</v>
      </c>
      <c r="G38" s="40">
        <f>'Data (64)'!AO44/'Bz Price '!G19</f>
        <v>439.8</v>
      </c>
      <c r="H38" s="40">
        <f>'Data (64)'!AQ44/'Bz Price '!H19</f>
        <v>430.8</v>
      </c>
      <c r="I38" s="40">
        <f>'Data (64)'!AR44/'Bz Price '!I19</f>
        <v>418.8</v>
      </c>
      <c r="J38" s="40">
        <f>'Data (64)'!AS44/'Bz Price '!J19</f>
        <v>426.8</v>
      </c>
      <c r="K38" s="40">
        <f>'Data (64)'!AU44/'Bz Price '!K19</f>
        <v>432.8</v>
      </c>
      <c r="L38" s="40">
        <f>'Data (64)'!AV44/'Bz Price '!L19</f>
        <v>445.8</v>
      </c>
      <c r="M38" s="40">
        <f>'Data (64)'!AW44/'Bz Price '!M19</f>
        <v>449.8</v>
      </c>
      <c r="N38" s="40">
        <f>'Data (64)'!AY44/'Bz Price '!N19</f>
        <v>453.8</v>
      </c>
      <c r="O38" s="40">
        <f>'Data (64)'!AZ44/'Bz Price '!O19</f>
        <v>461.8</v>
      </c>
      <c r="P38" s="40">
        <f>'Data (64)'!BA44/'Bz Price '!P19</f>
        <v>457.8</v>
      </c>
    </row>
    <row r="39" spans="2:16">
      <c r="B39" s="28" t="s">
        <v>25</v>
      </c>
      <c r="C39" s="35" t="s">
        <v>40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2:16">
      <c r="B40" s="32" t="s">
        <v>34</v>
      </c>
      <c r="C40" s="35" t="s">
        <v>41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2:16">
      <c r="B41" s="28" t="s">
        <v>25</v>
      </c>
      <c r="C41" s="36" t="s">
        <v>42</v>
      </c>
      <c r="D41" s="28"/>
      <c r="E41" s="40">
        <f>'Data (64)'!AM47/'Bz Price '!E19</f>
        <v>468.12112136385161</v>
      </c>
      <c r="F41" s="40">
        <f>'Data (64)'!AN47/'Bz Price '!F19</f>
        <v>436.8</v>
      </c>
      <c r="G41" s="40">
        <f>'Data (64)'!AO47/'Bz Price '!G19</f>
        <v>444.8</v>
      </c>
      <c r="H41" s="40">
        <f>'Data (64)'!AQ47/'Bz Price '!I19</f>
        <v>435.8</v>
      </c>
      <c r="I41" s="40">
        <f>'Data (64)'!AR47/'Bz Price '!J19</f>
        <v>423.8</v>
      </c>
      <c r="J41" s="40">
        <f>'Data (64)'!AS47/'Bz Price '!K19</f>
        <v>431.8</v>
      </c>
      <c r="K41" s="40">
        <f>'Data (64)'!AU47/'Bz Price '!K19</f>
        <v>437.8</v>
      </c>
      <c r="L41" s="40">
        <f>'Data (64)'!AV47/'Bz Price '!L19</f>
        <v>450.8</v>
      </c>
      <c r="M41" s="40">
        <f>'Data (64)'!AW47/'Bz Price '!M19</f>
        <v>454.8</v>
      </c>
      <c r="N41" s="40">
        <f>'Data (64)'!AY47/'Bz Price '!N19</f>
        <v>458.8</v>
      </c>
      <c r="O41" s="40">
        <f>'Data (64)'!AZ47/'Bz Price '!O19</f>
        <v>466.8</v>
      </c>
      <c r="P41" s="40">
        <f>'Data (64)'!BA47/'Bz Price '!P19</f>
        <v>462.8</v>
      </c>
    </row>
    <row r="42" spans="2:16">
      <c r="B42" s="32" t="s">
        <v>34</v>
      </c>
      <c r="C42" s="36" t="s">
        <v>43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2:16">
      <c r="B43" s="28" t="s">
        <v>25</v>
      </c>
      <c r="C43" s="36" t="s">
        <v>44</v>
      </c>
      <c r="D43" s="28"/>
      <c r="E43" s="40">
        <f>'Data (64)'!AM46/'Bz Price '!E19</f>
        <v>362.57499999999999</v>
      </c>
      <c r="F43" s="40">
        <f>'Data (64)'!AN46/'Bz Price '!F19</f>
        <v>351.36500000000001</v>
      </c>
      <c r="G43" s="40">
        <f>'Data (64)'!AO46/'Bz Price '!G19</f>
        <v>348.71</v>
      </c>
      <c r="H43" s="40">
        <f>'Data (64)'!AQ46/'Bz Price '!H19</f>
        <v>346.05500000000001</v>
      </c>
      <c r="I43" s="40">
        <f>'Data (64)'!AR46/'Bz Price '!I19</f>
        <v>354.02</v>
      </c>
      <c r="J43" s="40">
        <f>'Data (64)'!AS46/'Bz Price '!J19</f>
        <v>348.41499999999991</v>
      </c>
      <c r="K43" s="40">
        <f>'Data (64)'!AU46/'Bz Price '!K19</f>
        <v>343.10499999999996</v>
      </c>
      <c r="L43" s="40">
        <f>'Data (64)'!AV46/'Bz Price '!L19</f>
        <v>340.45</v>
      </c>
      <c r="M43" s="40">
        <f>'Data (64)'!AW46/'Bz Price '!M19</f>
        <v>345.76</v>
      </c>
      <c r="N43" s="40">
        <f>'Data (64)'!AY46/'Bz Price '!N19</f>
        <v>348.41499999999991</v>
      </c>
      <c r="O43" s="40">
        <f>'Data (64)'!AZ46/'Bz Price '!O19</f>
        <v>353.72499999999997</v>
      </c>
      <c r="P43" s="40">
        <f>'Data (64)'!BA46/'Bz Price '!P19</f>
        <v>348.12</v>
      </c>
    </row>
    <row r="44" spans="2:16">
      <c r="B44" s="32" t="s">
        <v>34</v>
      </c>
      <c r="C44" s="36" t="s">
        <v>45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2:16">
      <c r="B45" s="28" t="s">
        <v>25</v>
      </c>
      <c r="C45" s="36" t="s">
        <v>46</v>
      </c>
      <c r="D45" s="28"/>
      <c r="E45" s="40">
        <f>'Data (64)'!AM51/'Bz Price '!E19</f>
        <v>450.73098119337016</v>
      </c>
      <c r="F45" s="40">
        <f>'Data (64)'!AN51/'Bz Price '!F19</f>
        <v>421.95</v>
      </c>
      <c r="G45" s="40">
        <f>'Data (64)'!AO51/'Bz Price '!G19</f>
        <v>429.95</v>
      </c>
      <c r="H45" s="40">
        <f>'Data (64)'!AQ51/'Bz Price '!H19</f>
        <v>420.95</v>
      </c>
      <c r="I45" s="40">
        <f>'Data (64)'!AR51/'Bz Price '!I19</f>
        <v>0</v>
      </c>
      <c r="J45" s="40">
        <f>'Data (64)'!AS51/'Bz Price '!J19</f>
        <v>416.95</v>
      </c>
      <c r="K45" s="40">
        <f>'Data (64)'!AU51/'Bz Price '!K19</f>
        <v>0</v>
      </c>
      <c r="L45" s="40">
        <f>'Data (64)'!AV51/'Bz Price '!L19</f>
        <v>436.435</v>
      </c>
      <c r="M45" s="40">
        <f>'Data (64)'!AW51/'Bz Price '!M19</f>
        <v>439.95</v>
      </c>
      <c r="N45" s="40">
        <f>'Data (64)'!AY51/'Bz Price '!N19</f>
        <v>443.95</v>
      </c>
      <c r="O45" s="40">
        <f>'Data (64)'!AZ51/'Bz Price '!O19</f>
        <v>452.435</v>
      </c>
      <c r="P45" s="40">
        <f>'Data (64)'!BA51/'Bz Price '!P19</f>
        <v>447.95</v>
      </c>
    </row>
    <row r="46" spans="2:16">
      <c r="B46" s="32" t="s">
        <v>34</v>
      </c>
      <c r="C46" s="36" t="s">
        <v>47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2:16">
      <c r="B47" s="28" t="s">
        <v>25</v>
      </c>
      <c r="C47" s="36" t="s">
        <v>48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2:16">
      <c r="B48" s="32" t="s">
        <v>34</v>
      </c>
      <c r="C48" s="36" t="s">
        <v>49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2:16">
      <c r="B49" s="36" t="s">
        <v>25</v>
      </c>
      <c r="C49" s="35" t="s">
        <v>189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2:16">
      <c r="B50" s="36"/>
      <c r="C50" s="33" t="s">
        <v>35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2:16">
      <c r="B51" s="36"/>
      <c r="C51" s="33" t="s">
        <v>36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2:16">
      <c r="B52" s="28"/>
      <c r="C52" s="34" t="s">
        <v>37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2:16" ht="23.5">
      <c r="B53" s="25" t="s">
        <v>50</v>
      </c>
    </row>
    <row r="54" spans="2:16">
      <c r="B54" s="26" t="s">
        <v>23</v>
      </c>
      <c r="C54" s="26" t="s">
        <v>22</v>
      </c>
      <c r="D54" s="43">
        <v>242492</v>
      </c>
      <c r="E54" s="43">
        <v>23377</v>
      </c>
      <c r="F54" s="43">
        <v>23408</v>
      </c>
      <c r="G54" s="43">
        <v>23437</v>
      </c>
      <c r="H54" s="43">
        <v>23468</v>
      </c>
      <c r="I54" s="43">
        <v>23498</v>
      </c>
      <c r="J54" s="43">
        <v>23529</v>
      </c>
      <c r="K54" s="43">
        <v>23559</v>
      </c>
      <c r="L54" s="43">
        <v>23590</v>
      </c>
      <c r="M54" s="43">
        <v>23621</v>
      </c>
      <c r="N54" s="43">
        <v>23651</v>
      </c>
      <c r="O54" s="43">
        <v>23682</v>
      </c>
      <c r="P54" s="43">
        <v>23712</v>
      </c>
    </row>
    <row r="55" spans="2:16">
      <c r="B55" s="28" t="s">
        <v>25</v>
      </c>
      <c r="C55" s="37" t="s">
        <v>51</v>
      </c>
      <c r="D55" s="28"/>
      <c r="E55" s="40">
        <f>'Data (64)'!AM25*1000/'Bz Price '!E19</f>
        <v>437.8</v>
      </c>
      <c r="F55" s="40">
        <f>'Data (64)'!AN25*1000/'Bz Price '!F19</f>
        <v>426.8</v>
      </c>
      <c r="G55" s="40">
        <f>'Data (64)'!AO25*1000/'Bz Price '!G19</f>
        <v>434.8</v>
      </c>
      <c r="H55" s="40">
        <f>'Data (64)'!AQ25*1000/'Bz Price '!H19</f>
        <v>425.8</v>
      </c>
      <c r="I55" s="40">
        <f>'Data (64)'!AR25*1000/'Bz Price '!I19</f>
        <v>413.8</v>
      </c>
      <c r="J55" s="40">
        <f>'Data (64)'!AS25*1000/'Bz Price '!J19</f>
        <v>421.8</v>
      </c>
      <c r="K55" s="40">
        <f>'Data (64)'!AU25*1000/'Bz Price '!K19</f>
        <v>427.8</v>
      </c>
      <c r="L55" s="40">
        <f>'Data (64)'!AV25*1000/'Bz Price '!L19</f>
        <v>440.8</v>
      </c>
      <c r="M55" s="40">
        <f>'Data (64)'!AW25*1000/'Bz Price '!M19</f>
        <v>444.8</v>
      </c>
      <c r="N55" s="40">
        <f>'Data (64)'!AY25*1000/'Bz Price '!N19</f>
        <v>448.8</v>
      </c>
      <c r="O55" s="40">
        <f>'Data (64)'!AZ25*1000/'Bz Price '!O19</f>
        <v>456.8</v>
      </c>
      <c r="P55" s="40">
        <f>'Data (64)'!BA25*1000/'Bz Price '!P19</f>
        <v>452.8</v>
      </c>
    </row>
    <row r="56" spans="2:16">
      <c r="B56" s="28" t="s">
        <v>25</v>
      </c>
      <c r="C56" s="37" t="s">
        <v>52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2:16">
      <c r="B57" s="32" t="s">
        <v>34</v>
      </c>
      <c r="C57" s="37" t="s">
        <v>53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2:16">
      <c r="B58" s="28" t="s">
        <v>25</v>
      </c>
      <c r="C58" s="37" t="s">
        <v>54</v>
      </c>
      <c r="D58" s="28"/>
      <c r="E58" s="40">
        <f>E55</f>
        <v>437.8</v>
      </c>
      <c r="F58" s="40">
        <f t="shared" ref="F58:P58" si="0">F55</f>
        <v>426.8</v>
      </c>
      <c r="G58" s="40">
        <f t="shared" si="0"/>
        <v>434.8</v>
      </c>
      <c r="H58" s="40">
        <f t="shared" si="0"/>
        <v>425.8</v>
      </c>
      <c r="I58" s="40">
        <f t="shared" si="0"/>
        <v>413.8</v>
      </c>
      <c r="J58" s="40">
        <f t="shared" si="0"/>
        <v>421.8</v>
      </c>
      <c r="K58" s="40">
        <f t="shared" si="0"/>
        <v>427.8</v>
      </c>
      <c r="L58" s="40">
        <f t="shared" si="0"/>
        <v>440.8</v>
      </c>
      <c r="M58" s="40">
        <f t="shared" si="0"/>
        <v>444.8</v>
      </c>
      <c r="N58" s="40">
        <f t="shared" si="0"/>
        <v>448.8</v>
      </c>
      <c r="O58" s="40">
        <f t="shared" si="0"/>
        <v>456.8</v>
      </c>
      <c r="P58" s="40">
        <f t="shared" si="0"/>
        <v>452.8</v>
      </c>
    </row>
    <row r="59" spans="2:16">
      <c r="B59" s="28" t="s">
        <v>25</v>
      </c>
      <c r="C59" s="37" t="s">
        <v>55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2:16">
      <c r="B60" s="32" t="s">
        <v>34</v>
      </c>
      <c r="C60" s="37" t="s">
        <v>56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2:16">
      <c r="B61" s="28" t="s">
        <v>25</v>
      </c>
      <c r="C61" s="28" t="s">
        <v>57</v>
      </c>
      <c r="D61" s="28"/>
      <c r="E61" s="40">
        <f>'Data (64)'!AM29*1000/'Bz Price '!E19</f>
        <v>317.34999999999997</v>
      </c>
      <c r="F61" s="40">
        <f>'Data (64)'!AN29*1000/F19</f>
        <v>316.45</v>
      </c>
      <c r="G61" s="40">
        <f>'Data (64)'!AO29*1000/G19</f>
        <v>324.32499999999999</v>
      </c>
      <c r="H61" s="40">
        <f>'Data (64)'!AQ29*1000/31</f>
        <v>318.7</v>
      </c>
      <c r="I61" s="40">
        <f>'Data (64)'!AR29*1000/29</f>
        <v>340.67931034482757</v>
      </c>
      <c r="J61" s="40">
        <f>'Data (64)'!AS29*1000/31</f>
        <v>326.125</v>
      </c>
      <c r="K61" s="40">
        <f>'Data (64)'!AU29*1000/31</f>
        <v>337.375</v>
      </c>
      <c r="L61" s="40">
        <f>'Data (64)'!AV29*1000/31</f>
        <v>337.15000000000003</v>
      </c>
      <c r="M61" s="40">
        <f>'Data (64)'!AW29*1000/31</f>
        <v>344.125</v>
      </c>
      <c r="N61" s="40">
        <f>'Data (64)'!AY29*1000/31</f>
        <v>352</v>
      </c>
      <c r="O61" s="40">
        <f>'Data (64)'!AZ29*1000/31</f>
        <v>362.125</v>
      </c>
      <c r="P61" s="40">
        <f>'Data (64)'!BA29*1000/31</f>
        <v>358.07499999999999</v>
      </c>
    </row>
    <row r="62" spans="2:16">
      <c r="B62" s="28" t="s">
        <v>25</v>
      </c>
      <c r="C62" s="28" t="s">
        <v>58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2:16">
      <c r="B63" s="28" t="s">
        <v>25</v>
      </c>
      <c r="C63" s="28" t="s">
        <v>59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2:16">
      <c r="B64" s="32" t="s">
        <v>34</v>
      </c>
      <c r="C64" s="28" t="s">
        <v>60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2:16">
      <c r="B65" s="28" t="s">
        <v>25</v>
      </c>
      <c r="C65" s="28" t="s">
        <v>61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2:16">
      <c r="B66" s="32" t="s">
        <v>25</v>
      </c>
      <c r="C66" s="28" t="s">
        <v>62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2:16">
      <c r="B67" s="28" t="s">
        <v>25</v>
      </c>
      <c r="C67" s="28" t="s">
        <v>63</v>
      </c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2:16">
      <c r="B68" s="32" t="s">
        <v>34</v>
      </c>
      <c r="C68" s="28" t="s">
        <v>64</v>
      </c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2:16">
      <c r="B69" s="32"/>
      <c r="C69" s="33" t="s">
        <v>35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2:16">
      <c r="B70" s="32"/>
      <c r="C70" s="33" t="s">
        <v>36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2:16">
      <c r="B71" s="28"/>
      <c r="C71" s="33" t="s">
        <v>37</v>
      </c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2:16" ht="23.5">
      <c r="B72" s="25" t="s">
        <v>65</v>
      </c>
    </row>
    <row r="73" spans="2:16">
      <c r="B73" s="26" t="s">
        <v>23</v>
      </c>
      <c r="C73" s="26" t="s">
        <v>22</v>
      </c>
      <c r="D73" s="43">
        <v>242492</v>
      </c>
      <c r="E73" s="43">
        <v>23377</v>
      </c>
      <c r="F73" s="43">
        <v>23408</v>
      </c>
      <c r="G73" s="43">
        <v>23437</v>
      </c>
      <c r="H73" s="43">
        <v>23468</v>
      </c>
      <c r="I73" s="43">
        <v>23498</v>
      </c>
      <c r="J73" s="43">
        <v>23529</v>
      </c>
      <c r="K73" s="43">
        <v>23559</v>
      </c>
      <c r="L73" s="43">
        <v>23590</v>
      </c>
      <c r="M73" s="43">
        <v>23621</v>
      </c>
      <c r="N73" s="43">
        <v>23651</v>
      </c>
      <c r="O73" s="43">
        <v>23682</v>
      </c>
      <c r="P73" s="43">
        <v>23712</v>
      </c>
    </row>
    <row r="74" spans="2:16">
      <c r="B74" s="28" t="s">
        <v>25</v>
      </c>
      <c r="C74" s="35" t="s">
        <v>87</v>
      </c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2:16">
      <c r="B75" s="28" t="s">
        <v>25</v>
      </c>
      <c r="C75" s="35" t="s">
        <v>88</v>
      </c>
      <c r="D75" s="28"/>
      <c r="E75" s="40">
        <f>'Data (64)'!AM30*1000/31</f>
        <v>448.81672416656471</v>
      </c>
      <c r="F75" s="40">
        <f>'Data (64)'!AN30*1000/31</f>
        <v>448.81672416656471</v>
      </c>
      <c r="G75" s="40">
        <f>'Data (64)'!AO30*1000/31</f>
        <v>448.81672416656471</v>
      </c>
      <c r="H75" s="40">
        <f>'Data (64)'!AQ30*1000/31</f>
        <v>448.81672416656471</v>
      </c>
      <c r="I75" s="40">
        <f>'Data (64)'!AR30*1000/29</f>
        <v>479.76960169529332</v>
      </c>
      <c r="J75" s="40">
        <f>'Data (64)'!AS30*1000/31</f>
        <v>448.81672416656471</v>
      </c>
      <c r="K75" s="40">
        <f>'Data (64)'!AU30*1000/31</f>
        <v>448.81672416656471</v>
      </c>
      <c r="L75" s="40">
        <f>'Data (64)'!AV30*1000/31</f>
        <v>448.81672416656471</v>
      </c>
      <c r="M75" s="40">
        <f>'Data (64)'!AW30*1000/31</f>
        <v>448.81672416656471</v>
      </c>
      <c r="N75" s="40">
        <f>'Data (64)'!AY30*1000/31</f>
        <v>448.81672416656471</v>
      </c>
      <c r="O75" s="40">
        <f>'Data (64)'!AZ30*1000/31</f>
        <v>448.81672416656471</v>
      </c>
      <c r="P75" s="40">
        <f>'Data (64)'!BA30*1000/31</f>
        <v>448.81672416656471</v>
      </c>
    </row>
    <row r="76" spans="2:16">
      <c r="B76" s="28" t="s">
        <v>25</v>
      </c>
      <c r="C76" s="35" t="s">
        <v>89</v>
      </c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2:16">
      <c r="B77" s="28" t="s">
        <v>25</v>
      </c>
      <c r="C77" s="35" t="s">
        <v>90</v>
      </c>
      <c r="D77" s="28"/>
      <c r="E77" s="40">
        <f>'Data (64)'!AM27*1000/31</f>
        <v>453.04841266509703</v>
      </c>
      <c r="F77" s="40">
        <f>'Data (64)'!AN27*1000/31</f>
        <v>453.04841266509698</v>
      </c>
      <c r="G77" s="40">
        <f>'Data (64)'!AO27*1000/31</f>
        <v>453.04841266509703</v>
      </c>
      <c r="H77" s="40">
        <f>'Data (64)'!AQ27*1000/31</f>
        <v>453.04841266509703</v>
      </c>
      <c r="I77" s="40">
        <f>'Data (64)'!AR27*1000/29</f>
        <v>484.29313077993129</v>
      </c>
      <c r="J77" s="40">
        <f>'Data (64)'!AS27*1000/31</f>
        <v>453.04841266509698</v>
      </c>
      <c r="K77" s="40">
        <f>'Data (64)'!AU27*1000/31</f>
        <v>453.04841266509703</v>
      </c>
      <c r="L77" s="40">
        <f>'Data (64)'!AV27*1000/31</f>
        <v>453.04841266509703</v>
      </c>
      <c r="M77" s="40">
        <f>'Data (64)'!AW27*1000/31</f>
        <v>453.04841266509703</v>
      </c>
      <c r="N77" s="40">
        <f>'Data (64)'!AY27*1000/31</f>
        <v>453.04841266509703</v>
      </c>
      <c r="O77" s="40">
        <f>'Data (64)'!AZ27*1000/31</f>
        <v>453.04841266509698</v>
      </c>
      <c r="P77" s="40">
        <f>'Data (64)'!BA27*1000/31</f>
        <v>453.04841266509703</v>
      </c>
    </row>
    <row r="78" spans="2:16">
      <c r="B78" s="28" t="s">
        <v>76</v>
      </c>
      <c r="C78" s="35" t="s">
        <v>91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2:16">
      <c r="B79" s="28" t="s">
        <v>25</v>
      </c>
      <c r="C79" s="35" t="s">
        <v>92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2:16">
      <c r="B80" s="28" t="s">
        <v>25</v>
      </c>
      <c r="C80" s="35" t="s">
        <v>93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2:16">
      <c r="B81" s="28" t="s">
        <v>25</v>
      </c>
      <c r="C81" s="35" t="s">
        <v>94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2:16">
      <c r="B82" s="28" t="s">
        <v>25</v>
      </c>
      <c r="C82" s="35" t="s">
        <v>95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2:16">
      <c r="B83" s="28" t="s">
        <v>25</v>
      </c>
      <c r="C83" s="35" t="s">
        <v>96</v>
      </c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2:16">
      <c r="B84" s="28" t="s">
        <v>25</v>
      </c>
      <c r="C84" s="35" t="s">
        <v>97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2:16">
      <c r="B85" s="28" t="s">
        <v>25</v>
      </c>
      <c r="C85" s="35" t="s">
        <v>98</v>
      </c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2:16">
      <c r="B86" s="28" t="s">
        <v>25</v>
      </c>
      <c r="C86" s="35" t="s">
        <v>99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2:16">
      <c r="B87" s="28" t="s">
        <v>25</v>
      </c>
      <c r="C87" s="35" t="s">
        <v>100</v>
      </c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2:16">
      <c r="B88" s="28" t="s">
        <v>25</v>
      </c>
      <c r="C88" s="35" t="s">
        <v>101</v>
      </c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2:16">
      <c r="B89" s="28" t="s">
        <v>25</v>
      </c>
      <c r="C89" s="35" t="s">
        <v>102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2:16">
      <c r="B90" s="28" t="s">
        <v>25</v>
      </c>
      <c r="C90" s="35" t="s">
        <v>103</v>
      </c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2:16">
      <c r="B91" s="28" t="s">
        <v>25</v>
      </c>
      <c r="C91" s="35" t="s">
        <v>104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2:16">
      <c r="B92" s="28" t="s">
        <v>25</v>
      </c>
      <c r="C92" s="38" t="s">
        <v>105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2:16">
      <c r="B93" s="28" t="s">
        <v>25</v>
      </c>
      <c r="C93" s="38" t="s">
        <v>106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2:16">
      <c r="B94" s="28" t="s">
        <v>25</v>
      </c>
      <c r="C94" s="38" t="s">
        <v>107</v>
      </c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2:16">
      <c r="B95" s="28" t="s">
        <v>25</v>
      </c>
      <c r="C95" s="38" t="s">
        <v>108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2:16">
      <c r="B96" s="28" t="s">
        <v>25</v>
      </c>
      <c r="C96" s="38" t="s">
        <v>109</v>
      </c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2:16">
      <c r="B97" s="28" t="s">
        <v>25</v>
      </c>
      <c r="C97" s="38" t="s">
        <v>110</v>
      </c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2:16">
      <c r="B98" s="28" t="s">
        <v>25</v>
      </c>
      <c r="C98" s="38" t="s">
        <v>111</v>
      </c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2:16">
      <c r="B99" s="28" t="s">
        <v>25</v>
      </c>
      <c r="C99" s="38" t="s">
        <v>112</v>
      </c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2:16">
      <c r="B100" s="28" t="s">
        <v>25</v>
      </c>
      <c r="C100" s="28" t="s">
        <v>113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2:16">
      <c r="B101" s="28" t="s">
        <v>25</v>
      </c>
      <c r="C101" s="28" t="s">
        <v>114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2:16">
      <c r="B102" s="28"/>
      <c r="C102" s="34" t="s">
        <v>37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2:16" ht="23.5">
      <c r="B103" s="39" t="s">
        <v>66</v>
      </c>
    </row>
    <row r="104" spans="2:16">
      <c r="B104" s="26" t="s">
        <v>23</v>
      </c>
      <c r="C104" s="26" t="s">
        <v>22</v>
      </c>
      <c r="D104" s="43">
        <v>242492</v>
      </c>
      <c r="E104" s="43">
        <v>23377</v>
      </c>
      <c r="F104" s="43">
        <v>23408</v>
      </c>
      <c r="G104" s="43">
        <v>23437</v>
      </c>
      <c r="H104" s="43">
        <v>23468</v>
      </c>
      <c r="I104" s="43">
        <v>23498</v>
      </c>
      <c r="J104" s="43">
        <v>23529</v>
      </c>
      <c r="K104" s="43">
        <v>23559</v>
      </c>
      <c r="L104" s="43">
        <v>23590</v>
      </c>
      <c r="M104" s="43">
        <v>23621</v>
      </c>
      <c r="N104" s="43">
        <v>23651</v>
      </c>
      <c r="O104" s="43">
        <v>23682</v>
      </c>
      <c r="P104" s="43">
        <v>23712</v>
      </c>
    </row>
    <row r="105" spans="2:16">
      <c r="B105" s="28" t="s">
        <v>131</v>
      </c>
      <c r="C105" s="28" t="s">
        <v>115</v>
      </c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2:16">
      <c r="B106" s="28" t="s">
        <v>134</v>
      </c>
      <c r="C106" s="28" t="s">
        <v>116</v>
      </c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2:16">
      <c r="B107" s="28" t="s">
        <v>134</v>
      </c>
      <c r="C107" s="28" t="s">
        <v>97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2:16">
      <c r="B108" s="28" t="s">
        <v>134</v>
      </c>
      <c r="C108" s="28" t="s">
        <v>100</v>
      </c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2:16">
      <c r="B109" s="28" t="s">
        <v>134</v>
      </c>
      <c r="C109" s="28" t="s">
        <v>101</v>
      </c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2:16">
      <c r="B110" s="28" t="s">
        <v>132</v>
      </c>
      <c r="C110" s="28" t="s">
        <v>120</v>
      </c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2:16">
      <c r="B111" s="28" t="s">
        <v>133</v>
      </c>
      <c r="C111" s="28" t="s">
        <v>121</v>
      </c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2:16">
      <c r="B112" s="28" t="s">
        <v>134</v>
      </c>
      <c r="C112" s="28" t="s">
        <v>122</v>
      </c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2:16">
      <c r="B113" s="28" t="s">
        <v>134</v>
      </c>
      <c r="C113" s="28" t="s">
        <v>123</v>
      </c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2:16">
      <c r="B114" s="28" t="s">
        <v>134</v>
      </c>
      <c r="C114" s="40" t="s">
        <v>124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2:16">
      <c r="B115" s="28" t="s">
        <v>134</v>
      </c>
      <c r="C115" s="40" t="s">
        <v>125</v>
      </c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2:16">
      <c r="B116" s="28" t="s">
        <v>134</v>
      </c>
      <c r="C116" s="40" t="s">
        <v>126</v>
      </c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2:16">
      <c r="B117" s="28" t="s">
        <v>134</v>
      </c>
      <c r="C117" s="40" t="s">
        <v>127</v>
      </c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2:16">
      <c r="B118" s="28" t="s">
        <v>134</v>
      </c>
      <c r="C118" s="28" t="s">
        <v>128</v>
      </c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2:16">
      <c r="B119" s="28" t="s">
        <v>134</v>
      </c>
      <c r="C119" s="28" t="s">
        <v>129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2:16">
      <c r="B120" s="28" t="s">
        <v>132</v>
      </c>
      <c r="C120" s="28" t="s">
        <v>130</v>
      </c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2:16">
      <c r="B121" s="28"/>
      <c r="C121" s="34" t="s">
        <v>37</v>
      </c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2:16" ht="23.5">
      <c r="B122" s="25" t="s">
        <v>67</v>
      </c>
    </row>
    <row r="123" spans="2:16">
      <c r="B123" s="26" t="s">
        <v>23</v>
      </c>
      <c r="C123" s="26" t="s">
        <v>22</v>
      </c>
      <c r="D123" s="43">
        <v>242492</v>
      </c>
      <c r="E123" s="43">
        <v>23377</v>
      </c>
      <c r="F123" s="43">
        <v>23408</v>
      </c>
      <c r="G123" s="43">
        <v>23437</v>
      </c>
      <c r="H123" s="43">
        <v>23468</v>
      </c>
      <c r="I123" s="43">
        <v>23498</v>
      </c>
      <c r="J123" s="43">
        <v>23529</v>
      </c>
      <c r="K123" s="43">
        <v>23559</v>
      </c>
      <c r="L123" s="43">
        <v>23590</v>
      </c>
      <c r="M123" s="43">
        <v>23621</v>
      </c>
      <c r="N123" s="43">
        <v>23651</v>
      </c>
      <c r="O123" s="43">
        <v>23682</v>
      </c>
      <c r="P123" s="43">
        <v>23712</v>
      </c>
    </row>
    <row r="124" spans="2:16">
      <c r="B124" s="41" t="s">
        <v>34</v>
      </c>
      <c r="C124" s="28" t="s">
        <v>68</v>
      </c>
      <c r="D124" s="28"/>
      <c r="E124" s="40">
        <f t="shared" ref="E124:P124" si="1">E75</f>
        <v>448.81672416656471</v>
      </c>
      <c r="F124" s="40">
        <f t="shared" si="1"/>
        <v>448.81672416656471</v>
      </c>
      <c r="G124" s="40">
        <f t="shared" si="1"/>
        <v>448.81672416656471</v>
      </c>
      <c r="H124" s="40">
        <f t="shared" si="1"/>
        <v>448.81672416656471</v>
      </c>
      <c r="I124" s="40">
        <f t="shared" si="1"/>
        <v>479.76960169529332</v>
      </c>
      <c r="J124" s="40">
        <f t="shared" si="1"/>
        <v>448.81672416656471</v>
      </c>
      <c r="K124" s="40">
        <f t="shared" si="1"/>
        <v>448.81672416656471</v>
      </c>
      <c r="L124" s="40">
        <f t="shared" si="1"/>
        <v>448.81672416656471</v>
      </c>
      <c r="M124" s="40">
        <f t="shared" si="1"/>
        <v>448.81672416656471</v>
      </c>
      <c r="N124" s="40">
        <f t="shared" si="1"/>
        <v>448.81672416656471</v>
      </c>
      <c r="O124" s="40">
        <f t="shared" si="1"/>
        <v>448.81672416656471</v>
      </c>
      <c r="P124" s="40">
        <f t="shared" si="1"/>
        <v>448.81672416656471</v>
      </c>
    </row>
    <row r="125" spans="2:16">
      <c r="B125" s="45" t="s">
        <v>69</v>
      </c>
      <c r="C125" s="46" t="s">
        <v>68</v>
      </c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2:16">
      <c r="B126" s="45" t="s">
        <v>69</v>
      </c>
      <c r="C126" s="46" t="s">
        <v>70</v>
      </c>
      <c r="D126" s="28"/>
      <c r="E126" s="40">
        <f>'Data (64)'!AM31*1000/31</f>
        <v>392.90909090909093</v>
      </c>
      <c r="F126" s="40">
        <f>'Data (64)'!AN31*1000/31</f>
        <v>381.90909090909093</v>
      </c>
      <c r="G126" s="40">
        <f>'Data (64)'!AO31*1000/31</f>
        <v>389.90909090909093</v>
      </c>
      <c r="H126" s="40">
        <f>'Data (64)'!AQ31*1000/31</f>
        <v>380.90909090909093</v>
      </c>
      <c r="I126" s="40">
        <f>'Data (64)'!AR31*1000/29</f>
        <v>394.35109717868346</v>
      </c>
      <c r="J126" s="40">
        <f>'Data (64)'!AS31*1000/31</f>
        <v>376.90909090909093</v>
      </c>
      <c r="K126" s="40">
        <f>'Data (64)'!AU31*1000/31</f>
        <v>382.90909090909093</v>
      </c>
      <c r="L126" s="40">
        <f>'Data (64)'!AV31*1000/31</f>
        <v>395.90909090909093</v>
      </c>
      <c r="M126" s="40">
        <f>'Data (64)'!AW31*1000/31</f>
        <v>399.90909090909093</v>
      </c>
      <c r="N126" s="40">
        <f>'Data (64)'!AY31*1000/31</f>
        <v>403.90909090909093</v>
      </c>
      <c r="O126" s="40">
        <f>'Data (64)'!AZ31*1000/31</f>
        <v>411.90909090909093</v>
      </c>
      <c r="P126" s="40">
        <f>'Data (64)'!BA31*1000/31</f>
        <v>407.90909090909093</v>
      </c>
    </row>
    <row r="127" spans="2:16">
      <c r="B127" s="28"/>
      <c r="C127" s="34" t="s">
        <v>37</v>
      </c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2:16" ht="23.5">
      <c r="B128" s="25" t="s">
        <v>187</v>
      </c>
    </row>
    <row r="129" spans="2:16">
      <c r="B129" s="26" t="s">
        <v>23</v>
      </c>
      <c r="C129" s="26" t="s">
        <v>22</v>
      </c>
      <c r="D129" s="43">
        <v>242492</v>
      </c>
      <c r="E129" s="43">
        <v>23377</v>
      </c>
      <c r="F129" s="43">
        <v>23408</v>
      </c>
      <c r="G129" s="43">
        <v>23437</v>
      </c>
      <c r="H129" s="43">
        <v>23468</v>
      </c>
      <c r="I129" s="43">
        <v>23498</v>
      </c>
      <c r="J129" s="43">
        <v>23529</v>
      </c>
      <c r="K129" s="43">
        <v>23559</v>
      </c>
      <c r="L129" s="43">
        <v>23590</v>
      </c>
      <c r="M129" s="43">
        <v>23621</v>
      </c>
      <c r="N129" s="43">
        <v>23651</v>
      </c>
      <c r="O129" s="43">
        <v>23682</v>
      </c>
      <c r="P129" s="43">
        <v>23712</v>
      </c>
    </row>
    <row r="130" spans="2:16">
      <c r="B130" s="130" t="s">
        <v>25</v>
      </c>
      <c r="C130" s="130" t="s">
        <v>72</v>
      </c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</row>
    <row r="131" spans="2:16" s="131" customFormat="1">
      <c r="B131" s="130" t="s">
        <v>25</v>
      </c>
      <c r="C131" s="130" t="s">
        <v>73</v>
      </c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</row>
    <row r="132" spans="2:16" s="131" customFormat="1">
      <c r="B132" s="130" t="s">
        <v>25</v>
      </c>
      <c r="C132" s="130" t="s">
        <v>74</v>
      </c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</row>
    <row r="133" spans="2:16" s="131" customFormat="1">
      <c r="B133" s="130" t="s">
        <v>76</v>
      </c>
      <c r="C133" s="130" t="s">
        <v>75</v>
      </c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</row>
    <row r="134" spans="2:16" s="131" customFormat="1">
      <c r="B134" s="130" t="s">
        <v>25</v>
      </c>
      <c r="C134" s="130" t="s">
        <v>77</v>
      </c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</row>
    <row r="135" spans="2:16" s="131" customFormat="1">
      <c r="B135" s="130" t="s">
        <v>25</v>
      </c>
      <c r="C135" s="130" t="s">
        <v>78</v>
      </c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</row>
    <row r="136" spans="2:16" s="131" customFormat="1">
      <c r="B136" s="130"/>
      <c r="C136" s="132" t="s">
        <v>35</v>
      </c>
      <c r="D136" s="130" t="e">
        <f>[12]Revenue!C136/[12]Delivery!C136</f>
        <v>#DIV/0!</v>
      </c>
      <c r="E136" s="130" t="e">
        <f>[12]Revenue!D136/[12]Delivery!D136</f>
        <v>#DIV/0!</v>
      </c>
      <c r="F136" s="130" t="e">
        <f>[12]Revenue!E136/[12]Delivery!E136</f>
        <v>#DIV/0!</v>
      </c>
      <c r="G136" s="130" t="e">
        <f>[12]Revenue!F136/[12]Delivery!F136</f>
        <v>#DIV/0!</v>
      </c>
      <c r="H136" s="130" t="e">
        <f>[12]Revenue!G136/[12]Delivery!G136</f>
        <v>#DIV/0!</v>
      </c>
      <c r="I136" s="130" t="e">
        <f>[12]Revenue!H136/[12]Delivery!H136</f>
        <v>#DIV/0!</v>
      </c>
      <c r="J136" s="130" t="e">
        <f>[12]Revenue!I136/[12]Delivery!I136</f>
        <v>#DIV/0!</v>
      </c>
      <c r="K136" s="130" t="e">
        <f>[12]Revenue!J136/[12]Delivery!J136</f>
        <v>#DIV/0!</v>
      </c>
      <c r="L136" s="130" t="e">
        <f>[12]Revenue!K136/[12]Delivery!K136</f>
        <v>#DIV/0!</v>
      </c>
      <c r="M136" s="130" t="e">
        <f>[12]Revenue!L136/[12]Delivery!L136</f>
        <v>#DIV/0!</v>
      </c>
      <c r="N136" s="130" t="e">
        <f>[12]Revenue!M136/[12]Delivery!M136</f>
        <v>#DIV/0!</v>
      </c>
      <c r="O136" s="130" t="e">
        <f>[12]Revenue!N136/[12]Delivery!N136</f>
        <v>#DIV/0!</v>
      </c>
      <c r="P136" s="130" t="e">
        <f>[12]Revenue!O136/[12]Delivery!O136</f>
        <v>#DIV/0!</v>
      </c>
    </row>
    <row r="137" spans="2:16" s="131" customFormat="1">
      <c r="B137" s="130"/>
      <c r="C137" s="132" t="s">
        <v>36</v>
      </c>
      <c r="D137" s="130" t="e">
        <f>[12]Revenue!C137/[12]Delivery!C137</f>
        <v>#DIV/0!</v>
      </c>
      <c r="E137" s="130" t="e">
        <f>[12]Revenue!D137/[12]Delivery!D137</f>
        <v>#DIV/0!</v>
      </c>
      <c r="F137" s="130" t="e">
        <f>[12]Revenue!E137/[12]Delivery!E137</f>
        <v>#DIV/0!</v>
      </c>
      <c r="G137" s="130" t="e">
        <f>[12]Revenue!F137/[12]Delivery!F137</f>
        <v>#DIV/0!</v>
      </c>
      <c r="H137" s="130" t="e">
        <f>[12]Revenue!G137/[12]Delivery!G137</f>
        <v>#DIV/0!</v>
      </c>
      <c r="I137" s="130" t="e">
        <f>[12]Revenue!H137/[12]Delivery!H137</f>
        <v>#DIV/0!</v>
      </c>
      <c r="J137" s="130" t="e">
        <f>[12]Revenue!I137/[12]Delivery!I137</f>
        <v>#DIV/0!</v>
      </c>
      <c r="K137" s="130" t="e">
        <f>[12]Revenue!J137/[12]Delivery!J137</f>
        <v>#DIV/0!</v>
      </c>
      <c r="L137" s="130" t="e">
        <f>[12]Revenue!K137/[12]Delivery!K137</f>
        <v>#DIV/0!</v>
      </c>
      <c r="M137" s="130" t="e">
        <f>[12]Revenue!L137/[12]Delivery!L137</f>
        <v>#DIV/0!</v>
      </c>
      <c r="N137" s="130" t="e">
        <f>[12]Revenue!M137/[12]Delivery!M137</f>
        <v>#DIV/0!</v>
      </c>
      <c r="O137" s="130" t="e">
        <f>[12]Revenue!N137/[12]Delivery!N137</f>
        <v>#DIV/0!</v>
      </c>
      <c r="P137" s="130" t="e">
        <f>[12]Revenue!O137/[12]Delivery!O137</f>
        <v>#DIV/0!</v>
      </c>
    </row>
    <row r="138" spans="2:16" s="131" customFormat="1">
      <c r="B138" s="130"/>
      <c r="C138" s="133" t="s">
        <v>37</v>
      </c>
      <c r="D138" s="130" t="e">
        <f>[12]Revenue!C138/[12]Delivery!C138</f>
        <v>#DIV/0!</v>
      </c>
      <c r="E138" s="130" t="e">
        <f>[12]Revenue!D138/[12]Delivery!D138</f>
        <v>#DIV/0!</v>
      </c>
      <c r="F138" s="130" t="e">
        <f>[12]Revenue!E138/[12]Delivery!E138</f>
        <v>#DIV/0!</v>
      </c>
      <c r="G138" s="130" t="e">
        <f>[12]Revenue!F138/[12]Delivery!F138</f>
        <v>#DIV/0!</v>
      </c>
      <c r="H138" s="130" t="e">
        <f>[12]Revenue!G138/[12]Delivery!G138</f>
        <v>#DIV/0!</v>
      </c>
      <c r="I138" s="130" t="e">
        <f>[12]Revenue!H138/[12]Delivery!H138</f>
        <v>#DIV/0!</v>
      </c>
      <c r="J138" s="130" t="e">
        <f>[12]Revenue!I138/[12]Delivery!I138</f>
        <v>#DIV/0!</v>
      </c>
      <c r="K138" s="130" t="e">
        <f>[12]Revenue!J138/[12]Delivery!J138</f>
        <v>#DIV/0!</v>
      </c>
      <c r="L138" s="130" t="e">
        <f>[12]Revenue!K138/[12]Delivery!K138</f>
        <v>#DIV/0!</v>
      </c>
      <c r="M138" s="130" t="e">
        <f>[12]Revenue!L138/[12]Delivery!L138</f>
        <v>#DIV/0!</v>
      </c>
      <c r="N138" s="130" t="e">
        <f>[12]Revenue!M138/[12]Delivery!M138</f>
        <v>#DIV/0!</v>
      </c>
      <c r="O138" s="130" t="e">
        <f>[12]Revenue!N138/[12]Delivery!N138</f>
        <v>#DIV/0!</v>
      </c>
      <c r="P138" s="130" t="e">
        <f>[12]Revenue!O138/[12]Delivery!O138</f>
        <v>#DIV/0!</v>
      </c>
    </row>
    <row r="139" spans="2:16" s="131" customFormat="1" ht="23.5">
      <c r="B139" s="25" t="s">
        <v>188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2:16">
      <c r="B140" s="26" t="s">
        <v>23</v>
      </c>
      <c r="C140" s="26" t="s">
        <v>22</v>
      </c>
      <c r="D140" s="43">
        <v>242492</v>
      </c>
      <c r="E140" s="43">
        <v>23377</v>
      </c>
      <c r="F140" s="43">
        <v>23408</v>
      </c>
      <c r="G140" s="43">
        <v>23437</v>
      </c>
      <c r="H140" s="43">
        <v>23468</v>
      </c>
      <c r="I140" s="43">
        <v>23498</v>
      </c>
      <c r="J140" s="43">
        <v>23529</v>
      </c>
      <c r="K140" s="43">
        <v>23559</v>
      </c>
      <c r="L140" s="43">
        <v>23590</v>
      </c>
      <c r="M140" s="43">
        <v>23621</v>
      </c>
      <c r="N140" s="43">
        <v>23651</v>
      </c>
      <c r="O140" s="43">
        <v>23682</v>
      </c>
      <c r="P140" s="43">
        <v>23712</v>
      </c>
    </row>
    <row r="141" spans="2:16">
      <c r="B141" s="28" t="s">
        <v>25</v>
      </c>
      <c r="C141" s="28" t="s">
        <v>72</v>
      </c>
      <c r="D141" s="28"/>
      <c r="E141" s="40">
        <f>'Data (64)'!AM8*9.7/31</f>
        <v>383.87251020597029</v>
      </c>
      <c r="F141" s="40">
        <f>'Data (64)'!AN8*9.7/31</f>
        <v>382.97479613767007</v>
      </c>
      <c r="G141" s="40">
        <f>'Data (64)'!AO8*9.7/31</f>
        <v>390.8297942352977</v>
      </c>
      <c r="H141" s="40">
        <f>'Data (64)'!AQ8*9.7/31</f>
        <v>385.21908130842087</v>
      </c>
      <c r="I141" s="40">
        <f>'Data (64)'!AR8*9.7/31</f>
        <v>385.21908130842087</v>
      </c>
      <c r="J141" s="40">
        <f>'Data (64)'!AS8*9.7/31</f>
        <v>392.6252223718983</v>
      </c>
      <c r="K141" s="40">
        <f>'Data (64)'!AU8*9.7/31</f>
        <v>403.84664822565207</v>
      </c>
      <c r="L141" s="40">
        <f>'Data (64)'!AV9*9.7/31</f>
        <v>426.08307300000001</v>
      </c>
      <c r="M141" s="40">
        <f>'Data (64)'!AW8*9.7/31</f>
        <v>410.57950373790453</v>
      </c>
      <c r="N141" s="40">
        <f>'Data (64)'!AY8*9.7/31</f>
        <v>418.43450183553216</v>
      </c>
      <c r="O141" s="40">
        <f>'Data (64)'!AZ8*9.7/31</f>
        <v>428.53378510391059</v>
      </c>
      <c r="P141" s="40">
        <f>'Data (64)'!BA8*9.7/31</f>
        <v>424.49407179655924</v>
      </c>
    </row>
    <row r="142" spans="2:16">
      <c r="B142" s="28" t="s">
        <v>25</v>
      </c>
      <c r="C142" s="28" t="s">
        <v>73</v>
      </c>
      <c r="D142" s="28"/>
      <c r="E142" s="40">
        <f>'Data (64)'!AM6*9.7/31</f>
        <v>384.37124024391488</v>
      </c>
      <c r="F142" s="40">
        <f>'Data (64)'!AN6*9.7/31</f>
        <v>383.47352617561455</v>
      </c>
      <c r="G142" s="40">
        <f>'Data (64)'!AO6*9.7/31</f>
        <v>391.32852427324224</v>
      </c>
      <c r="H142" s="40">
        <f>'Data (64)'!AQ6*9.7/31</f>
        <v>385.71781134636535</v>
      </c>
      <c r="I142" s="40">
        <f>'Data (64)'!AR6*9.7/31</f>
        <v>385.71781134636535</v>
      </c>
      <c r="J142" s="40">
        <f>'Data (64)'!AS6*9.7/31</f>
        <v>393.12395240984296</v>
      </c>
      <c r="K142" s="40">
        <f>'Data (64)'!AU6*9.7/31</f>
        <v>404.34537826359679</v>
      </c>
      <c r="L142" s="40">
        <f>'Data (64)'!AV6*9.7/31</f>
        <v>404.12094974652177</v>
      </c>
      <c r="M142" s="40">
        <f>'Data (64)'!AW6*9.7/31</f>
        <v>411.07823377584901</v>
      </c>
      <c r="N142" s="40">
        <f>'Data (64)'!AY6*9.7/31</f>
        <v>418.93323187347676</v>
      </c>
      <c r="O142" s="40">
        <f>'Data (64)'!AZ6*9.7/31</f>
        <v>429.03251514185524</v>
      </c>
      <c r="P142" s="40">
        <f>'Data (64)'!BA6*9.7/31</f>
        <v>424.99280183450384</v>
      </c>
    </row>
    <row r="143" spans="2:16">
      <c r="B143" s="28" t="s">
        <v>25</v>
      </c>
      <c r="C143" s="28" t="s">
        <v>74</v>
      </c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</row>
    <row r="144" spans="2:16">
      <c r="B144" s="28" t="s">
        <v>76</v>
      </c>
      <c r="C144" s="28" t="s">
        <v>77</v>
      </c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</row>
    <row r="145" spans="2:16">
      <c r="B145" s="28" t="s">
        <v>25</v>
      </c>
      <c r="C145" s="28" t="s">
        <v>78</v>
      </c>
      <c r="D145" s="28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</row>
    <row r="146" spans="2:16">
      <c r="B146" s="28" t="s">
        <v>25</v>
      </c>
      <c r="C146" s="28" t="s">
        <v>75</v>
      </c>
      <c r="D146" s="28"/>
      <c r="E146" s="40">
        <f>'Data (64)'!AM12*9.7/31</f>
        <v>331.25499999999988</v>
      </c>
      <c r="F146" s="40">
        <f>'Data (64)'!AN12*9.7/31</f>
        <v>330.28499999999997</v>
      </c>
      <c r="G146" s="40">
        <f>'Data (64)'!AO12*9.7/31</f>
        <v>338.77249999999992</v>
      </c>
      <c r="H146" s="40">
        <f>'Data (64)'!AQ12*9.7/31</f>
        <v>332.70999999999992</v>
      </c>
      <c r="I146" s="40">
        <f>'Data (64)'!AR12*9.7/31</f>
        <v>332.70999999999992</v>
      </c>
      <c r="J146" s="40">
        <f>'Data (64)'!AS12*9.7/31</f>
        <v>340.71249999999992</v>
      </c>
      <c r="K146" s="40">
        <f>'Data (64)'!AU12*9.7/31</f>
        <v>352.83749999999998</v>
      </c>
      <c r="L146" s="40">
        <f>'Data (64)'!AV12*9.7/31</f>
        <v>352.59499999999997</v>
      </c>
      <c r="M146" s="40">
        <f>'Data (64)'!AW12*9.7/31</f>
        <v>360.11249999999995</v>
      </c>
      <c r="N146" s="40">
        <f>'Data (64)'!AY12*9.7/31</f>
        <v>368.59999999999997</v>
      </c>
      <c r="O146" s="40">
        <f>'Data (64)'!AZ12*9.7/31</f>
        <v>379.51249999999999</v>
      </c>
      <c r="P146" s="40">
        <f>'Data (64)'!BA12*9.7/31</f>
        <v>377.34057325571359</v>
      </c>
    </row>
    <row r="147" spans="2:16">
      <c r="B147" s="28" t="s">
        <v>25</v>
      </c>
      <c r="C147" s="28" t="s">
        <v>531</v>
      </c>
      <c r="D147" s="28"/>
      <c r="E147" s="196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</row>
    <row r="148" spans="2:16">
      <c r="B148" s="28"/>
      <c r="C148" s="33" t="s">
        <v>35</v>
      </c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</row>
    <row r="149" spans="2:16">
      <c r="B149" s="28"/>
      <c r="C149" s="33" t="s">
        <v>36</v>
      </c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</row>
    <row r="150" spans="2:16">
      <c r="B150" s="28"/>
      <c r="C150" s="34" t="s">
        <v>37</v>
      </c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</row>
    <row r="151" spans="2:16" ht="23.5">
      <c r="B151" s="25" t="s">
        <v>79</v>
      </c>
    </row>
    <row r="152" spans="2:16">
      <c r="B152" s="26" t="s">
        <v>23</v>
      </c>
      <c r="C152" s="26" t="s">
        <v>22</v>
      </c>
      <c r="D152" s="43">
        <v>242492</v>
      </c>
      <c r="E152" s="43">
        <v>23377</v>
      </c>
      <c r="F152" s="43">
        <v>23408</v>
      </c>
      <c r="G152" s="43">
        <v>23437</v>
      </c>
      <c r="H152" s="43">
        <v>23468</v>
      </c>
      <c r="I152" s="43">
        <v>23498</v>
      </c>
      <c r="J152" s="43">
        <v>23529</v>
      </c>
      <c r="K152" s="43">
        <v>23559</v>
      </c>
      <c r="L152" s="43">
        <v>23590</v>
      </c>
      <c r="M152" s="43">
        <v>23621</v>
      </c>
      <c r="N152" s="43">
        <v>23651</v>
      </c>
      <c r="O152" s="43">
        <v>23682</v>
      </c>
      <c r="P152" s="43">
        <v>23712</v>
      </c>
    </row>
    <row r="153" spans="2:16">
      <c r="B153" s="28" t="s">
        <v>25</v>
      </c>
      <c r="C153" s="28" t="s">
        <v>80</v>
      </c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</row>
    <row r="154" spans="2:16">
      <c r="B154" s="28" t="s">
        <v>25</v>
      </c>
      <c r="C154" s="28" t="s">
        <v>81</v>
      </c>
      <c r="D154" s="28"/>
      <c r="E154" s="40">
        <f>'Data (64)'!AM190/31</f>
        <v>297.34999999999997</v>
      </c>
      <c r="F154" s="40">
        <f>'Data (64)'!AN190/31</f>
        <v>296.45</v>
      </c>
      <c r="G154" s="40">
        <f>'Data (64)'!AO190/31</f>
        <v>304.32499999999999</v>
      </c>
      <c r="H154" s="40">
        <f>'Data (64)'!AQ190/31</f>
        <v>298.7</v>
      </c>
      <c r="I154" s="40">
        <f>'Data (64)'!AR190/31</f>
        <v>298.7</v>
      </c>
      <c r="J154" s="40">
        <f>'Data (64)'!AS190/31</f>
        <v>306.125</v>
      </c>
      <c r="K154" s="40">
        <f>'Data (64)'!AU190/31</f>
        <v>317.375</v>
      </c>
      <c r="L154" s="40">
        <f>'Data (64)'!AV190/31</f>
        <v>317.15000000000003</v>
      </c>
      <c r="M154" s="40">
        <f>'Data (64)'!AW190/31</f>
        <v>324.125</v>
      </c>
      <c r="N154" s="40">
        <f>'Data (64)'!AY190/31</f>
        <v>332</v>
      </c>
      <c r="O154" s="40">
        <f>'Data (64)'!AZ190/31</f>
        <v>342.125</v>
      </c>
      <c r="P154" s="40">
        <f>'Data (64)'!BA190/31</f>
        <v>338.07499999999999</v>
      </c>
    </row>
    <row r="155" spans="2:16">
      <c r="B155" s="28" t="s">
        <v>25</v>
      </c>
      <c r="C155" s="28" t="s">
        <v>82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</row>
    <row r="156" spans="2:16">
      <c r="B156" s="28"/>
      <c r="C156" s="34" t="s">
        <v>37</v>
      </c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</row>
    <row r="157" spans="2:16" ht="23.5">
      <c r="B157" s="25" t="s">
        <v>83</v>
      </c>
    </row>
    <row r="158" spans="2:16">
      <c r="B158" s="26" t="s">
        <v>23</v>
      </c>
      <c r="C158" s="26" t="s">
        <v>22</v>
      </c>
      <c r="D158" s="43">
        <v>242492</v>
      </c>
      <c r="E158" s="43">
        <v>23377</v>
      </c>
      <c r="F158" s="43">
        <v>23408</v>
      </c>
      <c r="G158" s="43">
        <v>23437</v>
      </c>
      <c r="H158" s="43">
        <v>23468</v>
      </c>
      <c r="I158" s="43">
        <v>23498</v>
      </c>
      <c r="J158" s="43">
        <v>23529</v>
      </c>
      <c r="K158" s="43">
        <v>23559</v>
      </c>
      <c r="L158" s="43">
        <v>23590</v>
      </c>
      <c r="M158" s="43">
        <v>23621</v>
      </c>
      <c r="N158" s="43">
        <v>23651</v>
      </c>
      <c r="O158" s="43">
        <v>23682</v>
      </c>
      <c r="P158" s="43">
        <v>23712</v>
      </c>
    </row>
    <row r="159" spans="2:16">
      <c r="B159" s="28" t="s">
        <v>25</v>
      </c>
      <c r="C159" s="28" t="s">
        <v>84</v>
      </c>
      <c r="D159" s="28"/>
      <c r="E159" s="40">
        <f>'Data (64)'!AM78/31</f>
        <v>20.735714952695897</v>
      </c>
      <c r="F159" s="40">
        <f>'Data (64)'!AN78/31</f>
        <v>20.735714952695897</v>
      </c>
      <c r="G159" s="40">
        <f>'Data (64)'!AO78/31</f>
        <v>20.735714952695897</v>
      </c>
      <c r="H159" s="40">
        <f>'Data (64)'!AQ78/31</f>
        <v>20.735714952695897</v>
      </c>
      <c r="I159" s="40">
        <f>'Data (64)'!AR78/31</f>
        <v>20.735714952695897</v>
      </c>
      <c r="J159" s="40">
        <f>'Data (64)'!AS78/31</f>
        <v>20.735714952695897</v>
      </c>
      <c r="K159" s="40">
        <f>'Data (64)'!AU78/31</f>
        <v>20.735714952695897</v>
      </c>
      <c r="L159" s="40">
        <f>'Data (64)'!AV78/31</f>
        <v>20.735714952695897</v>
      </c>
      <c r="M159" s="40">
        <f>'Data (64)'!AW78/31</f>
        <v>20.735714952695897</v>
      </c>
      <c r="N159" s="40">
        <f>'Data (64)'!AY78/31</f>
        <v>20.735714952695897</v>
      </c>
      <c r="O159" s="40">
        <f>'Data (64)'!AZ78/31</f>
        <v>20.735714952695897</v>
      </c>
      <c r="P159" s="40">
        <f>'Data (64)'!BA78/31</f>
        <v>20.735714952695897</v>
      </c>
    </row>
    <row r="160" spans="2:16">
      <c r="B160" s="28" t="s">
        <v>25</v>
      </c>
      <c r="C160" s="28" t="s">
        <v>85</v>
      </c>
      <c r="D160" s="28"/>
      <c r="E160" s="40">
        <f>E159</f>
        <v>20.735714952695897</v>
      </c>
      <c r="F160" s="40">
        <f t="shared" ref="F160:P160" si="2">F159</f>
        <v>20.735714952695897</v>
      </c>
      <c r="G160" s="40">
        <f t="shared" si="2"/>
        <v>20.735714952695897</v>
      </c>
      <c r="H160" s="40">
        <f t="shared" si="2"/>
        <v>20.735714952695897</v>
      </c>
      <c r="I160" s="40">
        <f t="shared" si="2"/>
        <v>20.735714952695897</v>
      </c>
      <c r="J160" s="40">
        <f t="shared" si="2"/>
        <v>20.735714952695897</v>
      </c>
      <c r="K160" s="40">
        <f t="shared" si="2"/>
        <v>20.735714952695897</v>
      </c>
      <c r="L160" s="40">
        <f t="shared" si="2"/>
        <v>20.735714952695897</v>
      </c>
      <c r="M160" s="40">
        <f t="shared" si="2"/>
        <v>20.735714952695897</v>
      </c>
      <c r="N160" s="40">
        <f t="shared" si="2"/>
        <v>20.735714952695897</v>
      </c>
      <c r="O160" s="40">
        <f t="shared" si="2"/>
        <v>20.735714952695897</v>
      </c>
      <c r="P160" s="40">
        <f t="shared" si="2"/>
        <v>20.735714952695897</v>
      </c>
    </row>
    <row r="161" spans="2:16">
      <c r="B161" s="28"/>
      <c r="C161" s="34" t="s">
        <v>37</v>
      </c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</row>
    <row r="162" spans="2:16">
      <c r="C162" s="934" t="s">
        <v>526</v>
      </c>
      <c r="E162" s="910">
        <f>'Bz Revenue '!E11*10^6/'Bz Delivery '!E20/31</f>
        <v>415.62824472613659</v>
      </c>
      <c r="F162" s="910">
        <f>'Bz Revenue '!F11*10^6/'Bz Delivery '!F20/31</f>
        <v>413.35215272761883</v>
      </c>
      <c r="G162" s="910">
        <f>'Bz Revenue '!G11*10^6/'Bz Delivery '!G20/31</f>
        <v>413.91047938441068</v>
      </c>
      <c r="H162" s="910">
        <f>'Bz Revenue '!H11*10^6/'Bz Delivery '!H20/31</f>
        <v>412.21158420175669</v>
      </c>
      <c r="I162" s="910">
        <f>'Bz Revenue '!I11*10^6/'Bz Delivery '!I20/31</f>
        <v>410.0783525719836</v>
      </c>
      <c r="J162" s="910">
        <f>'Bz Revenue '!J11*10^6/'Bz Delivery '!J20/31</f>
        <v>412.26171178724189</v>
      </c>
      <c r="K162" s="910">
        <f>'Bz Revenue '!K11*10^6/'Bz Delivery '!K20/31</f>
        <v>418.8680597602953</v>
      </c>
      <c r="L162" s="910">
        <f>'Bz Revenue '!L11*10^6/'Bz Delivery '!L20/31</f>
        <v>417.50069081591602</v>
      </c>
      <c r="M162" s="910">
        <f>'Bz Revenue '!M11*10^6/'Bz Delivery '!M20/31</f>
        <v>418.79137710844952</v>
      </c>
      <c r="N162" s="910">
        <f>'Bz Revenue '!N11*10^6/'Bz Delivery '!N20/31</f>
        <v>426.14326781738237</v>
      </c>
      <c r="O162" s="910">
        <f>'Bz Revenue '!O11*10^6/'Bz Delivery '!O20/31</f>
        <v>420.10040486418757</v>
      </c>
      <c r="P162" s="910">
        <f>'Bz Revenue '!P11*10^6/'Bz Delivery '!P20/31</f>
        <v>420.40228545772766</v>
      </c>
    </row>
  </sheetData>
  <mergeCells count="3">
    <mergeCell ref="B1:B2"/>
    <mergeCell ref="C1:C2"/>
    <mergeCell ref="D1:P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>
    <tabColor theme="4"/>
  </sheetPr>
  <dimension ref="B1:AF143"/>
  <sheetViews>
    <sheetView topLeftCell="A58" zoomScale="85" zoomScaleNormal="85" workbookViewId="0">
      <selection activeCell="F40" sqref="F40"/>
    </sheetView>
  </sheetViews>
  <sheetFormatPr defaultRowHeight="14.5"/>
  <cols>
    <col min="1" max="1" width="35.453125" customWidth="1"/>
    <col min="2" max="2" width="20.1796875" customWidth="1"/>
    <col min="3" max="3" width="46.81640625" customWidth="1"/>
    <col min="4" max="4" width="17.453125" customWidth="1"/>
    <col min="5" max="16" width="18.6328125" customWidth="1"/>
    <col min="17" max="17" width="18.6328125" style="525" customWidth="1"/>
    <col min="19" max="20" width="18.36328125" customWidth="1"/>
  </cols>
  <sheetData>
    <row r="1" spans="2:32" ht="15" thickBot="1">
      <c r="S1" s="149" t="s">
        <v>221</v>
      </c>
    </row>
    <row r="2" spans="2:32" ht="20">
      <c r="B2" s="1385" t="s">
        <v>159</v>
      </c>
      <c r="C2" s="1386"/>
      <c r="D2" s="43">
        <v>242492</v>
      </c>
      <c r="E2" s="43">
        <v>23377</v>
      </c>
      <c r="F2" s="43">
        <v>23408</v>
      </c>
      <c r="G2" s="43">
        <v>23437</v>
      </c>
      <c r="H2" s="43">
        <v>23468</v>
      </c>
      <c r="I2" s="43">
        <v>23498</v>
      </c>
      <c r="J2" s="43">
        <v>23529</v>
      </c>
      <c r="K2" s="43">
        <v>23559</v>
      </c>
      <c r="L2" s="43">
        <v>23590</v>
      </c>
      <c r="M2" s="43">
        <v>23621</v>
      </c>
      <c r="N2" s="43">
        <v>23651</v>
      </c>
      <c r="O2" s="43">
        <v>23682</v>
      </c>
      <c r="P2" s="43">
        <v>23712</v>
      </c>
      <c r="Q2" s="526" t="s">
        <v>526</v>
      </c>
      <c r="S2" t="s">
        <v>212</v>
      </c>
      <c r="T2" t="s">
        <v>213</v>
      </c>
      <c r="U2" s="43">
        <v>23377</v>
      </c>
      <c r="V2" s="43">
        <v>23408</v>
      </c>
      <c r="W2" s="43">
        <v>23437</v>
      </c>
      <c r="X2" s="43">
        <v>23468</v>
      </c>
      <c r="Y2" s="43">
        <v>23498</v>
      </c>
      <c r="Z2" s="43">
        <v>23529</v>
      </c>
      <c r="AA2" s="43">
        <v>23559</v>
      </c>
      <c r="AB2" s="43">
        <v>23590</v>
      </c>
      <c r="AC2" s="43">
        <v>23621</v>
      </c>
      <c r="AD2" s="43">
        <v>23651</v>
      </c>
      <c r="AE2" s="43">
        <v>23682</v>
      </c>
      <c r="AF2" s="43">
        <v>23712</v>
      </c>
    </row>
    <row r="3" spans="2:32">
      <c r="B3" s="63" t="s">
        <v>160</v>
      </c>
      <c r="C3" s="64"/>
      <c r="D3" s="28"/>
      <c r="E3" s="28">
        <v>0.64800000000000002</v>
      </c>
      <c r="F3" s="28">
        <v>0.64800000000000002</v>
      </c>
      <c r="G3" s="28">
        <v>0.64800000000000002</v>
      </c>
      <c r="H3" s="28">
        <v>0.64800000000000002</v>
      </c>
      <c r="I3" s="28">
        <v>0.64800000000000002</v>
      </c>
      <c r="J3" s="28">
        <v>0.64800000000000002</v>
      </c>
      <c r="K3" s="28">
        <v>0.64800000000000002</v>
      </c>
      <c r="L3" s="28">
        <v>0.64800000000000002</v>
      </c>
      <c r="M3" s="28">
        <v>0.64800000000000002</v>
      </c>
      <c r="N3" s="28">
        <v>0.64800000000000002</v>
      </c>
      <c r="O3" s="28">
        <v>0.64800000000000002</v>
      </c>
      <c r="P3" s="28">
        <v>0.64800000000000002</v>
      </c>
      <c r="Q3" s="527">
        <f>AVERAGE(E3:P3)</f>
        <v>0.64799999999999991</v>
      </c>
      <c r="T3" t="s">
        <v>38</v>
      </c>
    </row>
    <row r="4" spans="2:32">
      <c r="B4" s="65" t="s">
        <v>161</v>
      </c>
      <c r="C4" s="66"/>
      <c r="D4" s="2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 t="e">
        <f>AVERAGE(E4:P4)</f>
        <v>#DIV/0!</v>
      </c>
      <c r="T4" t="s">
        <v>214</v>
      </c>
    </row>
    <row r="5" spans="2:32">
      <c r="B5" s="73" t="s">
        <v>166</v>
      </c>
      <c r="C5" s="74"/>
      <c r="D5" s="28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 t="e">
        <f t="shared" ref="Q5:Q7" si="0">AVERAGE(E5:P5)</f>
        <v>#DIV/0!</v>
      </c>
      <c r="T5" t="s">
        <v>215</v>
      </c>
    </row>
    <row r="6" spans="2:32">
      <c r="B6" s="67" t="s">
        <v>167</v>
      </c>
      <c r="C6" s="68"/>
      <c r="D6" s="28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 t="e">
        <f t="shared" si="0"/>
        <v>#DIV/0!</v>
      </c>
      <c r="T6" t="s">
        <v>71</v>
      </c>
    </row>
    <row r="7" spans="2:32">
      <c r="B7" s="67" t="s">
        <v>162</v>
      </c>
      <c r="C7" s="68"/>
      <c r="D7" s="28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 t="e">
        <f t="shared" si="0"/>
        <v>#DIV/0!</v>
      </c>
      <c r="T7" t="s">
        <v>79</v>
      </c>
    </row>
    <row r="8" spans="2:32">
      <c r="B8" s="69" t="s">
        <v>163</v>
      </c>
      <c r="C8" s="70"/>
      <c r="D8" s="28"/>
      <c r="E8" s="28" t="e">
        <f t="shared" ref="E8:P8" si="1">SUM(E134:E135)/SUM(E124:E125)</f>
        <v>#DIV/0!</v>
      </c>
      <c r="F8" s="28" t="e">
        <f t="shared" si="1"/>
        <v>#DIV/0!</v>
      </c>
      <c r="G8" s="28" t="e">
        <f t="shared" si="1"/>
        <v>#DIV/0!</v>
      </c>
      <c r="H8" s="28" t="e">
        <f t="shared" si="1"/>
        <v>#DIV/0!</v>
      </c>
      <c r="I8" s="28" t="e">
        <f t="shared" si="1"/>
        <v>#DIV/0!</v>
      </c>
      <c r="J8" s="28" t="e">
        <f t="shared" si="1"/>
        <v>#DIV/0!</v>
      </c>
      <c r="K8" s="28" t="e">
        <f t="shared" si="1"/>
        <v>#DIV/0!</v>
      </c>
      <c r="L8" s="28" t="e">
        <f t="shared" si="1"/>
        <v>#DIV/0!</v>
      </c>
      <c r="M8" s="28" t="e">
        <f t="shared" si="1"/>
        <v>#DIV/0!</v>
      </c>
      <c r="N8" s="28" t="e">
        <f t="shared" si="1"/>
        <v>#DIV/0!</v>
      </c>
      <c r="O8" s="28" t="e">
        <f t="shared" si="1"/>
        <v>#DIV/0!</v>
      </c>
      <c r="P8" s="28" t="e">
        <f t="shared" si="1"/>
        <v>#DIV/0!</v>
      </c>
      <c r="Q8" s="527" t="e">
        <f t="shared" ref="Q8" si="2">SUM(E8:P8)</f>
        <v>#DIV/0!</v>
      </c>
      <c r="T8" t="s">
        <v>177</v>
      </c>
    </row>
    <row r="9" spans="2:32">
      <c r="B9" s="69" t="s">
        <v>164</v>
      </c>
      <c r="C9" s="70"/>
      <c r="D9" s="28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 t="e">
        <f>AVERAGE(E9:P9)</f>
        <v>#DIV/0!</v>
      </c>
      <c r="S9" t="s">
        <v>216</v>
      </c>
      <c r="T9" t="s">
        <v>213</v>
      </c>
      <c r="U9">
        <f t="shared" ref="U9:AF9" si="3">E35/1000</f>
        <v>204.20273335486479</v>
      </c>
      <c r="V9">
        <f t="shared" si="3"/>
        <v>186.90205226581298</v>
      </c>
      <c r="W9">
        <f t="shared" si="3"/>
        <v>204.57322940459025</v>
      </c>
      <c r="X9">
        <f t="shared" si="3"/>
        <v>197.94101493988367</v>
      </c>
      <c r="Y9">
        <f t="shared" si="3"/>
        <v>208.20982622702562</v>
      </c>
      <c r="Z9">
        <f t="shared" si="3"/>
        <v>200.93724710662988</v>
      </c>
      <c r="AA9">
        <f t="shared" si="3"/>
        <v>153.98560418007969</v>
      </c>
      <c r="AB9">
        <f t="shared" si="3"/>
        <v>208.91567348138526</v>
      </c>
      <c r="AC9">
        <f t="shared" si="3"/>
        <v>174.52151858912805</v>
      </c>
      <c r="AD9">
        <f t="shared" si="3"/>
        <v>101.50228405394674</v>
      </c>
      <c r="AE9">
        <f t="shared" si="3"/>
        <v>195.62644812344311</v>
      </c>
      <c r="AF9">
        <f t="shared" si="3"/>
        <v>199.95771510689727</v>
      </c>
    </row>
    <row r="10" spans="2:32">
      <c r="B10" s="71" t="s">
        <v>165</v>
      </c>
      <c r="C10" s="72"/>
      <c r="D10" s="28"/>
      <c r="E10" s="28" t="e">
        <f t="shared" ref="E10:P10" si="4">E136/E126</f>
        <v>#DIV/0!</v>
      </c>
      <c r="F10" s="28" t="e">
        <f t="shared" si="4"/>
        <v>#DIV/0!</v>
      </c>
      <c r="G10" s="28" t="e">
        <f t="shared" si="4"/>
        <v>#DIV/0!</v>
      </c>
      <c r="H10" s="28" t="e">
        <f t="shared" si="4"/>
        <v>#DIV/0!</v>
      </c>
      <c r="I10" s="28" t="e">
        <f t="shared" si="4"/>
        <v>#DIV/0!</v>
      </c>
      <c r="J10" s="28" t="e">
        <f t="shared" si="4"/>
        <v>#DIV/0!</v>
      </c>
      <c r="K10" s="28" t="e">
        <f t="shared" si="4"/>
        <v>#DIV/0!</v>
      </c>
      <c r="L10" s="28" t="e">
        <f t="shared" si="4"/>
        <v>#DIV/0!</v>
      </c>
      <c r="M10" s="28" t="e">
        <f t="shared" si="4"/>
        <v>#DIV/0!</v>
      </c>
      <c r="N10" s="28" t="e">
        <f t="shared" si="4"/>
        <v>#DIV/0!</v>
      </c>
      <c r="O10" s="28" t="e">
        <f t="shared" si="4"/>
        <v>#DIV/0!</v>
      </c>
      <c r="P10" s="28" t="e">
        <f t="shared" si="4"/>
        <v>#DIV/0!</v>
      </c>
      <c r="Q10" s="527" t="e">
        <f>SUM(E10:P10)</f>
        <v>#DIV/0!</v>
      </c>
      <c r="T10" t="s">
        <v>38</v>
      </c>
      <c r="U10">
        <f t="shared" ref="U10:AF10" si="5">E50/1000</f>
        <v>83.973082694964248</v>
      </c>
      <c r="V10">
        <f t="shared" si="5"/>
        <v>74.969564410640515</v>
      </c>
      <c r="W10">
        <f t="shared" si="5"/>
        <v>82.598501659995449</v>
      </c>
      <c r="X10">
        <f t="shared" si="5"/>
        <v>80.496998425889558</v>
      </c>
      <c r="Y10">
        <f t="shared" si="5"/>
        <v>80.788353135313528</v>
      </c>
      <c r="Z10">
        <f t="shared" si="5"/>
        <v>81.674959036434316</v>
      </c>
      <c r="AA10">
        <f t="shared" si="5"/>
        <v>40.461835154410771</v>
      </c>
      <c r="AB10">
        <f t="shared" si="5"/>
        <v>76.325999999999993</v>
      </c>
      <c r="AC10">
        <f t="shared" si="5"/>
        <v>78.823059094640087</v>
      </c>
      <c r="AD10">
        <f t="shared" si="5"/>
        <v>72.498820777851265</v>
      </c>
      <c r="AE10">
        <f t="shared" si="5"/>
        <v>57.999277227722779</v>
      </c>
      <c r="AF10">
        <f t="shared" si="5"/>
        <v>82.728116519289941</v>
      </c>
    </row>
    <row r="11" spans="2:32">
      <c r="T11" t="s">
        <v>214</v>
      </c>
      <c r="U11">
        <f t="shared" ref="U11:AF11" si="6">E67/1000</f>
        <v>42.1</v>
      </c>
      <c r="V11">
        <f t="shared" si="6"/>
        <v>38.799999999999997</v>
      </c>
      <c r="W11">
        <f t="shared" si="6"/>
        <v>42.1</v>
      </c>
      <c r="X11">
        <f t="shared" si="6"/>
        <v>41</v>
      </c>
      <c r="Y11">
        <f t="shared" si="6"/>
        <v>42.1</v>
      </c>
      <c r="Z11">
        <f t="shared" si="6"/>
        <v>41</v>
      </c>
      <c r="AA11">
        <f t="shared" si="6"/>
        <v>42.1</v>
      </c>
      <c r="AB11">
        <f t="shared" si="6"/>
        <v>42.1</v>
      </c>
      <c r="AC11">
        <f t="shared" si="6"/>
        <v>41</v>
      </c>
      <c r="AD11">
        <f t="shared" si="6"/>
        <v>42.1</v>
      </c>
      <c r="AE11">
        <f t="shared" si="6"/>
        <v>41</v>
      </c>
      <c r="AF11">
        <f t="shared" si="6"/>
        <v>42.1</v>
      </c>
    </row>
    <row r="12" spans="2:32">
      <c r="T12" t="s">
        <v>215</v>
      </c>
      <c r="U12">
        <f t="shared" ref="U12:AF12" si="7">E96/10^6</f>
        <v>0.17777228048772956</v>
      </c>
      <c r="V12">
        <f t="shared" si="7"/>
        <v>0.15986982153825435</v>
      </c>
      <c r="W12">
        <f t="shared" si="7"/>
        <v>0.18376939159168085</v>
      </c>
      <c r="X12">
        <f t="shared" si="7"/>
        <v>0.17757084047751995</v>
      </c>
      <c r="Y12">
        <f t="shared" si="7"/>
        <v>0.1862581739600328</v>
      </c>
      <c r="Z12">
        <f t="shared" si="7"/>
        <v>0.17788994211005729</v>
      </c>
      <c r="AA12">
        <f t="shared" si="7"/>
        <v>0.15771243749149952</v>
      </c>
      <c r="AB12">
        <f t="shared" si="7"/>
        <v>0.19454427184760104</v>
      </c>
      <c r="AC12">
        <f t="shared" si="7"/>
        <v>0.16097300124855068</v>
      </c>
      <c r="AD12">
        <f t="shared" si="7"/>
        <v>0.15952628877573932</v>
      </c>
      <c r="AE12">
        <f t="shared" si="7"/>
        <v>0.20474255461539143</v>
      </c>
      <c r="AF12">
        <f t="shared" si="7"/>
        <v>0.18204965367511253</v>
      </c>
    </row>
    <row r="13" spans="2:32">
      <c r="T13" t="s">
        <v>71</v>
      </c>
      <c r="U13">
        <f t="shared" ref="U13:AF13" si="8">E136/1000</f>
        <v>48.875610698445307</v>
      </c>
      <c r="V13">
        <f t="shared" si="8"/>
        <v>43.788197302005017</v>
      </c>
      <c r="W13">
        <f t="shared" si="8"/>
        <v>49.622114976173954</v>
      </c>
      <c r="X13">
        <f t="shared" si="8"/>
        <v>48.242070878660932</v>
      </c>
      <c r="Y13">
        <f t="shared" si="8"/>
        <v>49.808647916593038</v>
      </c>
      <c r="Z13">
        <f t="shared" si="8"/>
        <v>48.055595349278484</v>
      </c>
      <c r="AA13">
        <f t="shared" si="8"/>
        <v>40.301182810346148</v>
      </c>
      <c r="AB13">
        <f t="shared" si="8"/>
        <v>50.044705925978626</v>
      </c>
      <c r="AC13">
        <f t="shared" si="8"/>
        <v>45.476474933934156</v>
      </c>
      <c r="AD13">
        <f t="shared" si="8"/>
        <v>44.844357027379189</v>
      </c>
      <c r="AE13">
        <f t="shared" si="8"/>
        <v>47.617259569493477</v>
      </c>
      <c r="AF13">
        <f t="shared" si="8"/>
        <v>48.961960374841404</v>
      </c>
    </row>
    <row r="14" spans="2:32">
      <c r="T14" t="s">
        <v>79</v>
      </c>
      <c r="U14">
        <f t="shared" ref="U14:AF14" si="9">E140/1000</f>
        <v>4.0306199999999999</v>
      </c>
      <c r="V14">
        <f t="shared" si="9"/>
        <v>3.6145559999999999</v>
      </c>
      <c r="W14">
        <f t="shared" si="9"/>
        <v>3.848592</v>
      </c>
      <c r="X14">
        <f t="shared" si="9"/>
        <v>3.9005999999999998</v>
      </c>
      <c r="Y14">
        <f t="shared" si="9"/>
        <v>4.0306199999999999</v>
      </c>
      <c r="Z14">
        <f t="shared" si="9"/>
        <v>3.9005999999999998</v>
      </c>
      <c r="AA14">
        <f t="shared" si="9"/>
        <v>0.65010000000000001</v>
      </c>
      <c r="AB14">
        <f t="shared" si="9"/>
        <v>4.0306199999999999</v>
      </c>
      <c r="AC14">
        <f t="shared" si="9"/>
        <v>3.9005999999999998</v>
      </c>
      <c r="AD14">
        <f t="shared" si="9"/>
        <v>4.0306199999999999</v>
      </c>
      <c r="AE14">
        <f t="shared" si="9"/>
        <v>3.9005999999999998</v>
      </c>
      <c r="AF14">
        <f t="shared" si="9"/>
        <v>4.0306199999999999</v>
      </c>
    </row>
    <row r="15" spans="2:32">
      <c r="T15" t="s">
        <v>177</v>
      </c>
      <c r="U15">
        <f t="shared" ref="U15:AF15" si="10">SUM(U9:U14)</f>
        <v>383.3598190287621</v>
      </c>
      <c r="V15">
        <f t="shared" si="10"/>
        <v>348.23423979999683</v>
      </c>
      <c r="W15">
        <f t="shared" si="10"/>
        <v>382.92620743235136</v>
      </c>
      <c r="X15">
        <f t="shared" si="10"/>
        <v>371.7582550849117</v>
      </c>
      <c r="Y15">
        <f t="shared" si="10"/>
        <v>385.12370545289224</v>
      </c>
      <c r="Z15">
        <f t="shared" si="10"/>
        <v>375.74629143445276</v>
      </c>
      <c r="AA15">
        <f t="shared" si="10"/>
        <v>277.65643458232813</v>
      </c>
      <c r="AB15">
        <f t="shared" si="10"/>
        <v>381.61154367921148</v>
      </c>
      <c r="AC15">
        <f t="shared" si="10"/>
        <v>343.88262561895084</v>
      </c>
      <c r="AD15">
        <f t="shared" si="10"/>
        <v>265.13560814795289</v>
      </c>
      <c r="AE15">
        <f t="shared" si="10"/>
        <v>346.34832747527474</v>
      </c>
      <c r="AF15">
        <f t="shared" si="10"/>
        <v>377.96046165470375</v>
      </c>
    </row>
    <row r="16" spans="2:32">
      <c r="E16" s="720">
        <f>'PL (64)'!B15+'Bz Delivery '!E17/10^6</f>
        <v>8632.3553462166074</v>
      </c>
    </row>
    <row r="17" spans="2:32">
      <c r="E17" s="720">
        <f>E19*Price!E152*Price!E20</f>
        <v>630683101.4479835</v>
      </c>
    </row>
    <row r="18" spans="2:32">
      <c r="E18" s="231">
        <f>E19*'Bz Price '!E162*31</f>
        <v>571319398.27647972</v>
      </c>
    </row>
    <row r="19" spans="2:32">
      <c r="E19" s="231">
        <f>7.14%*E20</f>
        <v>44341.688137826786</v>
      </c>
    </row>
    <row r="20" spans="2:32">
      <c r="C20" t="s">
        <v>293</v>
      </c>
      <c r="E20" s="231">
        <f>E35+E50+E67+E96+E117+E136+E140</f>
        <v>621032.04674827436</v>
      </c>
      <c r="F20" s="231">
        <f t="shared" ref="F20:P20" si="11">F35+F50+F67+F96+F117+F136+F140</f>
        <v>585924.3699784585</v>
      </c>
      <c r="G20" s="231">
        <f t="shared" si="11"/>
        <v>620592.43804075965</v>
      </c>
      <c r="H20" s="231">
        <f t="shared" si="11"/>
        <v>609430.68424443412</v>
      </c>
      <c r="I20" s="231">
        <f t="shared" si="11"/>
        <v>622787.4472789322</v>
      </c>
      <c r="J20" s="231">
        <f t="shared" si="11"/>
        <v>613418.4014923427</v>
      </c>
      <c r="K20" s="231">
        <f t="shared" si="11"/>
        <v>515348.72214483656</v>
      </c>
      <c r="L20" s="231">
        <f t="shared" si="11"/>
        <v>619266.99940736382</v>
      </c>
      <c r="M20" s="231">
        <f t="shared" si="11"/>
        <v>581571.65261770226</v>
      </c>
      <c r="N20" s="231">
        <f t="shared" si="11"/>
        <v>502826.08185917721</v>
      </c>
      <c r="O20" s="231">
        <f t="shared" si="11"/>
        <v>583993.58492065931</v>
      </c>
      <c r="P20" s="231">
        <f t="shared" si="11"/>
        <v>615628.41200102854</v>
      </c>
    </row>
    <row r="22" spans="2:32" ht="23.5">
      <c r="B22" s="44" t="s">
        <v>208</v>
      </c>
      <c r="T22" s="44" t="s">
        <v>208</v>
      </c>
    </row>
    <row r="23" spans="2:32">
      <c r="B23" s="26" t="s">
        <v>23</v>
      </c>
      <c r="C23" s="26" t="s">
        <v>22</v>
      </c>
      <c r="D23" s="43">
        <v>242492</v>
      </c>
      <c r="E23" s="43">
        <v>23377</v>
      </c>
      <c r="F23" s="43">
        <v>23408</v>
      </c>
      <c r="G23" s="43">
        <v>23437</v>
      </c>
      <c r="H23" s="43">
        <v>23468</v>
      </c>
      <c r="I23" s="43">
        <v>23498</v>
      </c>
      <c r="J23" s="43">
        <v>23529</v>
      </c>
      <c r="K23" s="43">
        <v>23559</v>
      </c>
      <c r="L23" s="43">
        <v>23590</v>
      </c>
      <c r="M23" s="43">
        <v>23621</v>
      </c>
      <c r="N23" s="43">
        <v>23651</v>
      </c>
      <c r="O23" s="43">
        <v>23682</v>
      </c>
      <c r="P23" s="43">
        <v>23712</v>
      </c>
      <c r="Q23" s="526" t="s">
        <v>177</v>
      </c>
      <c r="T23" t="s">
        <v>222</v>
      </c>
      <c r="U23" s="43">
        <v>23377</v>
      </c>
      <c r="V23" s="43">
        <v>23408</v>
      </c>
      <c r="W23" s="43">
        <v>23437</v>
      </c>
      <c r="X23" s="43">
        <v>23468</v>
      </c>
      <c r="Y23" s="43">
        <v>23498</v>
      </c>
      <c r="Z23" s="43">
        <v>23529</v>
      </c>
      <c r="AA23" s="43">
        <v>23559</v>
      </c>
      <c r="AB23" s="43">
        <v>23590</v>
      </c>
      <c r="AC23" s="43">
        <v>23621</v>
      </c>
      <c r="AD23" s="43">
        <v>23651</v>
      </c>
      <c r="AE23" s="43">
        <v>23682</v>
      </c>
      <c r="AF23" s="43">
        <v>23712</v>
      </c>
    </row>
    <row r="24" spans="2:32">
      <c r="B24" s="28" t="s">
        <v>25</v>
      </c>
      <c r="C24" s="27" t="s">
        <v>86</v>
      </c>
      <c r="D24" s="28"/>
      <c r="E24" s="229">
        <f>'Data (64)'!U63</f>
        <v>35648.485658838348</v>
      </c>
      <c r="F24" s="229">
        <f>'Data (64)'!V63</f>
        <v>34568.623426582439</v>
      </c>
      <c r="G24" s="229">
        <f>'Data (64)'!W63</f>
        <v>38322.482339325587</v>
      </c>
      <c r="H24" s="229">
        <f>'Data (64)'!Y63</f>
        <v>34239.944573039953</v>
      </c>
      <c r="I24" s="229">
        <f>'Data (64)'!Z63</f>
        <v>40397.833697619491</v>
      </c>
      <c r="J24" s="229">
        <f>'Data (64)'!AA63</f>
        <v>37182.962694620255</v>
      </c>
      <c r="K24" s="229">
        <f>'Data (64)'!AC63</f>
        <v>33480</v>
      </c>
      <c r="L24" s="229">
        <f>'Data (64)'!AD63</f>
        <v>40987.929962526679</v>
      </c>
      <c r="M24" s="229">
        <f>'Data (64)'!AE63</f>
        <v>32400</v>
      </c>
      <c r="N24" s="229">
        <f>'Data (64)'!AG63</f>
        <v>48895.708711480976</v>
      </c>
      <c r="O24" s="229">
        <f>'Data (64)'!AH63</f>
        <v>41038.431923046279</v>
      </c>
      <c r="P24" s="229">
        <f>'Data (64)'!AI63</f>
        <v>40217.55856359467</v>
      </c>
      <c r="Q24" s="229">
        <f>SUM(E24:P24)</f>
        <v>457379.96155067463</v>
      </c>
      <c r="T24" t="s">
        <v>217</v>
      </c>
      <c r="U24" s="150">
        <f t="shared" ref="U24:AF24" si="12">E24/E35</f>
        <v>0.17457398866884014</v>
      </c>
      <c r="V24" s="150">
        <f t="shared" si="12"/>
        <v>0.18495582583233905</v>
      </c>
      <c r="W24" s="150">
        <f t="shared" si="12"/>
        <v>0.1873289210463317</v>
      </c>
      <c r="X24" s="150">
        <f t="shared" si="12"/>
        <v>0.17298054465083404</v>
      </c>
      <c r="Y24" s="150">
        <f t="shared" si="12"/>
        <v>0.19402462616519803</v>
      </c>
      <c r="Z24" s="150">
        <f t="shared" si="12"/>
        <v>0.18504763666284652</v>
      </c>
      <c r="AA24" s="150">
        <f t="shared" si="12"/>
        <v>0.21742292195604565</v>
      </c>
      <c r="AB24" s="150">
        <f t="shared" si="12"/>
        <v>0.19619365689275953</v>
      </c>
      <c r="AC24" s="150">
        <f t="shared" si="12"/>
        <v>0.18565045881980072</v>
      </c>
      <c r="AD24" s="150">
        <f t="shared" si="12"/>
        <v>0.48172028016131868</v>
      </c>
      <c r="AE24" s="150">
        <f t="shared" si="12"/>
        <v>0.20977956874803777</v>
      </c>
      <c r="AF24" s="150">
        <f t="shared" si="12"/>
        <v>0.20113031668767764</v>
      </c>
    </row>
    <row r="25" spans="2:32">
      <c r="B25" s="28" t="s">
        <v>25</v>
      </c>
      <c r="C25" s="27" t="s">
        <v>26</v>
      </c>
      <c r="D25" s="28"/>
      <c r="E25" s="229">
        <f>'Data (64)'!U64</f>
        <v>40920</v>
      </c>
      <c r="F25" s="229">
        <f>'Data (64)'!V64</f>
        <v>36960</v>
      </c>
      <c r="G25" s="229">
        <f>'Data (64)'!W64</f>
        <v>40920</v>
      </c>
      <c r="H25" s="229">
        <f>'Data (64)'!Y64</f>
        <v>39600</v>
      </c>
      <c r="I25" s="229">
        <f>'Data (64)'!Z64</f>
        <v>40920</v>
      </c>
      <c r="J25" s="229">
        <f>'Data (64)'!AA64</f>
        <v>39600</v>
      </c>
      <c r="K25" s="229">
        <f>'Data (64)'!AC64</f>
        <v>22320</v>
      </c>
      <c r="L25" s="229">
        <f>'Data (64)'!AD64</f>
        <v>40920</v>
      </c>
      <c r="M25" s="229">
        <f>'Data (64)'!AE64</f>
        <v>28800</v>
      </c>
      <c r="N25" s="229">
        <f>'Data (64)'!AG64</f>
        <v>48360</v>
      </c>
      <c r="O25" s="229">
        <f>'Data (64)'!AH64</f>
        <v>39600</v>
      </c>
      <c r="P25" s="229">
        <f>'Data (64)'!AI64</f>
        <v>40920</v>
      </c>
      <c r="Q25" s="229">
        <f>SUM(E25:P25)</f>
        <v>459840</v>
      </c>
      <c r="T25" t="s">
        <v>218</v>
      </c>
      <c r="U25" s="150">
        <f t="shared" ref="U25:AF25" si="13">E25/E35</f>
        <v>0.2003890904285251</v>
      </c>
      <c r="V25" s="150">
        <f t="shared" si="13"/>
        <v>0.19775063757692352</v>
      </c>
      <c r="W25" s="150">
        <f t="shared" si="13"/>
        <v>0.20002617213942184</v>
      </c>
      <c r="X25" s="150">
        <f t="shared" si="13"/>
        <v>0.20005959862349321</v>
      </c>
      <c r="Y25" s="150">
        <f t="shared" si="13"/>
        <v>0.19653251117640377</v>
      </c>
      <c r="Z25" s="150">
        <f t="shared" si="13"/>
        <v>0.19707645332169679</v>
      </c>
      <c r="AA25" s="150">
        <f t="shared" si="13"/>
        <v>0.14494861463736375</v>
      </c>
      <c r="AB25" s="150">
        <f t="shared" si="13"/>
        <v>0.19586850195634575</v>
      </c>
      <c r="AC25" s="150">
        <f t="shared" si="13"/>
        <v>0.16502263006204507</v>
      </c>
      <c r="AD25" s="150">
        <f t="shared" si="13"/>
        <v>0.47644248058789967</v>
      </c>
      <c r="AE25" s="150">
        <f t="shared" si="13"/>
        <v>0.20242661654323871</v>
      </c>
      <c r="AF25" s="150">
        <f t="shared" si="13"/>
        <v>0.20464326659326046</v>
      </c>
    </row>
    <row r="26" spans="2:32">
      <c r="B26" s="28" t="s">
        <v>25</v>
      </c>
      <c r="C26" s="221" t="s">
        <v>27</v>
      </c>
      <c r="D26" s="28"/>
      <c r="E26" s="229">
        <f>'Data (64)'!U65</f>
        <v>123387.67235356067</v>
      </c>
      <c r="F26" s="229">
        <f>'Data (64)'!V65</f>
        <v>111537.81240087439</v>
      </c>
      <c r="G26" s="229">
        <f>'Data (64)'!W65</f>
        <v>121084.17172279888</v>
      </c>
      <c r="H26" s="229">
        <f>'Data (64)'!Y65</f>
        <v>119991.48132574782</v>
      </c>
      <c r="I26" s="229">
        <f>'Data (64)'!Z65</f>
        <v>122645.41718694039</v>
      </c>
      <c r="J26" s="229">
        <f>'Data (64)'!AA65</f>
        <v>120044.69537091375</v>
      </c>
      <c r="K26" s="229">
        <f>'Data (64)'!AC65</f>
        <v>93939.028837613951</v>
      </c>
      <c r="L26" s="229">
        <f>'Data (64)'!AD65</f>
        <v>122761.16817639281</v>
      </c>
      <c r="M26" s="229">
        <f>'Data (64)'!AE65</f>
        <v>109211.92954803215</v>
      </c>
      <c r="N26" s="229">
        <f>'Data (64)'!AG65</f>
        <v>0</v>
      </c>
      <c r="O26" s="229">
        <f>'Data (64)'!AH65</f>
        <v>110878.42715930095</v>
      </c>
      <c r="P26" s="229">
        <f>'Data (64)'!AI65</f>
        <v>114573.58120083682</v>
      </c>
      <c r="Q26" s="229">
        <f t="shared" ref="Q26:Q34" si="14">SUM(E26:P26)</f>
        <v>1270055.3852830126</v>
      </c>
      <c r="T26" t="s">
        <v>219</v>
      </c>
      <c r="U26" s="150">
        <f t="shared" ref="U26:AF26" si="15">SUM(E26:E29)/E35</f>
        <v>0.60424104186272964</v>
      </c>
      <c r="V26" s="150">
        <f t="shared" si="15"/>
        <v>0.59677146959437755</v>
      </c>
      <c r="W26" s="150">
        <f t="shared" si="15"/>
        <v>0.59188669052746534</v>
      </c>
      <c r="X26" s="150">
        <f t="shared" si="15"/>
        <v>0.60619817152190636</v>
      </c>
      <c r="Y26" s="150">
        <f t="shared" si="15"/>
        <v>0.58904720977583247</v>
      </c>
      <c r="Z26" s="150">
        <f t="shared" si="15"/>
        <v>0.59742380817634333</v>
      </c>
      <c r="AA26" s="150">
        <f t="shared" si="15"/>
        <v>0.6100507208956768</v>
      </c>
      <c r="AB26" s="150">
        <f t="shared" si="15"/>
        <v>0.5876110974858525</v>
      </c>
      <c r="AC26" s="150">
        <f t="shared" si="15"/>
        <v>0.62577916139468881</v>
      </c>
      <c r="AD26" s="150">
        <f t="shared" si="15"/>
        <v>0</v>
      </c>
      <c r="AE26" s="150">
        <f t="shared" si="15"/>
        <v>0.56678648630033424</v>
      </c>
      <c r="AF26" s="150">
        <f t="shared" si="15"/>
        <v>0.57298904990780608</v>
      </c>
    </row>
    <row r="27" spans="2:32" ht="29">
      <c r="B27" s="28" t="s">
        <v>25</v>
      </c>
      <c r="C27" s="228" t="s">
        <v>28</v>
      </c>
      <c r="D27" s="28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>
        <f>SUM(E27:P27)</f>
        <v>0</v>
      </c>
      <c r="T27" s="148" t="s">
        <v>220</v>
      </c>
      <c r="U27" s="150">
        <f t="shared" ref="U27:AF27" si="16">SUM(E30:E32)/E35</f>
        <v>2.0795879039905055E-2</v>
      </c>
      <c r="V27" s="150">
        <f t="shared" si="16"/>
        <v>2.0522066996359851E-2</v>
      </c>
      <c r="W27" s="150">
        <f t="shared" si="16"/>
        <v>2.0758216286781012E-2</v>
      </c>
      <c r="X27" s="150">
        <f t="shared" si="16"/>
        <v>2.0761685203766419E-2</v>
      </c>
      <c r="Y27" s="150">
        <f t="shared" si="16"/>
        <v>2.0395652882565771E-2</v>
      </c>
      <c r="Z27" s="150">
        <f t="shared" si="16"/>
        <v>2.0452101839113404E-2</v>
      </c>
      <c r="AA27" s="150">
        <f t="shared" si="16"/>
        <v>2.7577742510913956E-2</v>
      </c>
      <c r="AB27" s="150">
        <f t="shared" si="16"/>
        <v>2.0326743665042109E-2</v>
      </c>
      <c r="AC27" s="150">
        <f t="shared" si="16"/>
        <v>2.3547749723465333E-2</v>
      </c>
      <c r="AD27" s="150">
        <f t="shared" si="16"/>
        <v>4.1837239250781491E-2</v>
      </c>
      <c r="AE27" s="150">
        <f t="shared" si="16"/>
        <v>2.1007328408389238E-2</v>
      </c>
      <c r="AF27" s="150">
        <f t="shared" si="16"/>
        <v>2.1237366811255754E-2</v>
      </c>
    </row>
    <row r="28" spans="2:32" ht="29">
      <c r="B28" s="28" t="s">
        <v>25</v>
      </c>
      <c r="C28" s="228" t="s">
        <v>29</v>
      </c>
      <c r="D28" s="28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>
        <f t="shared" si="14"/>
        <v>0</v>
      </c>
      <c r="T28" t="s">
        <v>177</v>
      </c>
      <c r="U28" s="150">
        <f t="shared" ref="U28:AF28" si="17">SUM(U24:U27)</f>
        <v>1</v>
      </c>
      <c r="V28" s="150">
        <f t="shared" si="17"/>
        <v>0.99999999999999989</v>
      </c>
      <c r="W28" s="150">
        <f t="shared" si="17"/>
        <v>0.99999999999999989</v>
      </c>
      <c r="X28" s="150">
        <f t="shared" si="17"/>
        <v>1</v>
      </c>
      <c r="Y28" s="150">
        <f t="shared" si="17"/>
        <v>1</v>
      </c>
      <c r="Z28" s="150">
        <f t="shared" si="17"/>
        <v>1</v>
      </c>
      <c r="AA28" s="150">
        <f t="shared" si="17"/>
        <v>1.0000000000000002</v>
      </c>
      <c r="AB28" s="150">
        <f t="shared" si="17"/>
        <v>0.99999999999999978</v>
      </c>
      <c r="AC28" s="150">
        <f t="shared" si="17"/>
        <v>0.99999999999999989</v>
      </c>
      <c r="AD28" s="150">
        <f t="shared" si="17"/>
        <v>0.99999999999999989</v>
      </c>
      <c r="AE28" s="150">
        <f t="shared" si="17"/>
        <v>1</v>
      </c>
      <c r="AF28" s="150">
        <f t="shared" si="17"/>
        <v>1</v>
      </c>
    </row>
    <row r="29" spans="2:32" ht="29">
      <c r="B29" s="28" t="s">
        <v>25</v>
      </c>
      <c r="C29" s="228" t="s">
        <v>30</v>
      </c>
      <c r="D29" s="28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>
        <f t="shared" si="14"/>
        <v>0</v>
      </c>
      <c r="T29" s="44" t="s">
        <v>38</v>
      </c>
    </row>
    <row r="30" spans="2:32">
      <c r="B30" s="28" t="s">
        <v>25</v>
      </c>
      <c r="C30" s="227" t="s">
        <v>31</v>
      </c>
      <c r="D30" s="28"/>
      <c r="E30" s="229">
        <f>'Data (64)'!U66</f>
        <v>4246.5753424657532</v>
      </c>
      <c r="F30" s="229">
        <f>'Data (64)'!V66</f>
        <v>3835.6164383561645</v>
      </c>
      <c r="G30" s="229">
        <f>'Data (64)'!W66</f>
        <v>4246.5753424657532</v>
      </c>
      <c r="H30" s="229">
        <f>'Data (64)'!Y66</f>
        <v>4109.58904109589</v>
      </c>
      <c r="I30" s="229">
        <f>'Data (64)'!Z66</f>
        <v>4246.5753424657532</v>
      </c>
      <c r="J30" s="229">
        <f>'Data (64)'!AA66</f>
        <v>4109.58904109589</v>
      </c>
      <c r="K30" s="229">
        <f>'Data (64)'!AC66</f>
        <v>4246.5753424657532</v>
      </c>
      <c r="L30" s="229">
        <f>'Data (64)'!AD66</f>
        <v>4246.5753424657532</v>
      </c>
      <c r="M30" s="229">
        <f>'Data (64)'!AE66</f>
        <v>4109.58904109589</v>
      </c>
      <c r="N30" s="229" cm="1">
        <f t="array" ref="N30:N31">'Data (64)'!AG66:AG67</f>
        <v>4246.5753424657532</v>
      </c>
      <c r="O30" s="229" cm="1">
        <f t="array" ref="O30:O31">'Data (64)'!AH66:AH67</f>
        <v>4109.58904109589</v>
      </c>
      <c r="P30" s="229" cm="1">
        <f t="array" ref="P30:P31">'Data (64)'!AI66:AI67</f>
        <v>4246.5753424657532</v>
      </c>
      <c r="Q30" s="229">
        <f t="shared" si="14"/>
        <v>49999.999999999993</v>
      </c>
      <c r="T30" t="s">
        <v>217</v>
      </c>
      <c r="U30" s="150">
        <f t="shared" ref="U30:AF30" si="18">SUM(E36:E38)/E50</f>
        <v>0.26579945958490458</v>
      </c>
      <c r="V30" s="150">
        <f t="shared" si="18"/>
        <v>0.26890912543622397</v>
      </c>
      <c r="W30" s="150">
        <f t="shared" si="18"/>
        <v>0.27022281943898918</v>
      </c>
      <c r="X30" s="150">
        <f t="shared" si="18"/>
        <v>0.26833298660056593</v>
      </c>
      <c r="Y30" s="150">
        <f t="shared" si="18"/>
        <v>0.27627744759960537</v>
      </c>
      <c r="Z30" s="150">
        <f t="shared" si="18"/>
        <v>0.26446294255702624</v>
      </c>
      <c r="AA30" s="150">
        <f t="shared" si="18"/>
        <v>0.32919972606006653</v>
      </c>
      <c r="AB30" s="150">
        <f t="shared" si="18"/>
        <v>0.33097502816864505</v>
      </c>
      <c r="AC30" s="150">
        <f t="shared" si="18"/>
        <v>0.2555189065008881</v>
      </c>
      <c r="AD30" s="150">
        <f t="shared" si="18"/>
        <v>0.30786707646448874</v>
      </c>
      <c r="AE30" s="150">
        <f t="shared" si="18"/>
        <v>0.4537470337202904</v>
      </c>
      <c r="AF30" s="150">
        <f t="shared" si="18"/>
        <v>0.26979944593318023</v>
      </c>
    </row>
    <row r="31" spans="2:32">
      <c r="B31" s="28" t="s">
        <v>25</v>
      </c>
      <c r="C31" s="227" t="s">
        <v>32</v>
      </c>
      <c r="D31" s="28"/>
      <c r="E31" s="229"/>
      <c r="F31" s="229"/>
      <c r="G31" s="229"/>
      <c r="H31" s="229"/>
      <c r="I31" s="229"/>
      <c r="J31" s="229"/>
      <c r="K31" s="229"/>
      <c r="L31" s="229"/>
      <c r="M31" s="229"/>
      <c r="N31" s="229">
        <v>0</v>
      </c>
      <c r="O31" s="229">
        <v>0</v>
      </c>
      <c r="P31" s="229">
        <v>0</v>
      </c>
      <c r="Q31" s="229">
        <f t="shared" si="14"/>
        <v>0</v>
      </c>
      <c r="T31" t="s">
        <v>223</v>
      </c>
      <c r="U31" s="150">
        <f t="shared" ref="U31:AF31" si="19">SUM(E38:E39)/E50</f>
        <v>0.38107449402853705</v>
      </c>
      <c r="V31" s="150">
        <f t="shared" si="19"/>
        <v>0.38548976811045993</v>
      </c>
      <c r="W31" s="150">
        <f t="shared" si="19"/>
        <v>0.38741622858636443</v>
      </c>
      <c r="X31" s="150">
        <f t="shared" si="19"/>
        <v>0.38510752706562706</v>
      </c>
      <c r="Y31" s="150">
        <f t="shared" si="19"/>
        <v>0.39523023753832437</v>
      </c>
      <c r="Z31" s="150">
        <f t="shared" si="19"/>
        <v>0.3795532971883247</v>
      </c>
      <c r="AA31" s="150">
        <f t="shared" si="19"/>
        <v>0.47197093341945023</v>
      </c>
      <c r="AB31" s="150">
        <f t="shared" si="19"/>
        <v>0.41925425150014412</v>
      </c>
      <c r="AC31" s="150">
        <f t="shared" si="19"/>
        <v>0.3932859287125533</v>
      </c>
      <c r="AD31" s="150">
        <f t="shared" si="19"/>
        <v>0.29931521322936405</v>
      </c>
      <c r="AE31" s="150">
        <f t="shared" si="19"/>
        <v>0</v>
      </c>
      <c r="AF31" s="150">
        <f t="shared" si="19"/>
        <v>0.386809241481262</v>
      </c>
    </row>
    <row r="32" spans="2:32">
      <c r="B32" s="32" t="s">
        <v>34</v>
      </c>
      <c r="C32" s="227" t="s">
        <v>33</v>
      </c>
      <c r="D32" s="28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>
        <f t="shared" si="14"/>
        <v>0</v>
      </c>
      <c r="T32" t="s">
        <v>224</v>
      </c>
      <c r="U32" s="150">
        <f t="shared" ref="U32:AF32" si="20">SUM(E41:E42)/E50</f>
        <v>0.31603404666844515</v>
      </c>
      <c r="V32" s="150">
        <f t="shared" si="20"/>
        <v>0.31973142169062879</v>
      </c>
      <c r="W32" s="150">
        <f t="shared" si="20"/>
        <v>0.32129339639300902</v>
      </c>
      <c r="X32" s="150">
        <f t="shared" si="20"/>
        <v>0.31904639588974792</v>
      </c>
      <c r="Y32" s="150">
        <f t="shared" si="20"/>
        <v>0.32849231486207026</v>
      </c>
      <c r="Z32" s="150">
        <f t="shared" si="20"/>
        <v>0.31444493551892921</v>
      </c>
      <c r="AA32" s="150">
        <f t="shared" si="20"/>
        <v>0.19882934052048326</v>
      </c>
      <c r="AB32" s="150">
        <f t="shared" si="20"/>
        <v>0.17116054817493384</v>
      </c>
      <c r="AC32" s="150">
        <f t="shared" si="20"/>
        <v>0.32582187906316806</v>
      </c>
      <c r="AD32" s="150">
        <f t="shared" si="20"/>
        <v>0.36605220403007066</v>
      </c>
      <c r="AE32" s="150">
        <f t="shared" si="20"/>
        <v>0.44280340127147366</v>
      </c>
      <c r="AF32" s="150">
        <f t="shared" si="20"/>
        <v>0.32079000770101557</v>
      </c>
    </row>
    <row r="33" spans="2:32">
      <c r="B33" s="32"/>
      <c r="C33" s="33" t="s">
        <v>35</v>
      </c>
      <c r="D33" s="28">
        <f t="shared" ref="D33:P33" si="21">SUM(D24:D29)</f>
        <v>0</v>
      </c>
      <c r="E33" s="229">
        <f t="shared" si="21"/>
        <v>199956.15801239904</v>
      </c>
      <c r="F33" s="229">
        <f t="shared" si="21"/>
        <v>183066.43582745682</v>
      </c>
      <c r="G33" s="229">
        <f t="shared" si="21"/>
        <v>200326.65406212449</v>
      </c>
      <c r="H33" s="229">
        <f t="shared" si="21"/>
        <v>193831.42589878777</v>
      </c>
      <c r="I33" s="229">
        <f t="shared" si="21"/>
        <v>203963.25088455988</v>
      </c>
      <c r="J33" s="229">
        <f t="shared" si="21"/>
        <v>196827.65806553399</v>
      </c>
      <c r="K33" s="229">
        <f t="shared" si="21"/>
        <v>149739.02883761394</v>
      </c>
      <c r="L33" s="229">
        <f t="shared" si="21"/>
        <v>204669.09813891951</v>
      </c>
      <c r="M33" s="229">
        <f t="shared" si="21"/>
        <v>170411.92954803215</v>
      </c>
      <c r="N33" s="229">
        <f t="shared" si="21"/>
        <v>97255.708711480984</v>
      </c>
      <c r="O33" s="229">
        <f t="shared" si="21"/>
        <v>191516.85908234722</v>
      </c>
      <c r="P33" s="229">
        <f t="shared" si="21"/>
        <v>195711.13976443151</v>
      </c>
      <c r="Q33" s="229">
        <f t="shared" si="14"/>
        <v>2187275.3468336873</v>
      </c>
      <c r="T33" t="s">
        <v>220</v>
      </c>
      <c r="U33" s="150">
        <f t="shared" ref="U33:AF33" si="22">SUM(E43:E46)/E50</f>
        <v>3.7091999718113285E-2</v>
      </c>
      <c r="V33" s="150">
        <f t="shared" si="22"/>
        <v>2.5869684762687327E-2</v>
      </c>
      <c r="W33" s="150">
        <f t="shared" si="22"/>
        <v>2.1067555581637375E-2</v>
      </c>
      <c r="X33" s="150">
        <f t="shared" si="22"/>
        <v>2.7513090444059099E-2</v>
      </c>
      <c r="Y33" s="150">
        <f t="shared" si="22"/>
        <v>0</v>
      </c>
      <c r="Z33" s="150">
        <f t="shared" si="22"/>
        <v>4.1538824735719841E-2</v>
      </c>
      <c r="AA33" s="150">
        <f t="shared" si="22"/>
        <v>0</v>
      </c>
      <c r="AB33" s="150">
        <f t="shared" si="22"/>
        <v>7.8610172156277025E-2</v>
      </c>
      <c r="AC33" s="150">
        <f t="shared" si="22"/>
        <v>2.5373285723390537E-2</v>
      </c>
      <c r="AD33" s="150">
        <f t="shared" si="22"/>
        <v>2.6765506276076535E-2</v>
      </c>
      <c r="AE33" s="150">
        <f t="shared" si="22"/>
        <v>0.10344956500823584</v>
      </c>
      <c r="AF33" s="150">
        <f t="shared" si="22"/>
        <v>2.2601304884542178E-2</v>
      </c>
    </row>
    <row r="34" spans="2:32">
      <c r="B34" s="32"/>
      <c r="C34" s="33" t="s">
        <v>36</v>
      </c>
      <c r="D34" s="28">
        <f t="shared" ref="D34:P34" si="23">SUM(D30:D32)</f>
        <v>0</v>
      </c>
      <c r="E34" s="229">
        <f t="shared" si="23"/>
        <v>4246.5753424657532</v>
      </c>
      <c r="F34" s="229">
        <f t="shared" si="23"/>
        <v>3835.6164383561645</v>
      </c>
      <c r="G34" s="229">
        <f t="shared" si="23"/>
        <v>4246.5753424657532</v>
      </c>
      <c r="H34" s="229">
        <f t="shared" si="23"/>
        <v>4109.58904109589</v>
      </c>
      <c r="I34" s="229">
        <f t="shared" si="23"/>
        <v>4246.5753424657532</v>
      </c>
      <c r="J34" s="229">
        <f t="shared" si="23"/>
        <v>4109.58904109589</v>
      </c>
      <c r="K34" s="229">
        <f t="shared" si="23"/>
        <v>4246.5753424657532</v>
      </c>
      <c r="L34" s="229">
        <f t="shared" si="23"/>
        <v>4246.5753424657532</v>
      </c>
      <c r="M34" s="229">
        <f t="shared" si="23"/>
        <v>4109.58904109589</v>
      </c>
      <c r="N34" s="229">
        <f t="shared" si="23"/>
        <v>4246.5753424657532</v>
      </c>
      <c r="O34" s="229">
        <f t="shared" si="23"/>
        <v>4109.58904109589</v>
      </c>
      <c r="P34" s="229">
        <f t="shared" si="23"/>
        <v>4246.5753424657532</v>
      </c>
      <c r="Q34" s="229">
        <f t="shared" si="14"/>
        <v>49999.999999999993</v>
      </c>
      <c r="T34" t="s">
        <v>225</v>
      </c>
      <c r="U34" s="150">
        <f t="shared" ref="U34:AF34" si="24">E47/E50</f>
        <v>0</v>
      </c>
      <c r="V34" s="150">
        <f t="shared" si="24"/>
        <v>0</v>
      </c>
      <c r="W34" s="150">
        <f t="shared" si="24"/>
        <v>0</v>
      </c>
      <c r="X34" s="150">
        <f t="shared" si="24"/>
        <v>0</v>
      </c>
      <c r="Y34" s="150">
        <f t="shared" si="24"/>
        <v>0</v>
      </c>
      <c r="Z34" s="150">
        <f t="shared" si="24"/>
        <v>0</v>
      </c>
      <c r="AA34" s="150">
        <f t="shared" si="24"/>
        <v>0</v>
      </c>
      <c r="AB34" s="150">
        <f t="shared" si="24"/>
        <v>0</v>
      </c>
      <c r="AC34" s="150">
        <f t="shared" si="24"/>
        <v>0</v>
      </c>
      <c r="AD34" s="150">
        <f t="shared" si="24"/>
        <v>0</v>
      </c>
      <c r="AE34" s="150">
        <f t="shared" si="24"/>
        <v>0</v>
      </c>
      <c r="AF34" s="150">
        <f t="shared" si="24"/>
        <v>0</v>
      </c>
    </row>
    <row r="35" spans="2:32">
      <c r="B35" s="28"/>
      <c r="C35" s="34" t="s">
        <v>37</v>
      </c>
      <c r="D35" s="28">
        <f t="shared" ref="D35:P35" si="25">SUM(D24:D32)</f>
        <v>0</v>
      </c>
      <c r="E35" s="229">
        <f t="shared" si="25"/>
        <v>204202.73335486479</v>
      </c>
      <c r="F35" s="229">
        <f t="shared" si="25"/>
        <v>186902.05226581299</v>
      </c>
      <c r="G35" s="229">
        <f t="shared" si="25"/>
        <v>204573.22940459024</v>
      </c>
      <c r="H35" s="229">
        <f t="shared" si="25"/>
        <v>197941.01493988367</v>
      </c>
      <c r="I35" s="229">
        <f t="shared" si="25"/>
        <v>208209.82622702562</v>
      </c>
      <c r="J35" s="229">
        <f t="shared" si="25"/>
        <v>200937.24710662989</v>
      </c>
      <c r="K35" s="229">
        <f t="shared" si="25"/>
        <v>153985.60418007968</v>
      </c>
      <c r="L35" s="229">
        <f t="shared" si="25"/>
        <v>208915.67348138525</v>
      </c>
      <c r="M35" s="229">
        <f t="shared" si="25"/>
        <v>174521.51858912804</v>
      </c>
      <c r="N35" s="229">
        <f t="shared" si="25"/>
        <v>101502.28405394674</v>
      </c>
      <c r="O35" s="229">
        <f t="shared" si="25"/>
        <v>195626.44812344312</v>
      </c>
      <c r="P35" s="229">
        <f t="shared" si="25"/>
        <v>199957.71510689726</v>
      </c>
      <c r="Q35" s="229">
        <f>SUM(E35:P35)</f>
        <v>2237275.3468336873</v>
      </c>
      <c r="T35" t="s">
        <v>177</v>
      </c>
      <c r="U35" s="150">
        <f t="shared" ref="U35:AF35" si="26">SUM(U30:U34)</f>
        <v>1</v>
      </c>
      <c r="V35" s="150">
        <f t="shared" si="26"/>
        <v>1</v>
      </c>
      <c r="W35" s="150">
        <f t="shared" si="26"/>
        <v>1</v>
      </c>
      <c r="X35" s="150">
        <f t="shared" si="26"/>
        <v>1</v>
      </c>
      <c r="Y35" s="150">
        <f t="shared" si="26"/>
        <v>1</v>
      </c>
      <c r="Z35" s="150">
        <f t="shared" si="26"/>
        <v>1</v>
      </c>
      <c r="AA35" s="150">
        <f t="shared" si="26"/>
        <v>1</v>
      </c>
      <c r="AB35" s="150">
        <f t="shared" si="26"/>
        <v>1</v>
      </c>
      <c r="AC35" s="150">
        <f t="shared" si="26"/>
        <v>1</v>
      </c>
      <c r="AD35" s="150">
        <f t="shared" si="26"/>
        <v>1</v>
      </c>
      <c r="AE35" s="150">
        <f t="shared" si="26"/>
        <v>1</v>
      </c>
      <c r="AF35" s="150">
        <f t="shared" si="26"/>
        <v>1</v>
      </c>
    </row>
    <row r="36" spans="2:32" ht="23.5">
      <c r="B36" s="28" t="s">
        <v>25</v>
      </c>
      <c r="C36" s="35" t="s">
        <v>39</v>
      </c>
      <c r="D36" s="28"/>
      <c r="E36" s="229">
        <f>'Data (64)'!U44</f>
        <v>22320</v>
      </c>
      <c r="F36" s="229">
        <f>'Data (64)'!V44</f>
        <v>20160</v>
      </c>
      <c r="G36" s="229">
        <f>'Data (64)'!W44</f>
        <v>22320</v>
      </c>
      <c r="H36" s="229">
        <f>'Data (64)'!Y44</f>
        <v>21600</v>
      </c>
      <c r="I36" s="229">
        <f>'Data (64)'!Z44</f>
        <v>22320</v>
      </c>
      <c r="J36" s="229">
        <f>'Data (64)'!AA44</f>
        <v>21600</v>
      </c>
      <c r="K36" s="229">
        <f>'Data (64)'!AC44</f>
        <v>13320.025048719595</v>
      </c>
      <c r="L36" s="229">
        <f>'Data (64)'!AD44</f>
        <v>25262</v>
      </c>
      <c r="M36" s="229">
        <f>'Data (64)'!AE44</f>
        <v>20140.781866917318</v>
      </c>
      <c r="N36" s="229">
        <f>'Data (64)'!AG44</f>
        <v>22320</v>
      </c>
      <c r="O36" s="229">
        <f>'Data (64)'!AH44</f>
        <v>26317</v>
      </c>
      <c r="P36" s="229">
        <f>'Data (64)'!AI44</f>
        <v>22320</v>
      </c>
      <c r="Q36" s="229">
        <f>SUM(E36:P36)</f>
        <v>259999.80691563693</v>
      </c>
      <c r="T36" s="44" t="s">
        <v>214</v>
      </c>
    </row>
    <row r="37" spans="2:32">
      <c r="B37" s="28" t="s">
        <v>25</v>
      </c>
      <c r="C37" s="35" t="s">
        <v>40</v>
      </c>
      <c r="D37" s="28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>
        <f t="shared" ref="Q37:Q49" si="27">SUM(E37:P37)</f>
        <v>0</v>
      </c>
      <c r="T37" t="s">
        <v>217</v>
      </c>
      <c r="U37" s="150">
        <f t="shared" ref="U37:AF37" si="28">SUM(E51:E53)/(E67+E96)</f>
        <v>0.15509003647189179</v>
      </c>
      <c r="V37" s="150">
        <f t="shared" si="28"/>
        <v>0.15503109511813493</v>
      </c>
      <c r="W37" s="150">
        <f t="shared" si="28"/>
        <v>0.15097220459886324</v>
      </c>
      <c r="X37" s="150">
        <f t="shared" si="28"/>
        <v>0.15098079838968298</v>
      </c>
      <c r="Y37" s="150">
        <f t="shared" si="28"/>
        <v>0.14932682026949548</v>
      </c>
      <c r="Z37" s="150">
        <f t="shared" si="28"/>
        <v>0.15076069590903216</v>
      </c>
      <c r="AA37" s="150">
        <f t="shared" si="28"/>
        <v>0.17066004713270511</v>
      </c>
      <c r="AB37" s="150">
        <f t="shared" si="28"/>
        <v>0.14409814247251421</v>
      </c>
      <c r="AC37" s="150">
        <f t="shared" si="28"/>
        <v>0.16338817463721181</v>
      </c>
      <c r="AD37" s="150">
        <f t="shared" si="28"/>
        <v>0.16912477141275975</v>
      </c>
      <c r="AE37" s="150">
        <f t="shared" si="28"/>
        <v>0.13428687616456125</v>
      </c>
      <c r="AF37" s="150">
        <f t="shared" si="28"/>
        <v>0.15213050495908995</v>
      </c>
    </row>
    <row r="38" spans="2:32">
      <c r="B38" s="32" t="s">
        <v>34</v>
      </c>
      <c r="C38" s="35" t="s">
        <v>41</v>
      </c>
      <c r="D38" s="28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>
        <f t="shared" si="27"/>
        <v>0</v>
      </c>
      <c r="T38" t="s">
        <v>218</v>
      </c>
      <c r="U38" s="150">
        <f t="shared" ref="U38:AF38" si="29">SUM(E54:E56)/(E67+E96)</f>
        <v>0</v>
      </c>
      <c r="V38" s="150">
        <f t="shared" si="29"/>
        <v>0</v>
      </c>
      <c r="W38" s="150">
        <f t="shared" si="29"/>
        <v>0</v>
      </c>
      <c r="X38" s="150">
        <f t="shared" si="29"/>
        <v>0</v>
      </c>
      <c r="Y38" s="150">
        <f t="shared" si="29"/>
        <v>0</v>
      </c>
      <c r="Z38" s="150">
        <f t="shared" si="29"/>
        <v>0</v>
      </c>
      <c r="AA38" s="150">
        <f t="shared" si="29"/>
        <v>0</v>
      </c>
      <c r="AB38" s="150">
        <f t="shared" si="29"/>
        <v>0</v>
      </c>
      <c r="AC38" s="150">
        <f t="shared" si="29"/>
        <v>0</v>
      </c>
      <c r="AD38" s="150">
        <f t="shared" si="29"/>
        <v>0</v>
      </c>
      <c r="AE38" s="150">
        <f t="shared" si="29"/>
        <v>0</v>
      </c>
      <c r="AF38" s="150">
        <f t="shared" si="29"/>
        <v>0</v>
      </c>
    </row>
    <row r="39" spans="2:32">
      <c r="B39" s="28" t="s">
        <v>25</v>
      </c>
      <c r="C39" s="36" t="s">
        <v>42</v>
      </c>
      <c r="D39" s="28"/>
      <c r="E39" s="229">
        <f>'Data (64)'!U47</f>
        <v>32000</v>
      </c>
      <c r="F39" s="229">
        <f>'Data (64)'!V47</f>
        <v>28900</v>
      </c>
      <c r="G39" s="229">
        <f>'Data (64)'!W47</f>
        <v>32000</v>
      </c>
      <c r="H39" s="229">
        <f>'Data (64)'!Y47</f>
        <v>31000</v>
      </c>
      <c r="I39" s="229">
        <f>'Data (64)'!Z47</f>
        <v>31930</v>
      </c>
      <c r="J39" s="229">
        <f>'Data (64)'!AA47</f>
        <v>31000</v>
      </c>
      <c r="K39" s="229">
        <f>'Data (64)'!AC47</f>
        <v>19096.810105691176</v>
      </c>
      <c r="L39" s="229">
        <f>'Data (64)'!AD47</f>
        <v>32000</v>
      </c>
      <c r="M39" s="229">
        <f>'Data (64)'!AE47</f>
        <v>31000</v>
      </c>
      <c r="N39" s="229">
        <f>'Data (64)'!AG47</f>
        <v>21700</v>
      </c>
      <c r="O39" s="229">
        <f>'Data (64)'!AH47</f>
        <v>0</v>
      </c>
      <c r="P39" s="229">
        <f>'Data (64)'!AI47</f>
        <v>32000</v>
      </c>
      <c r="Q39" s="229">
        <f t="shared" si="27"/>
        <v>322626.8101056912</v>
      </c>
      <c r="T39" t="s">
        <v>220</v>
      </c>
      <c r="U39" s="150">
        <f t="shared" ref="U39:AF39" si="30">SUM(E58:E64)/(E67+E96)</f>
        <v>0</v>
      </c>
      <c r="V39" s="150">
        <f t="shared" si="30"/>
        <v>0</v>
      </c>
      <c r="W39" s="150">
        <f t="shared" si="30"/>
        <v>0</v>
      </c>
      <c r="X39" s="150">
        <f t="shared" si="30"/>
        <v>0</v>
      </c>
      <c r="Y39" s="150">
        <f t="shared" si="30"/>
        <v>0</v>
      </c>
      <c r="Z39" s="150">
        <f t="shared" si="30"/>
        <v>0</v>
      </c>
      <c r="AA39" s="150">
        <f t="shared" si="30"/>
        <v>0</v>
      </c>
      <c r="AB39" s="150">
        <f t="shared" si="30"/>
        <v>0</v>
      </c>
      <c r="AC39" s="150">
        <f t="shared" si="30"/>
        <v>0</v>
      </c>
      <c r="AD39" s="150">
        <f t="shared" si="30"/>
        <v>0</v>
      </c>
      <c r="AE39" s="150">
        <f t="shared" si="30"/>
        <v>0</v>
      </c>
      <c r="AF39" s="150">
        <f t="shared" si="30"/>
        <v>0</v>
      </c>
    </row>
    <row r="40" spans="2:32" ht="23.5">
      <c r="B40" s="32" t="s">
        <v>34</v>
      </c>
      <c r="C40" s="36" t="s">
        <v>43</v>
      </c>
      <c r="D40" s="28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>
        <f t="shared" si="27"/>
        <v>0</v>
      </c>
      <c r="T40" s="44" t="s">
        <v>215</v>
      </c>
    </row>
    <row r="41" spans="2:32">
      <c r="B41" s="28" t="s">
        <v>25</v>
      </c>
      <c r="C41" s="36" t="s">
        <v>44</v>
      </c>
      <c r="D41" s="28"/>
      <c r="E41" s="229">
        <f>'Data (64)'!U46</f>
        <v>26538.353135313533</v>
      </c>
      <c r="F41" s="229">
        <f>'Data (64)'!V46</f>
        <v>23970.125412541256</v>
      </c>
      <c r="G41" s="229">
        <f>'Data (64)'!W46</f>
        <v>26538.353135313533</v>
      </c>
      <c r="H41" s="229">
        <f>'Data (64)'!Y46</f>
        <v>25682.277227722774</v>
      </c>
      <c r="I41" s="229">
        <f>'Data (64)'!Z46</f>
        <v>26538.353135313533</v>
      </c>
      <c r="J41" s="229">
        <f>'Data (64)'!AA46</f>
        <v>25682.277227722774</v>
      </c>
      <c r="K41" s="229">
        <f>'Data (64)'!AC46</f>
        <v>8045</v>
      </c>
      <c r="L41" s="229">
        <f>'Data (64)'!AD46</f>
        <v>13064</v>
      </c>
      <c r="M41" s="229">
        <f>'Data (64)'!AE46</f>
        <v>25682.277227722774</v>
      </c>
      <c r="N41" s="229">
        <f>'Data (64)'!AG46</f>
        <v>26538.353135313533</v>
      </c>
      <c r="O41" s="229">
        <f>'Data (64)'!AH46</f>
        <v>25682.277227722774</v>
      </c>
      <c r="P41" s="229">
        <f>'Data (64)'!AI46</f>
        <v>26538.353135313533</v>
      </c>
      <c r="Q41" s="229">
        <f t="shared" si="27"/>
        <v>280500</v>
      </c>
      <c r="T41" t="s">
        <v>225</v>
      </c>
      <c r="U41" s="150">
        <f>SUM(E69:E75)/(E50+E96)</f>
        <v>0.67918024726821058</v>
      </c>
      <c r="V41" s="150">
        <f>SUM(F69:F75)/(F50+F96)</f>
        <v>0.68076238954672119</v>
      </c>
      <c r="W41" s="150">
        <f>SUM(G69:G75)/(G50+G96)</f>
        <v>0.68990819181817575</v>
      </c>
      <c r="X41" s="150">
        <f t="shared" ref="X41:AF41" si="31">SUM(H68:H75)/(H50+H96)</f>
        <v>0.68807814732769457</v>
      </c>
      <c r="Y41" s="150">
        <f t="shared" si="31"/>
        <v>0.69747461607516481</v>
      </c>
      <c r="Z41" s="150">
        <f t="shared" si="31"/>
        <v>0.68533897042443692</v>
      </c>
      <c r="AA41" s="150">
        <f t="shared" si="31"/>
        <v>0.79582700310092058</v>
      </c>
      <c r="AB41" s="150">
        <f t="shared" si="31"/>
        <v>0.7182193546771235</v>
      </c>
      <c r="AC41" s="150">
        <f t="shared" si="31"/>
        <v>0.6712912673301209</v>
      </c>
      <c r="AD41" s="150">
        <f t="shared" si="31"/>
        <v>0.68753890077958868</v>
      </c>
      <c r="AE41" s="150">
        <f t="shared" si="31"/>
        <v>0.77925373808630993</v>
      </c>
      <c r="AF41" s="150">
        <f t="shared" si="31"/>
        <v>0.68755641208644469</v>
      </c>
    </row>
    <row r="42" spans="2:32">
      <c r="B42" s="32" t="s">
        <v>34</v>
      </c>
      <c r="C42" s="36" t="s">
        <v>45</v>
      </c>
      <c r="D42" s="28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>
        <f t="shared" si="27"/>
        <v>0</v>
      </c>
      <c r="T42" t="s">
        <v>226</v>
      </c>
      <c r="U42" s="150">
        <f t="shared" ref="U42:AF42" si="32">SUM(E76:E78)/($E$67+$E$96)</f>
        <v>0</v>
      </c>
      <c r="V42" s="150">
        <f t="shared" si="32"/>
        <v>0</v>
      </c>
      <c r="W42" s="150">
        <f t="shared" si="32"/>
        <v>0</v>
      </c>
      <c r="X42" s="150">
        <f t="shared" si="32"/>
        <v>0</v>
      </c>
      <c r="Y42" s="150">
        <f t="shared" si="32"/>
        <v>0</v>
      </c>
      <c r="Z42" s="150">
        <f t="shared" si="32"/>
        <v>0</v>
      </c>
      <c r="AA42" s="150">
        <f t="shared" si="32"/>
        <v>0</v>
      </c>
      <c r="AB42" s="150">
        <f t="shared" si="32"/>
        <v>0</v>
      </c>
      <c r="AC42" s="150">
        <f t="shared" si="32"/>
        <v>0</v>
      </c>
      <c r="AD42" s="150">
        <f t="shared" si="32"/>
        <v>0</v>
      </c>
      <c r="AE42" s="150">
        <f t="shared" si="32"/>
        <v>0</v>
      </c>
      <c r="AF42" s="150">
        <f t="shared" si="32"/>
        <v>0</v>
      </c>
    </row>
    <row r="43" spans="2:32">
      <c r="B43" s="28" t="s">
        <v>25</v>
      </c>
      <c r="C43" s="36" t="s">
        <v>46</v>
      </c>
      <c r="D43" s="28"/>
      <c r="E43" s="229">
        <f>'Data (64)'!U51</f>
        <v>3114.7295596507174</v>
      </c>
      <c r="F43" s="229">
        <f>'Data (64)'!V51</f>
        <v>1939.4389980992528</v>
      </c>
      <c r="G43" s="229">
        <f>'Data (64)'!W51</f>
        <v>1740.1485246819211</v>
      </c>
      <c r="H43" s="229">
        <f>'Data (64)'!Y51</f>
        <v>2214.7211981667824</v>
      </c>
      <c r="I43" s="229">
        <f>'Data (64)'!Z51</f>
        <v>0</v>
      </c>
      <c r="J43" s="229">
        <f>'Data (64)'!AA51</f>
        <v>3392.6818087115425</v>
      </c>
      <c r="K43" s="229">
        <f>'Data (64)'!AC51</f>
        <v>0</v>
      </c>
      <c r="L43" s="229">
        <f>'Data (64)'!AD51</f>
        <v>6000</v>
      </c>
      <c r="M43" s="229">
        <f>'Data (64)'!AE51</f>
        <v>2000</v>
      </c>
      <c r="N43" s="229">
        <f>'Data (64)'!AG51</f>
        <v>1940.4676425377256</v>
      </c>
      <c r="O43" s="229">
        <f>'Data (64)'!AH51</f>
        <v>6000</v>
      </c>
      <c r="P43" s="229">
        <f>'Data (64)'!AI51</f>
        <v>1869.7633839764021</v>
      </c>
      <c r="Q43" s="229">
        <f t="shared" si="27"/>
        <v>30211.951115824344</v>
      </c>
      <c r="T43" t="s">
        <v>227</v>
      </c>
      <c r="U43" s="150">
        <f t="shared" ref="U43:AF43" si="33">SUM(E92:E93)/($E$67+$E$96)</f>
        <v>0</v>
      </c>
      <c r="V43" s="150">
        <f t="shared" si="33"/>
        <v>0</v>
      </c>
      <c r="W43" s="150">
        <f t="shared" si="33"/>
        <v>0</v>
      </c>
      <c r="X43" s="150">
        <f t="shared" si="33"/>
        <v>0</v>
      </c>
      <c r="Y43" s="150">
        <f t="shared" si="33"/>
        <v>0</v>
      </c>
      <c r="Z43" s="150">
        <f t="shared" si="33"/>
        <v>0</v>
      </c>
      <c r="AA43" s="150">
        <f t="shared" si="33"/>
        <v>0</v>
      </c>
      <c r="AB43" s="150">
        <f t="shared" si="33"/>
        <v>0</v>
      </c>
      <c r="AC43" s="150">
        <f t="shared" si="33"/>
        <v>0</v>
      </c>
      <c r="AD43" s="150">
        <f t="shared" si="33"/>
        <v>0</v>
      </c>
      <c r="AE43" s="150">
        <f t="shared" si="33"/>
        <v>0</v>
      </c>
      <c r="AF43" s="150">
        <f t="shared" si="33"/>
        <v>0</v>
      </c>
    </row>
    <row r="44" spans="2:32">
      <c r="B44" s="32" t="s">
        <v>34</v>
      </c>
      <c r="C44" s="36" t="s">
        <v>47</v>
      </c>
      <c r="D44" s="28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>
        <f t="shared" si="27"/>
        <v>0</v>
      </c>
      <c r="T44" t="s">
        <v>228</v>
      </c>
      <c r="U44" s="150">
        <f t="shared" ref="U44:AF44" si="34">SUM(E79:E82)/($E$67+$E$96)</f>
        <v>0</v>
      </c>
      <c r="V44" s="150">
        <f t="shared" si="34"/>
        <v>0</v>
      </c>
      <c r="W44" s="150">
        <f t="shared" si="34"/>
        <v>0</v>
      </c>
      <c r="X44" s="150">
        <f t="shared" si="34"/>
        <v>0</v>
      </c>
      <c r="Y44" s="150">
        <f t="shared" si="34"/>
        <v>0</v>
      </c>
      <c r="Z44" s="150">
        <f t="shared" si="34"/>
        <v>0</v>
      </c>
      <c r="AA44" s="150">
        <f t="shared" si="34"/>
        <v>0</v>
      </c>
      <c r="AB44" s="150">
        <f t="shared" si="34"/>
        <v>0</v>
      </c>
      <c r="AC44" s="150">
        <f t="shared" si="34"/>
        <v>0</v>
      </c>
      <c r="AD44" s="150">
        <f t="shared" si="34"/>
        <v>0</v>
      </c>
      <c r="AE44" s="150">
        <f t="shared" si="34"/>
        <v>0</v>
      </c>
      <c r="AF44" s="150">
        <f t="shared" si="34"/>
        <v>0</v>
      </c>
    </row>
    <row r="45" spans="2:32">
      <c r="B45" s="28" t="s">
        <v>25</v>
      </c>
      <c r="C45" s="36" t="s">
        <v>48</v>
      </c>
      <c r="D45" s="28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>
        <f t="shared" si="27"/>
        <v>0</v>
      </c>
      <c r="T45" t="s">
        <v>229</v>
      </c>
      <c r="U45" s="150">
        <f t="shared" ref="U45:AF45" si="35">SUM(E83:E85)/($E$67+$E$96)</f>
        <v>0</v>
      </c>
      <c r="V45" s="150">
        <f t="shared" si="35"/>
        <v>0</v>
      </c>
      <c r="W45" s="150">
        <f t="shared" si="35"/>
        <v>0</v>
      </c>
      <c r="X45" s="150">
        <f t="shared" si="35"/>
        <v>0</v>
      </c>
      <c r="Y45" s="150">
        <f t="shared" si="35"/>
        <v>0</v>
      </c>
      <c r="Z45" s="150">
        <f t="shared" si="35"/>
        <v>0</v>
      </c>
      <c r="AA45" s="150">
        <f t="shared" si="35"/>
        <v>0</v>
      </c>
      <c r="AB45" s="150">
        <f t="shared" si="35"/>
        <v>0</v>
      </c>
      <c r="AC45" s="150">
        <f t="shared" si="35"/>
        <v>0</v>
      </c>
      <c r="AD45" s="150">
        <f t="shared" si="35"/>
        <v>0</v>
      </c>
      <c r="AE45" s="150">
        <f t="shared" si="35"/>
        <v>0</v>
      </c>
      <c r="AF45" s="150">
        <f t="shared" si="35"/>
        <v>0</v>
      </c>
    </row>
    <row r="46" spans="2:32">
      <c r="B46" s="32" t="s">
        <v>34</v>
      </c>
      <c r="C46" s="36" t="s">
        <v>49</v>
      </c>
      <c r="D46" s="28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>
        <f t="shared" si="27"/>
        <v>0</v>
      </c>
      <c r="T46" t="s">
        <v>133</v>
      </c>
      <c r="U46" s="150">
        <f t="shared" ref="U46:AF46" si="36">SUM(E90:E91)/($E$67+$E$96)</f>
        <v>0</v>
      </c>
      <c r="V46" s="150">
        <f t="shared" si="36"/>
        <v>0</v>
      </c>
      <c r="W46" s="150">
        <f t="shared" si="36"/>
        <v>0</v>
      </c>
      <c r="X46" s="150">
        <f t="shared" si="36"/>
        <v>0</v>
      </c>
      <c r="Y46" s="150">
        <f t="shared" si="36"/>
        <v>0</v>
      </c>
      <c r="Z46" s="150">
        <f t="shared" si="36"/>
        <v>0</v>
      </c>
      <c r="AA46" s="150">
        <f t="shared" si="36"/>
        <v>0</v>
      </c>
      <c r="AB46" s="150">
        <f t="shared" si="36"/>
        <v>0</v>
      </c>
      <c r="AC46" s="150">
        <f t="shared" si="36"/>
        <v>0</v>
      </c>
      <c r="AD46" s="150">
        <f t="shared" si="36"/>
        <v>0</v>
      </c>
      <c r="AE46" s="150">
        <f t="shared" si="36"/>
        <v>0</v>
      </c>
      <c r="AF46" s="150">
        <f t="shared" si="36"/>
        <v>0</v>
      </c>
    </row>
    <row r="47" spans="2:32">
      <c r="B47" s="36" t="s">
        <v>25</v>
      </c>
      <c r="C47" s="35" t="s">
        <v>189</v>
      </c>
      <c r="D47" s="28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>
        <f t="shared" si="27"/>
        <v>0</v>
      </c>
      <c r="T47" t="s">
        <v>230</v>
      </c>
      <c r="U47" s="150">
        <f t="shared" ref="U47:AF47" si="37">SUM(E94:E95)/($E$67+$E$96)</f>
        <v>0</v>
      </c>
      <c r="V47" s="150">
        <f t="shared" si="37"/>
        <v>0</v>
      </c>
      <c r="W47" s="150">
        <f t="shared" si="37"/>
        <v>0</v>
      </c>
      <c r="X47" s="150">
        <f t="shared" si="37"/>
        <v>0</v>
      </c>
      <c r="Y47" s="150">
        <f t="shared" si="37"/>
        <v>0</v>
      </c>
      <c r="Z47" s="150">
        <f t="shared" si="37"/>
        <v>0</v>
      </c>
      <c r="AA47" s="150">
        <f t="shared" si="37"/>
        <v>0</v>
      </c>
      <c r="AB47" s="150">
        <f t="shared" si="37"/>
        <v>0</v>
      </c>
      <c r="AC47" s="150">
        <f t="shared" si="37"/>
        <v>0</v>
      </c>
      <c r="AD47" s="150">
        <f t="shared" si="37"/>
        <v>0</v>
      </c>
      <c r="AE47" s="150">
        <f t="shared" si="37"/>
        <v>0</v>
      </c>
      <c r="AF47" s="150">
        <f t="shared" si="37"/>
        <v>0</v>
      </c>
    </row>
    <row r="48" spans="2:32">
      <c r="B48" s="36"/>
      <c r="C48" s="33" t="s">
        <v>35</v>
      </c>
      <c r="D48" s="28">
        <f t="shared" ref="D48:P48" si="38">SUM(D36:D38)</f>
        <v>0</v>
      </c>
      <c r="E48" s="229">
        <f>SUM(E36:E38)</f>
        <v>22320</v>
      </c>
      <c r="F48" s="229">
        <f t="shared" si="38"/>
        <v>20160</v>
      </c>
      <c r="G48" s="229">
        <f t="shared" si="38"/>
        <v>22320</v>
      </c>
      <c r="H48" s="229">
        <f t="shared" si="38"/>
        <v>21600</v>
      </c>
      <c r="I48" s="229">
        <f t="shared" si="38"/>
        <v>22320</v>
      </c>
      <c r="J48" s="229">
        <f t="shared" si="38"/>
        <v>21600</v>
      </c>
      <c r="K48" s="229">
        <f t="shared" si="38"/>
        <v>13320.025048719595</v>
      </c>
      <c r="L48" s="229">
        <f t="shared" si="38"/>
        <v>25262</v>
      </c>
      <c r="M48" s="229">
        <f t="shared" si="38"/>
        <v>20140.781866917318</v>
      </c>
      <c r="N48" s="229">
        <f t="shared" si="38"/>
        <v>22320</v>
      </c>
      <c r="O48" s="229">
        <f t="shared" si="38"/>
        <v>26317</v>
      </c>
      <c r="P48" s="229">
        <f t="shared" si="38"/>
        <v>22320</v>
      </c>
      <c r="Q48" s="229">
        <f t="shared" si="27"/>
        <v>259999.80691563693</v>
      </c>
      <c r="T48" t="s">
        <v>231</v>
      </c>
      <c r="U48" s="150">
        <f t="shared" ref="U48:AF48" si="39">SUM(E86:E87)/($E$67+$E$96)</f>
        <v>0</v>
      </c>
      <c r="V48" s="150">
        <f t="shared" si="39"/>
        <v>0</v>
      </c>
      <c r="W48" s="150">
        <f t="shared" si="39"/>
        <v>0</v>
      </c>
      <c r="X48" s="150">
        <f t="shared" si="39"/>
        <v>0</v>
      </c>
      <c r="Y48" s="150">
        <f t="shared" si="39"/>
        <v>0</v>
      </c>
      <c r="Z48" s="150">
        <f t="shared" si="39"/>
        <v>0</v>
      </c>
      <c r="AA48" s="150">
        <f t="shared" si="39"/>
        <v>0</v>
      </c>
      <c r="AB48" s="150">
        <f t="shared" si="39"/>
        <v>0</v>
      </c>
      <c r="AC48" s="150">
        <f t="shared" si="39"/>
        <v>0</v>
      </c>
      <c r="AD48" s="150">
        <f t="shared" si="39"/>
        <v>0</v>
      </c>
      <c r="AE48" s="150">
        <f t="shared" si="39"/>
        <v>0</v>
      </c>
      <c r="AF48" s="150">
        <f t="shared" si="39"/>
        <v>0</v>
      </c>
    </row>
    <row r="49" spans="2:32">
      <c r="B49" s="36"/>
      <c r="C49" s="33" t="s">
        <v>36</v>
      </c>
      <c r="D49" s="28">
        <f t="shared" ref="D49:P49" si="40">SUM(D43:D46)</f>
        <v>0</v>
      </c>
      <c r="E49" s="229">
        <f t="shared" si="40"/>
        <v>3114.7295596507174</v>
      </c>
      <c r="F49" s="229">
        <f t="shared" si="40"/>
        <v>1939.4389980992528</v>
      </c>
      <c r="G49" s="229">
        <f t="shared" si="40"/>
        <v>1740.1485246819211</v>
      </c>
      <c r="H49" s="229">
        <f t="shared" si="40"/>
        <v>2214.7211981667824</v>
      </c>
      <c r="I49" s="229">
        <f t="shared" si="40"/>
        <v>0</v>
      </c>
      <c r="J49" s="229">
        <f t="shared" si="40"/>
        <v>3392.6818087115425</v>
      </c>
      <c r="K49" s="229">
        <f t="shared" si="40"/>
        <v>0</v>
      </c>
      <c r="L49" s="229">
        <f t="shared" si="40"/>
        <v>6000</v>
      </c>
      <c r="M49" s="229">
        <f t="shared" si="40"/>
        <v>2000</v>
      </c>
      <c r="N49" s="229">
        <f t="shared" si="40"/>
        <v>1940.4676425377256</v>
      </c>
      <c r="O49" s="229">
        <f t="shared" si="40"/>
        <v>6000</v>
      </c>
      <c r="P49" s="229">
        <f t="shared" si="40"/>
        <v>1869.7633839764021</v>
      </c>
      <c r="Q49" s="229">
        <f t="shared" si="27"/>
        <v>30211.951115824344</v>
      </c>
      <c r="T49" t="s">
        <v>232</v>
      </c>
      <c r="U49" s="150">
        <f t="shared" ref="U49:AF49" si="41">SUM(E88:E89)/($E$67+$E$96)</f>
        <v>0</v>
      </c>
      <c r="V49" s="150">
        <f t="shared" si="41"/>
        <v>0</v>
      </c>
      <c r="W49" s="150">
        <f t="shared" si="41"/>
        <v>0</v>
      </c>
      <c r="X49" s="150">
        <f t="shared" si="41"/>
        <v>0</v>
      </c>
      <c r="Y49" s="150">
        <f t="shared" si="41"/>
        <v>0</v>
      </c>
      <c r="Z49" s="150">
        <f t="shared" si="41"/>
        <v>0</v>
      </c>
      <c r="AA49" s="150">
        <f t="shared" si="41"/>
        <v>0</v>
      </c>
      <c r="AB49" s="150">
        <f t="shared" si="41"/>
        <v>0</v>
      </c>
      <c r="AC49" s="150">
        <f t="shared" si="41"/>
        <v>0</v>
      </c>
      <c r="AD49" s="150">
        <f t="shared" si="41"/>
        <v>0</v>
      </c>
      <c r="AE49" s="150">
        <f t="shared" si="41"/>
        <v>0</v>
      </c>
      <c r="AF49" s="150">
        <f t="shared" si="41"/>
        <v>0</v>
      </c>
    </row>
    <row r="50" spans="2:32">
      <c r="B50" s="28"/>
      <c r="C50" s="34" t="s">
        <v>37</v>
      </c>
      <c r="D50" s="28">
        <f t="shared" ref="D50:P50" si="42">SUM(D36:D47)</f>
        <v>0</v>
      </c>
      <c r="E50" s="229">
        <f t="shared" si="42"/>
        <v>83973.082694964251</v>
      </c>
      <c r="F50" s="229">
        <f t="shared" si="42"/>
        <v>74969.564410640509</v>
      </c>
      <c r="G50" s="229">
        <f t="shared" si="42"/>
        <v>82598.501659995454</v>
      </c>
      <c r="H50" s="229">
        <f t="shared" si="42"/>
        <v>80496.998425889557</v>
      </c>
      <c r="I50" s="229">
        <f t="shared" si="42"/>
        <v>80788.353135313533</v>
      </c>
      <c r="J50" s="229">
        <f t="shared" si="42"/>
        <v>81674.959036434317</v>
      </c>
      <c r="K50" s="229">
        <f t="shared" si="42"/>
        <v>40461.835154410772</v>
      </c>
      <c r="L50" s="229">
        <f t="shared" si="42"/>
        <v>76326</v>
      </c>
      <c r="M50" s="229">
        <f t="shared" si="42"/>
        <v>78823.059094640092</v>
      </c>
      <c r="N50" s="229">
        <f t="shared" si="42"/>
        <v>72498.820777851259</v>
      </c>
      <c r="O50" s="229">
        <f t="shared" si="42"/>
        <v>57999.277227722778</v>
      </c>
      <c r="P50" s="229">
        <f t="shared" si="42"/>
        <v>82728.116519289935</v>
      </c>
      <c r="Q50" s="229">
        <f>SUM(E50:P50)</f>
        <v>893338.56813715247</v>
      </c>
      <c r="T50" t="s">
        <v>177</v>
      </c>
      <c r="U50" s="150">
        <f t="shared" ref="U50:AF50" si="43">SUM(U41:U49)</f>
        <v>0.67918024726821058</v>
      </c>
      <c r="V50" s="150">
        <f t="shared" si="43"/>
        <v>0.68076238954672119</v>
      </c>
      <c r="W50" s="150">
        <f t="shared" si="43"/>
        <v>0.68990819181817575</v>
      </c>
      <c r="X50" s="150">
        <f t="shared" si="43"/>
        <v>0.68807814732769457</v>
      </c>
      <c r="Y50" s="150">
        <f t="shared" si="43"/>
        <v>0.69747461607516481</v>
      </c>
      <c r="Z50" s="150">
        <f t="shared" si="43"/>
        <v>0.68533897042443692</v>
      </c>
      <c r="AA50" s="150">
        <f t="shared" si="43"/>
        <v>0.79582700310092058</v>
      </c>
      <c r="AB50" s="150">
        <f t="shared" si="43"/>
        <v>0.7182193546771235</v>
      </c>
      <c r="AC50" s="150">
        <f t="shared" si="43"/>
        <v>0.6712912673301209</v>
      </c>
      <c r="AD50" s="150">
        <f t="shared" si="43"/>
        <v>0.68753890077958868</v>
      </c>
      <c r="AE50" s="150">
        <f t="shared" si="43"/>
        <v>0.77925373808630993</v>
      </c>
      <c r="AF50" s="150">
        <f t="shared" si="43"/>
        <v>0.68755641208644469</v>
      </c>
    </row>
    <row r="51" spans="2:32" ht="23.5">
      <c r="B51" s="28" t="s">
        <v>25</v>
      </c>
      <c r="C51" s="37" t="s">
        <v>51</v>
      </c>
      <c r="D51" s="28"/>
      <c r="E51" s="229">
        <f>'Data (64)'!U25*1000</f>
        <v>34100</v>
      </c>
      <c r="F51" s="229">
        <f>'Data (64)'!V25*1000</f>
        <v>30800</v>
      </c>
      <c r="G51" s="229">
        <f>'Data (64)'!W25*1000</f>
        <v>34100</v>
      </c>
      <c r="H51" s="229">
        <f>'Data (64)'!Y25*1000</f>
        <v>33000</v>
      </c>
      <c r="I51" s="229">
        <f>'Data (64)'!Z25*1000</f>
        <v>34100</v>
      </c>
      <c r="J51" s="229">
        <f>'Data (64)'!AA25*1000</f>
        <v>33000</v>
      </c>
      <c r="K51" s="229">
        <f>'Data (64)'!AC25*1000</f>
        <v>34100</v>
      </c>
      <c r="L51" s="229">
        <f>'Data (64)'!AD25*1000</f>
        <v>34100</v>
      </c>
      <c r="M51" s="229">
        <f>'Data (64)'!AE25*1000</f>
        <v>33000</v>
      </c>
      <c r="N51" s="229">
        <f>'Data (64)'!AG25*1000</f>
        <v>34100</v>
      </c>
      <c r="O51" s="229">
        <f>'Data (64)'!AH25*1000</f>
        <v>33000</v>
      </c>
      <c r="P51" s="229">
        <f>'Data (64)'!AI25*1000</f>
        <v>34100</v>
      </c>
      <c r="Q51" s="229">
        <f>SUM(E51:P51)</f>
        <v>401500</v>
      </c>
      <c r="T51" s="44" t="s">
        <v>71</v>
      </c>
    </row>
    <row r="52" spans="2:32">
      <c r="B52" s="28" t="s">
        <v>25</v>
      </c>
      <c r="C52" s="37" t="s">
        <v>52</v>
      </c>
      <c r="D52" s="28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>
        <f t="shared" ref="Q52:Q66" si="44">SUM(E52:P52)</f>
        <v>0</v>
      </c>
      <c r="T52" s="147" t="s">
        <v>218</v>
      </c>
      <c r="U52" s="150">
        <f t="shared" ref="U52:AF52" si="45">E127/E136</f>
        <v>0.43442754232848874</v>
      </c>
      <c r="V52" s="150">
        <f t="shared" si="45"/>
        <v>0.43797449395784416</v>
      </c>
      <c r="W52" s="150">
        <f t="shared" si="45"/>
        <v>0.42789210910749298</v>
      </c>
      <c r="X52" s="150">
        <f t="shared" si="45"/>
        <v>0.42593484140138904</v>
      </c>
      <c r="Y52" s="150">
        <f t="shared" si="45"/>
        <v>0.42628965699059124</v>
      </c>
      <c r="Z52" s="150">
        <f t="shared" si="45"/>
        <v>0.42758764425307527</v>
      </c>
      <c r="AA52" s="150">
        <f t="shared" si="45"/>
        <v>0.52685578821469869</v>
      </c>
      <c r="AB52" s="150">
        <f t="shared" si="45"/>
        <v>0.42427887311267826</v>
      </c>
      <c r="AC52" s="150">
        <f t="shared" si="45"/>
        <v>0.45183754542162846</v>
      </c>
      <c r="AD52" s="150">
        <f t="shared" si="45"/>
        <v>0.47348011752216868</v>
      </c>
      <c r="AE52" s="150">
        <f t="shared" si="45"/>
        <v>0.43152375828325307</v>
      </c>
      <c r="AF52" s="150">
        <f t="shared" si="45"/>
        <v>0.43366138269332632</v>
      </c>
    </row>
    <row r="53" spans="2:32">
      <c r="B53" s="32" t="s">
        <v>34</v>
      </c>
      <c r="C53" s="37" t="s">
        <v>53</v>
      </c>
      <c r="D53" s="28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>
        <f t="shared" si="44"/>
        <v>0</v>
      </c>
      <c r="T53" s="147" t="s">
        <v>220</v>
      </c>
      <c r="U53" s="150">
        <f t="shared" ref="U53:AF53" si="46">SUM(E128:E129)/E136</f>
        <v>0.5086608363757158</v>
      </c>
      <c r="V53" s="150">
        <f t="shared" si="46"/>
        <v>0.52028800019644494</v>
      </c>
      <c r="W53" s="150">
        <f t="shared" si="46"/>
        <v>0.4926330938678064</v>
      </c>
      <c r="X53" s="150">
        <f t="shared" si="46"/>
        <v>0.49542077285785624</v>
      </c>
      <c r="Y53" s="150">
        <f t="shared" si="46"/>
        <v>0.53548259127101017</v>
      </c>
      <c r="Z53" s="150">
        <f t="shared" si="46"/>
        <v>0.50681828082733682</v>
      </c>
      <c r="AA53" s="150">
        <f t="shared" si="46"/>
        <v>0.37762803876046275</v>
      </c>
      <c r="AB53" s="150">
        <f t="shared" si="46"/>
        <v>0.51301410517094204</v>
      </c>
      <c r="AC53" s="150">
        <f t="shared" si="46"/>
        <v>0.48564472469388603</v>
      </c>
      <c r="AD53" s="150">
        <f t="shared" si="46"/>
        <v>0.44541883369391178</v>
      </c>
      <c r="AE53" s="150">
        <f t="shared" si="46"/>
        <v>0.49072358624422496</v>
      </c>
      <c r="AF53" s="150">
        <f t="shared" si="46"/>
        <v>0.46780936109123478</v>
      </c>
    </row>
    <row r="54" spans="2:32">
      <c r="B54" s="28" t="s">
        <v>25</v>
      </c>
      <c r="C54" s="37" t="s">
        <v>54</v>
      </c>
      <c r="D54" s="28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>
        <f t="shared" si="44"/>
        <v>0</v>
      </c>
      <c r="T54" s="147" t="s">
        <v>233</v>
      </c>
      <c r="U54" s="150">
        <f t="shared" ref="U54:AF54" si="47">SUM(E130:E132)/E136</f>
        <v>5.6911621295795488E-2</v>
      </c>
      <c r="V54" s="150">
        <f t="shared" si="47"/>
        <v>4.1737505845710836E-2</v>
      </c>
      <c r="W54" s="150">
        <f t="shared" si="47"/>
        <v>7.9474797024700686E-2</v>
      </c>
      <c r="X54" s="150">
        <f t="shared" si="47"/>
        <v>7.8644385740754788E-2</v>
      </c>
      <c r="Y54" s="150">
        <f t="shared" si="47"/>
        <v>3.8227751738398548E-2</v>
      </c>
      <c r="Z54" s="150">
        <f t="shared" si="47"/>
        <v>6.5594074919588033E-2</v>
      </c>
      <c r="AA54" s="150">
        <f t="shared" si="47"/>
        <v>9.5516173024838516E-2</v>
      </c>
      <c r="AB54" s="150">
        <f t="shared" si="47"/>
        <v>6.2707021716379666E-2</v>
      </c>
      <c r="AC54" s="150">
        <f t="shared" si="47"/>
        <v>6.2517729884485548E-2</v>
      </c>
      <c r="AD54" s="150">
        <f t="shared" si="47"/>
        <v>8.1101048783919535E-2</v>
      </c>
      <c r="AE54" s="150">
        <f t="shared" si="47"/>
        <v>7.7752655472522095E-2</v>
      </c>
      <c r="AF54" s="150">
        <f t="shared" si="47"/>
        <v>9.8529256215438912E-2</v>
      </c>
    </row>
    <row r="55" spans="2:32">
      <c r="B55" s="28" t="s">
        <v>25</v>
      </c>
      <c r="C55" s="37" t="s">
        <v>55</v>
      </c>
      <c r="D55" s="28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>
        <f t="shared" si="44"/>
        <v>0</v>
      </c>
      <c r="T55" s="147" t="s">
        <v>177</v>
      </c>
      <c r="U55" s="150">
        <f t="shared" ref="U55:AF55" si="48">SUM(U52:U54)</f>
        <v>1</v>
      </c>
      <c r="V55" s="150">
        <f t="shared" si="48"/>
        <v>0.99999999999999989</v>
      </c>
      <c r="W55" s="150">
        <f t="shared" si="48"/>
        <v>1</v>
      </c>
      <c r="X55" s="150">
        <f t="shared" si="48"/>
        <v>1</v>
      </c>
      <c r="Y55" s="150">
        <f t="shared" si="48"/>
        <v>0.99999999999999989</v>
      </c>
      <c r="Z55" s="150">
        <f t="shared" si="48"/>
        <v>1.0000000000000002</v>
      </c>
      <c r="AA55" s="150">
        <f t="shared" si="48"/>
        <v>0.99999999999999989</v>
      </c>
      <c r="AB55" s="150">
        <f t="shared" si="48"/>
        <v>1</v>
      </c>
      <c r="AC55" s="150">
        <f t="shared" si="48"/>
        <v>1</v>
      </c>
      <c r="AD55" s="150">
        <f t="shared" si="48"/>
        <v>1</v>
      </c>
      <c r="AE55" s="150">
        <f t="shared" si="48"/>
        <v>1.0000000000000002</v>
      </c>
      <c r="AF55" s="150">
        <f t="shared" si="48"/>
        <v>1</v>
      </c>
    </row>
    <row r="56" spans="2:32" ht="23.5">
      <c r="B56" s="32" t="s">
        <v>34</v>
      </c>
      <c r="C56" s="37" t="s">
        <v>56</v>
      </c>
      <c r="D56" s="28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>
        <f t="shared" si="44"/>
        <v>0</v>
      </c>
      <c r="T56" s="44" t="s">
        <v>79</v>
      </c>
    </row>
    <row r="57" spans="2:32">
      <c r="B57" s="28" t="s">
        <v>25</v>
      </c>
      <c r="C57" s="28" t="s">
        <v>57</v>
      </c>
      <c r="D57" s="28"/>
      <c r="E57" s="229">
        <f>'Data (64)'!U29*1000</f>
        <v>8000</v>
      </c>
      <c r="F57" s="229">
        <f>'Data (64)'!V29*1000</f>
        <v>8000</v>
      </c>
      <c r="G57" s="229">
        <f>'Data (64)'!W29*1000</f>
        <v>8000</v>
      </c>
      <c r="H57" s="229">
        <f>'Data (64)'!Y29*1000</f>
        <v>8000</v>
      </c>
      <c r="I57" s="229">
        <f>'Data (64)'!Z29*1000</f>
        <v>8000</v>
      </c>
      <c r="J57" s="229">
        <f>'Data (64)'!AA29*1000</f>
        <v>8000</v>
      </c>
      <c r="K57" s="229">
        <f>'Data (64)'!AC29*1000</f>
        <v>8000</v>
      </c>
      <c r="L57" s="229">
        <f>'Data (64)'!AD29*1000</f>
        <v>8000</v>
      </c>
      <c r="M57" s="229">
        <f>'Data (64)'!AE29*1000</f>
        <v>8000</v>
      </c>
      <c r="N57" s="229">
        <f>'Data (64)'!AG29*1000</f>
        <v>8000</v>
      </c>
      <c r="O57" s="229">
        <f>'Data (64)'!AH29*1000</f>
        <v>8000</v>
      </c>
      <c r="P57" s="229">
        <f>'Data (64)'!AI29*1000</f>
        <v>8000</v>
      </c>
      <c r="Q57" s="229">
        <f t="shared" si="44"/>
        <v>96000</v>
      </c>
      <c r="T57" s="147" t="s">
        <v>220</v>
      </c>
      <c r="U57" s="152">
        <v>1</v>
      </c>
      <c r="V57" s="152">
        <v>1</v>
      </c>
      <c r="W57" s="152">
        <v>1</v>
      </c>
      <c r="X57" s="152">
        <v>1</v>
      </c>
      <c r="Y57" s="152">
        <v>1</v>
      </c>
      <c r="Z57" s="152">
        <v>1</v>
      </c>
      <c r="AA57" s="152">
        <v>1</v>
      </c>
      <c r="AB57" s="152">
        <v>1</v>
      </c>
      <c r="AC57" s="152">
        <v>1</v>
      </c>
      <c r="AD57" s="152">
        <v>1</v>
      </c>
      <c r="AE57" s="152">
        <v>1</v>
      </c>
      <c r="AF57" s="152">
        <v>1</v>
      </c>
    </row>
    <row r="58" spans="2:32">
      <c r="B58" s="28" t="s">
        <v>25</v>
      </c>
      <c r="C58" s="28" t="s">
        <v>58</v>
      </c>
      <c r="D58" s="28"/>
      <c r="E58" s="229"/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>
        <f t="shared" si="44"/>
        <v>0</v>
      </c>
    </row>
    <row r="59" spans="2:32">
      <c r="B59" s="28" t="s">
        <v>25</v>
      </c>
      <c r="C59" s="28" t="s">
        <v>59</v>
      </c>
      <c r="D59" s="28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>
        <f t="shared" si="44"/>
        <v>0</v>
      </c>
    </row>
    <row r="60" spans="2:32">
      <c r="B60" s="32" t="s">
        <v>34</v>
      </c>
      <c r="C60" s="28" t="s">
        <v>60</v>
      </c>
      <c r="D60" s="28"/>
      <c r="E60" s="229"/>
      <c r="F60" s="229"/>
      <c r="G60" s="229"/>
      <c r="H60" s="229"/>
      <c r="I60" s="229"/>
      <c r="J60" s="229"/>
      <c r="K60" s="229"/>
      <c r="L60" s="229"/>
      <c r="M60" s="229"/>
      <c r="N60" s="229"/>
      <c r="O60" s="229"/>
      <c r="P60" s="229"/>
      <c r="Q60" s="229">
        <f t="shared" si="44"/>
        <v>0</v>
      </c>
    </row>
    <row r="61" spans="2:32">
      <c r="B61" s="28" t="s">
        <v>25</v>
      </c>
      <c r="C61" s="28" t="s">
        <v>61</v>
      </c>
      <c r="D61" s="28"/>
      <c r="E61" s="229"/>
      <c r="F61" s="229"/>
      <c r="G61" s="229"/>
      <c r="H61" s="229"/>
      <c r="I61" s="229"/>
      <c r="J61" s="229"/>
      <c r="K61" s="229"/>
      <c r="L61" s="229"/>
      <c r="M61" s="229"/>
      <c r="N61" s="229"/>
      <c r="O61" s="229"/>
      <c r="P61" s="229"/>
      <c r="Q61" s="229">
        <f t="shared" si="44"/>
        <v>0</v>
      </c>
    </row>
    <row r="62" spans="2:32">
      <c r="B62" s="32" t="s">
        <v>25</v>
      </c>
      <c r="C62" s="28" t="s">
        <v>62</v>
      </c>
      <c r="D62" s="28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>
        <f t="shared" si="44"/>
        <v>0</v>
      </c>
    </row>
    <row r="63" spans="2:32">
      <c r="B63" s="28" t="s">
        <v>25</v>
      </c>
      <c r="C63" s="28" t="s">
        <v>63</v>
      </c>
      <c r="D63" s="28"/>
      <c r="E63" s="229"/>
      <c r="F63" s="229"/>
      <c r="G63" s="229"/>
      <c r="H63" s="229"/>
      <c r="I63" s="229"/>
      <c r="J63" s="229"/>
      <c r="K63" s="229"/>
      <c r="L63" s="229"/>
      <c r="M63" s="229"/>
      <c r="N63" s="229"/>
      <c r="O63" s="229"/>
      <c r="P63" s="229"/>
      <c r="Q63" s="229">
        <f t="shared" si="44"/>
        <v>0</v>
      </c>
    </row>
    <row r="64" spans="2:32">
      <c r="B64" s="32" t="s">
        <v>34</v>
      </c>
      <c r="C64" s="28" t="s">
        <v>64</v>
      </c>
      <c r="D64" s="28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>
        <f t="shared" si="44"/>
        <v>0</v>
      </c>
    </row>
    <row r="65" spans="2:17">
      <c r="B65" s="32"/>
      <c r="C65" s="33" t="s">
        <v>35</v>
      </c>
      <c r="D65" s="28">
        <f t="shared" ref="D65:P65" si="49">SUM(D51:D56)</f>
        <v>0</v>
      </c>
      <c r="E65" s="229">
        <f t="shared" si="49"/>
        <v>34100</v>
      </c>
      <c r="F65" s="229">
        <f t="shared" si="49"/>
        <v>30800</v>
      </c>
      <c r="G65" s="229">
        <f t="shared" si="49"/>
        <v>34100</v>
      </c>
      <c r="H65" s="229">
        <f t="shared" si="49"/>
        <v>33000</v>
      </c>
      <c r="I65" s="229">
        <f t="shared" si="49"/>
        <v>34100</v>
      </c>
      <c r="J65" s="229">
        <f t="shared" si="49"/>
        <v>33000</v>
      </c>
      <c r="K65" s="229">
        <f t="shared" si="49"/>
        <v>34100</v>
      </c>
      <c r="L65" s="229">
        <f t="shared" si="49"/>
        <v>34100</v>
      </c>
      <c r="M65" s="229">
        <f t="shared" si="49"/>
        <v>33000</v>
      </c>
      <c r="N65" s="229">
        <f t="shared" si="49"/>
        <v>34100</v>
      </c>
      <c r="O65" s="229">
        <f t="shared" si="49"/>
        <v>33000</v>
      </c>
      <c r="P65" s="229">
        <f t="shared" si="49"/>
        <v>34100</v>
      </c>
      <c r="Q65" s="229">
        <f t="shared" si="44"/>
        <v>401500</v>
      </c>
    </row>
    <row r="66" spans="2:17">
      <c r="B66" s="32"/>
      <c r="C66" s="33" t="s">
        <v>36</v>
      </c>
      <c r="D66" s="28">
        <f t="shared" ref="D66:P66" si="50">SUM(D57:D64)</f>
        <v>0</v>
      </c>
      <c r="E66" s="229">
        <f t="shared" si="50"/>
        <v>8000</v>
      </c>
      <c r="F66" s="229">
        <f t="shared" si="50"/>
        <v>8000</v>
      </c>
      <c r="G66" s="229">
        <f t="shared" si="50"/>
        <v>8000</v>
      </c>
      <c r="H66" s="229">
        <f t="shared" si="50"/>
        <v>8000</v>
      </c>
      <c r="I66" s="229">
        <f t="shared" si="50"/>
        <v>8000</v>
      </c>
      <c r="J66" s="229">
        <f t="shared" si="50"/>
        <v>8000</v>
      </c>
      <c r="K66" s="229">
        <f t="shared" si="50"/>
        <v>8000</v>
      </c>
      <c r="L66" s="229">
        <f t="shared" si="50"/>
        <v>8000</v>
      </c>
      <c r="M66" s="229">
        <f t="shared" si="50"/>
        <v>8000</v>
      </c>
      <c r="N66" s="229">
        <f t="shared" si="50"/>
        <v>8000</v>
      </c>
      <c r="O66" s="229">
        <f t="shared" si="50"/>
        <v>8000</v>
      </c>
      <c r="P66" s="229">
        <f t="shared" si="50"/>
        <v>8000</v>
      </c>
      <c r="Q66" s="229">
        <f t="shared" si="44"/>
        <v>96000</v>
      </c>
    </row>
    <row r="67" spans="2:17">
      <c r="B67" s="28"/>
      <c r="C67" s="33" t="s">
        <v>37</v>
      </c>
      <c r="D67" s="28">
        <f t="shared" ref="D67:P67" si="51">SUM(D51:D64)</f>
        <v>0</v>
      </c>
      <c r="E67" s="229">
        <f t="shared" si="51"/>
        <v>42100</v>
      </c>
      <c r="F67" s="229">
        <f t="shared" si="51"/>
        <v>38800</v>
      </c>
      <c r="G67" s="229">
        <f t="shared" si="51"/>
        <v>42100</v>
      </c>
      <c r="H67" s="229">
        <f t="shared" si="51"/>
        <v>41000</v>
      </c>
      <c r="I67" s="229">
        <f t="shared" si="51"/>
        <v>42100</v>
      </c>
      <c r="J67" s="229">
        <f t="shared" si="51"/>
        <v>41000</v>
      </c>
      <c r="K67" s="229">
        <f t="shared" si="51"/>
        <v>42100</v>
      </c>
      <c r="L67" s="229">
        <f t="shared" si="51"/>
        <v>42100</v>
      </c>
      <c r="M67" s="229">
        <f t="shared" si="51"/>
        <v>41000</v>
      </c>
      <c r="N67" s="229">
        <f t="shared" si="51"/>
        <v>42100</v>
      </c>
      <c r="O67" s="229">
        <f t="shared" si="51"/>
        <v>41000</v>
      </c>
      <c r="P67" s="229">
        <f t="shared" si="51"/>
        <v>42100</v>
      </c>
      <c r="Q67" s="229">
        <f>SUM(E67:P67)</f>
        <v>497500</v>
      </c>
    </row>
    <row r="68" spans="2:17">
      <c r="B68" s="28" t="s">
        <v>25</v>
      </c>
      <c r="C68" s="35" t="s">
        <v>87</v>
      </c>
      <c r="D68" s="28"/>
      <c r="E68" s="531"/>
      <c r="F68" s="531"/>
      <c r="G68" s="531"/>
      <c r="H68" s="229"/>
      <c r="I68" s="229"/>
      <c r="J68" s="229"/>
      <c r="K68" s="229"/>
      <c r="L68" s="229"/>
      <c r="M68" s="229"/>
      <c r="N68" s="229"/>
      <c r="O68" s="229"/>
      <c r="P68" s="229"/>
      <c r="Q68" s="229">
        <f>SUM(E68:P68)</f>
        <v>0</v>
      </c>
    </row>
    <row r="69" spans="2:17">
      <c r="B69" s="28" t="s">
        <v>25</v>
      </c>
      <c r="C69" s="35" t="s">
        <v>88</v>
      </c>
      <c r="D69" s="28"/>
      <c r="E69" s="229">
        <f>'Data (64)'!U30*1000</f>
        <v>114572.28048772956</v>
      </c>
      <c r="F69" s="229">
        <f>'Data (64)'!V30*1000</f>
        <v>96669.821538254357</v>
      </c>
      <c r="G69" s="229">
        <f>'Data (64)'!W30*1000</f>
        <v>120569.39159168085</v>
      </c>
      <c r="H69" s="229">
        <f>'Data (64)'!Y30*1000</f>
        <v>114370.84047751997</v>
      </c>
      <c r="I69" s="229">
        <f>'Data (64)'!Z30*1000</f>
        <v>123058.1739600328</v>
      </c>
      <c r="J69" s="229">
        <f>'Data (64)'!AA30*1000</f>
        <v>114689.94211005728</v>
      </c>
      <c r="K69" s="229">
        <f>'Data (64)'!AC30*1000</f>
        <v>94512.437491499528</v>
      </c>
      <c r="L69" s="229">
        <f>'Data (64)'!AD30*1000</f>
        <v>131344.27184760105</v>
      </c>
      <c r="M69" s="229">
        <f>'Data (64)'!AE30*1000</f>
        <v>97773.001248550689</v>
      </c>
      <c r="N69" s="229">
        <f>'Data (64)'!AG30*1000</f>
        <v>96326.288775739304</v>
      </c>
      <c r="O69" s="229">
        <f>'Data (64)'!AH30*1000</f>
        <v>141542.55461539142</v>
      </c>
      <c r="P69" s="229">
        <f>'Data (64)'!AI30*1000</f>
        <v>118849.65367511254</v>
      </c>
      <c r="Q69" s="229">
        <f t="shared" ref="Q69:Q95" si="52">SUM(E69:P69)</f>
        <v>1364278.6578191696</v>
      </c>
    </row>
    <row r="70" spans="2:17">
      <c r="B70" s="28" t="s">
        <v>25</v>
      </c>
      <c r="C70" s="35" t="s">
        <v>89</v>
      </c>
      <c r="D70" s="28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  <c r="P70" s="229"/>
      <c r="Q70" s="229">
        <f t="shared" si="52"/>
        <v>0</v>
      </c>
    </row>
    <row r="71" spans="2:17">
      <c r="B71" s="28" t="s">
        <v>25</v>
      </c>
      <c r="C71" s="35" t="s">
        <v>90</v>
      </c>
      <c r="D71" s="28"/>
      <c r="E71" s="230">
        <f>'Data (64)'!U27*1000</f>
        <v>63200</v>
      </c>
      <c r="F71" s="230">
        <f>'Data (64)'!V27*1000</f>
        <v>63200</v>
      </c>
      <c r="G71" s="230">
        <f>'Data (64)'!W27*1000</f>
        <v>63200</v>
      </c>
      <c r="H71" s="229">
        <f>'Data (64)'!Y27*1000</f>
        <v>63200</v>
      </c>
      <c r="I71" s="229">
        <f>'Data (64)'!Z27*1000</f>
        <v>63200</v>
      </c>
      <c r="J71" s="229">
        <f>'Data (64)'!AA27*1000</f>
        <v>63200</v>
      </c>
      <c r="K71" s="229">
        <f>'Data (64)'!AC27*1000</f>
        <v>63200</v>
      </c>
      <c r="L71" s="229">
        <f>'Data (64)'!AD27*1000</f>
        <v>63200</v>
      </c>
      <c r="M71" s="229">
        <f>'Data (64)'!AE27*1000</f>
        <v>63200</v>
      </c>
      <c r="N71" s="229">
        <f>'Data (64)'!AG27*1000</f>
        <v>63200</v>
      </c>
      <c r="O71" s="229">
        <f>'Data (64)'!AH27*1000</f>
        <v>63200</v>
      </c>
      <c r="P71" s="229">
        <f>'Data (64)'!AI27*1000</f>
        <v>63200</v>
      </c>
      <c r="Q71" s="229">
        <f t="shared" si="52"/>
        <v>758400</v>
      </c>
    </row>
    <row r="72" spans="2:17">
      <c r="B72" s="28" t="s">
        <v>76</v>
      </c>
      <c r="C72" s="35" t="s">
        <v>91</v>
      </c>
      <c r="D72" s="28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>
        <f t="shared" si="52"/>
        <v>0</v>
      </c>
    </row>
    <row r="73" spans="2:17">
      <c r="B73" s="28" t="s">
        <v>25</v>
      </c>
      <c r="C73" s="35" t="s">
        <v>92</v>
      </c>
      <c r="D73" s="28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  <c r="P73" s="229"/>
      <c r="Q73" s="229">
        <f t="shared" si="52"/>
        <v>0</v>
      </c>
    </row>
    <row r="74" spans="2:17">
      <c r="B74" s="28" t="s">
        <v>25</v>
      </c>
      <c r="C74" s="35" t="s">
        <v>93</v>
      </c>
      <c r="D74" s="28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  <c r="P74" s="229"/>
      <c r="Q74" s="229">
        <f t="shared" si="52"/>
        <v>0</v>
      </c>
    </row>
    <row r="75" spans="2:17">
      <c r="B75" s="28" t="s">
        <v>25</v>
      </c>
      <c r="C75" s="35" t="s">
        <v>94</v>
      </c>
      <c r="D75" s="28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>
        <f t="shared" si="52"/>
        <v>0</v>
      </c>
    </row>
    <row r="76" spans="2:17">
      <c r="B76" s="28" t="s">
        <v>25</v>
      </c>
      <c r="C76" s="35" t="s">
        <v>95</v>
      </c>
      <c r="D76" s="28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  <c r="P76" s="229"/>
      <c r="Q76" s="229">
        <f t="shared" si="52"/>
        <v>0</v>
      </c>
    </row>
    <row r="77" spans="2:17">
      <c r="B77" s="28" t="s">
        <v>25</v>
      </c>
      <c r="C77" s="35" t="s">
        <v>96</v>
      </c>
      <c r="D77" s="28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  <c r="P77" s="229"/>
      <c r="Q77" s="229">
        <f t="shared" si="52"/>
        <v>0</v>
      </c>
    </row>
    <row r="78" spans="2:17">
      <c r="B78" s="28" t="s">
        <v>25</v>
      </c>
      <c r="C78" s="35" t="s">
        <v>97</v>
      </c>
      <c r="D78" s="28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>
        <f t="shared" si="52"/>
        <v>0</v>
      </c>
    </row>
    <row r="79" spans="2:17">
      <c r="B79" s="28" t="s">
        <v>25</v>
      </c>
      <c r="C79" s="35" t="s">
        <v>98</v>
      </c>
      <c r="D79" s="28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>
        <f t="shared" si="52"/>
        <v>0</v>
      </c>
    </row>
    <row r="80" spans="2:17">
      <c r="B80" s="28" t="s">
        <v>25</v>
      </c>
      <c r="C80" s="35" t="s">
        <v>99</v>
      </c>
      <c r="D80" s="28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>
        <f t="shared" si="52"/>
        <v>0</v>
      </c>
    </row>
    <row r="81" spans="2:17">
      <c r="B81" s="28" t="s">
        <v>25</v>
      </c>
      <c r="C81" s="35" t="s">
        <v>100</v>
      </c>
      <c r="D81" s="28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>
        <f t="shared" si="52"/>
        <v>0</v>
      </c>
    </row>
    <row r="82" spans="2:17">
      <c r="B82" s="28" t="s">
        <v>25</v>
      </c>
      <c r="C82" s="35" t="s">
        <v>101</v>
      </c>
      <c r="D82" s="28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>
        <f t="shared" si="52"/>
        <v>0</v>
      </c>
    </row>
    <row r="83" spans="2:17">
      <c r="B83" s="28" t="s">
        <v>25</v>
      </c>
      <c r="C83" s="35" t="s">
        <v>102</v>
      </c>
      <c r="D83" s="28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>
        <f t="shared" si="52"/>
        <v>0</v>
      </c>
    </row>
    <row r="84" spans="2:17">
      <c r="B84" s="28" t="s">
        <v>25</v>
      </c>
      <c r="C84" s="35" t="s">
        <v>103</v>
      </c>
      <c r="D84" s="28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>
        <f t="shared" si="52"/>
        <v>0</v>
      </c>
    </row>
    <row r="85" spans="2:17">
      <c r="B85" s="28" t="s">
        <v>25</v>
      </c>
      <c r="C85" s="35" t="s">
        <v>104</v>
      </c>
      <c r="D85" s="28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>
        <f t="shared" si="52"/>
        <v>0</v>
      </c>
    </row>
    <row r="86" spans="2:17">
      <c r="B86" s="28" t="s">
        <v>25</v>
      </c>
      <c r="C86" s="38" t="s">
        <v>105</v>
      </c>
      <c r="D86" s="28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>
        <f t="shared" si="52"/>
        <v>0</v>
      </c>
    </row>
    <row r="87" spans="2:17">
      <c r="B87" s="28" t="s">
        <v>25</v>
      </c>
      <c r="C87" s="38" t="s">
        <v>106</v>
      </c>
      <c r="D87" s="28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>
        <f t="shared" si="52"/>
        <v>0</v>
      </c>
    </row>
    <row r="88" spans="2:17">
      <c r="B88" s="28" t="s">
        <v>25</v>
      </c>
      <c r="C88" s="38" t="s">
        <v>107</v>
      </c>
      <c r="D88" s="28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>
        <f t="shared" si="52"/>
        <v>0</v>
      </c>
    </row>
    <row r="89" spans="2:17">
      <c r="B89" s="28" t="s">
        <v>25</v>
      </c>
      <c r="C89" s="38" t="s">
        <v>108</v>
      </c>
      <c r="D89" s="28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>
        <f t="shared" si="52"/>
        <v>0</v>
      </c>
    </row>
    <row r="90" spans="2:17">
      <c r="B90" s="28" t="s">
        <v>25</v>
      </c>
      <c r="C90" s="38" t="s">
        <v>109</v>
      </c>
      <c r="D90" s="28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>
        <f t="shared" si="52"/>
        <v>0</v>
      </c>
    </row>
    <row r="91" spans="2:17">
      <c r="B91" s="28" t="s">
        <v>25</v>
      </c>
      <c r="C91" s="38" t="s">
        <v>110</v>
      </c>
      <c r="D91" s="28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>
        <f t="shared" si="52"/>
        <v>0</v>
      </c>
    </row>
    <row r="92" spans="2:17">
      <c r="B92" s="28" t="s">
        <v>25</v>
      </c>
      <c r="C92" s="38" t="s">
        <v>111</v>
      </c>
      <c r="D92" s="28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>
        <f t="shared" si="52"/>
        <v>0</v>
      </c>
    </row>
    <row r="93" spans="2:17">
      <c r="B93" s="28" t="s">
        <v>25</v>
      </c>
      <c r="C93" s="38" t="s">
        <v>112</v>
      </c>
      <c r="D93" s="28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>
        <f t="shared" si="52"/>
        <v>0</v>
      </c>
    </row>
    <row r="94" spans="2:17">
      <c r="B94" s="28" t="s">
        <v>25</v>
      </c>
      <c r="C94" s="28" t="s">
        <v>113</v>
      </c>
      <c r="D94" s="28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>
        <f t="shared" si="52"/>
        <v>0</v>
      </c>
    </row>
    <row r="95" spans="2:17">
      <c r="B95" s="28" t="s">
        <v>25</v>
      </c>
      <c r="C95" s="28" t="s">
        <v>114</v>
      </c>
      <c r="D95" s="28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>
        <f t="shared" si="52"/>
        <v>0</v>
      </c>
    </row>
    <row r="96" spans="2:17">
      <c r="B96" s="28"/>
      <c r="C96" s="34" t="s">
        <v>37</v>
      </c>
      <c r="D96" s="28">
        <f>SUM(D68:D95)</f>
        <v>0</v>
      </c>
      <c r="E96" s="229">
        <f>SUM(E69:E95)</f>
        <v>177772.28048772956</v>
      </c>
      <c r="F96" s="229">
        <f>SUM(F69:F95)</f>
        <v>159869.82153825436</v>
      </c>
      <c r="G96" s="229">
        <f>SUM(G69:G95)</f>
        <v>183769.39159168085</v>
      </c>
      <c r="H96" s="229">
        <f t="shared" ref="H96:P96" si="53">SUM(H68:H95)</f>
        <v>177570.84047751996</v>
      </c>
      <c r="I96" s="229">
        <f t="shared" si="53"/>
        <v>186258.17396003281</v>
      </c>
      <c r="J96" s="229">
        <f t="shared" si="53"/>
        <v>177889.94211005728</v>
      </c>
      <c r="K96" s="229">
        <f t="shared" si="53"/>
        <v>157712.43749149953</v>
      </c>
      <c r="L96" s="229">
        <f t="shared" si="53"/>
        <v>194544.27184760105</v>
      </c>
      <c r="M96" s="229">
        <f t="shared" si="53"/>
        <v>160973.00124855069</v>
      </c>
      <c r="N96" s="229">
        <f t="shared" si="53"/>
        <v>159526.28877573932</v>
      </c>
      <c r="O96" s="229">
        <f t="shared" si="53"/>
        <v>204742.55461539142</v>
      </c>
      <c r="P96" s="229">
        <f t="shared" si="53"/>
        <v>182049.65367511252</v>
      </c>
      <c r="Q96" s="229">
        <f>SUM(E96:P96)</f>
        <v>2122678.6578191691</v>
      </c>
    </row>
    <row r="97" spans="2:17">
      <c r="B97" s="28" t="s">
        <v>131</v>
      </c>
      <c r="C97" s="28" t="s">
        <v>115</v>
      </c>
      <c r="D97" s="28"/>
      <c r="E97" s="229">
        <f>'[12]Rolling พี่เตย'!E113*1000</f>
        <v>0</v>
      </c>
      <c r="F97" s="229">
        <f>'[12]Rolling พี่เตย'!F113*1000</f>
        <v>0</v>
      </c>
      <c r="G97" s="229">
        <f>'[12]Rolling พี่เตย'!G113*1000</f>
        <v>0</v>
      </c>
      <c r="H97" s="229">
        <f>'[12]Rolling พี่เตย'!H113*1000</f>
        <v>0</v>
      </c>
      <c r="I97" s="229">
        <f>'[12]Rolling พี่เตย'!I113*1000</f>
        <v>0</v>
      </c>
      <c r="J97" s="229">
        <f>'[12]Rolling พี่เตย'!J113*1000</f>
        <v>0</v>
      </c>
      <c r="K97" s="229">
        <f>'[12]Rolling พี่เตย'!K113*1000</f>
        <v>0</v>
      </c>
      <c r="L97" s="229">
        <f>'[12]Rolling พี่เตย'!L113*1000</f>
        <v>0</v>
      </c>
      <c r="M97" s="229">
        <f>'[12]Rolling พี่เตย'!M113*1000</f>
        <v>0</v>
      </c>
      <c r="N97" s="229">
        <f>'[12]Rolling พี่เตย'!N113*1000</f>
        <v>0</v>
      </c>
      <c r="O97" s="229">
        <f>'[12]Rolling พี่เตย'!O113*1000</f>
        <v>0</v>
      </c>
      <c r="P97" s="229">
        <f>'[12]Rolling พี่เตย'!P113*1000</f>
        <v>0</v>
      </c>
      <c r="Q97" s="229">
        <f>SUM(E97:P97)</f>
        <v>0</v>
      </c>
    </row>
    <row r="98" spans="2:17">
      <c r="B98" s="28" t="s">
        <v>134</v>
      </c>
      <c r="C98" s="28" t="s">
        <v>116</v>
      </c>
      <c r="D98" s="28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>
        <f t="shared" ref="Q98:Q112" si="54">SUM(E98:P98)</f>
        <v>0</v>
      </c>
    </row>
    <row r="99" spans="2:17">
      <c r="B99" s="28" t="s">
        <v>134</v>
      </c>
      <c r="C99" s="28" t="s">
        <v>97</v>
      </c>
      <c r="D99" s="28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>
        <f>SUM(E99:P99)</f>
        <v>0</v>
      </c>
    </row>
    <row r="100" spans="2:17">
      <c r="B100" s="28" t="s">
        <v>134</v>
      </c>
      <c r="C100" s="28" t="s">
        <v>100</v>
      </c>
      <c r="D100" s="28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>
        <f t="shared" si="54"/>
        <v>0</v>
      </c>
    </row>
    <row r="101" spans="2:17">
      <c r="B101" s="28" t="s">
        <v>134</v>
      </c>
      <c r="C101" s="28" t="s">
        <v>101</v>
      </c>
      <c r="D101" s="28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>
        <f t="shared" si="54"/>
        <v>0</v>
      </c>
    </row>
    <row r="102" spans="2:17">
      <c r="B102" s="28" t="s">
        <v>132</v>
      </c>
      <c r="C102" s="28" t="s">
        <v>120</v>
      </c>
      <c r="D102" s="28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>
        <f t="shared" si="54"/>
        <v>0</v>
      </c>
    </row>
    <row r="103" spans="2:17">
      <c r="B103" s="28" t="s">
        <v>133</v>
      </c>
      <c r="C103" s="28" t="s">
        <v>121</v>
      </c>
      <c r="D103" s="28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>
        <f t="shared" si="54"/>
        <v>0</v>
      </c>
    </row>
    <row r="104" spans="2:17">
      <c r="B104" s="28" t="s">
        <v>134</v>
      </c>
      <c r="C104" s="28" t="s">
        <v>122</v>
      </c>
      <c r="D104" s="28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>
        <f t="shared" si="54"/>
        <v>0</v>
      </c>
    </row>
    <row r="105" spans="2:17">
      <c r="B105" s="28" t="s">
        <v>134</v>
      </c>
      <c r="C105" s="28" t="s">
        <v>123</v>
      </c>
      <c r="D105" s="28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>
        <f t="shared" si="54"/>
        <v>0</v>
      </c>
    </row>
    <row r="106" spans="2:17">
      <c r="B106" s="28" t="s">
        <v>134</v>
      </c>
      <c r="C106" s="40" t="s">
        <v>124</v>
      </c>
      <c r="D106" s="28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>
        <f t="shared" si="54"/>
        <v>0</v>
      </c>
    </row>
    <row r="107" spans="2:17">
      <c r="B107" s="28" t="s">
        <v>134</v>
      </c>
      <c r="C107" s="40" t="s">
        <v>125</v>
      </c>
      <c r="D107" s="28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>
        <f t="shared" si="54"/>
        <v>0</v>
      </c>
    </row>
    <row r="108" spans="2:17">
      <c r="B108" s="28" t="s">
        <v>134</v>
      </c>
      <c r="C108" s="40" t="s">
        <v>126</v>
      </c>
      <c r="D108" s="28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>
        <f t="shared" si="54"/>
        <v>0</v>
      </c>
    </row>
    <row r="109" spans="2:17">
      <c r="B109" s="28" t="s">
        <v>134</v>
      </c>
      <c r="C109" s="40" t="s">
        <v>127</v>
      </c>
      <c r="D109" s="28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>
        <f t="shared" si="54"/>
        <v>0</v>
      </c>
    </row>
    <row r="110" spans="2:17">
      <c r="B110" s="28" t="s">
        <v>134</v>
      </c>
      <c r="C110" s="28" t="s">
        <v>128</v>
      </c>
      <c r="D110" s="28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29">
        <f t="shared" si="54"/>
        <v>0</v>
      </c>
    </row>
    <row r="111" spans="2:17">
      <c r="B111" s="28" t="s">
        <v>134</v>
      </c>
      <c r="C111" s="28" t="s">
        <v>129</v>
      </c>
      <c r="D111" s="28"/>
      <c r="E111" s="229"/>
      <c r="F111" s="229"/>
      <c r="G111" s="229"/>
      <c r="H111" s="229"/>
      <c r="I111" s="229"/>
      <c r="J111" s="229"/>
      <c r="K111" s="229"/>
      <c r="L111" s="229"/>
      <c r="M111" s="229"/>
      <c r="N111" s="229"/>
      <c r="O111" s="229"/>
      <c r="P111" s="229"/>
      <c r="Q111" s="229">
        <f t="shared" si="54"/>
        <v>0</v>
      </c>
    </row>
    <row r="112" spans="2:17">
      <c r="B112" s="28" t="s">
        <v>132</v>
      </c>
      <c r="C112" s="28" t="s">
        <v>130</v>
      </c>
      <c r="D112" s="28"/>
      <c r="E112" s="229"/>
      <c r="F112" s="229"/>
      <c r="G112" s="229"/>
      <c r="H112" s="229"/>
      <c r="I112" s="229"/>
      <c r="J112" s="229"/>
      <c r="K112" s="229"/>
      <c r="L112" s="229"/>
      <c r="M112" s="229"/>
      <c r="N112" s="229"/>
      <c r="O112" s="229"/>
      <c r="P112" s="229"/>
      <c r="Q112" s="229">
        <f t="shared" si="54"/>
        <v>0</v>
      </c>
    </row>
    <row r="113" spans="2:17">
      <c r="B113" s="28"/>
      <c r="C113" s="34" t="s">
        <v>37</v>
      </c>
      <c r="D113" s="28">
        <f t="shared" ref="D113:P113" si="55">SUM(D97:D112)</f>
        <v>0</v>
      </c>
      <c r="E113" s="229">
        <f t="shared" si="55"/>
        <v>0</v>
      </c>
      <c r="F113" s="229">
        <f t="shared" si="55"/>
        <v>0</v>
      </c>
      <c r="G113" s="229">
        <f t="shared" si="55"/>
        <v>0</v>
      </c>
      <c r="H113" s="229">
        <f t="shared" si="55"/>
        <v>0</v>
      </c>
      <c r="I113" s="229">
        <f t="shared" si="55"/>
        <v>0</v>
      </c>
      <c r="J113" s="229">
        <f t="shared" si="55"/>
        <v>0</v>
      </c>
      <c r="K113" s="229">
        <f t="shared" si="55"/>
        <v>0</v>
      </c>
      <c r="L113" s="229">
        <f t="shared" si="55"/>
        <v>0</v>
      </c>
      <c r="M113" s="229">
        <f t="shared" si="55"/>
        <v>0</v>
      </c>
      <c r="N113" s="229">
        <f t="shared" si="55"/>
        <v>0</v>
      </c>
      <c r="O113" s="229">
        <f t="shared" si="55"/>
        <v>0</v>
      </c>
      <c r="P113" s="229">
        <f t="shared" si="55"/>
        <v>0</v>
      </c>
      <c r="Q113" s="229">
        <f>SUM(E113:P113)</f>
        <v>0</v>
      </c>
    </row>
    <row r="114" spans="2:17">
      <c r="B114" s="41" t="s">
        <v>34</v>
      </c>
      <c r="C114" s="28" t="s">
        <v>68</v>
      </c>
      <c r="D114" s="28"/>
      <c r="E114" s="230">
        <f>'Data (64)'!U28*1000</f>
        <v>49077.719512270451</v>
      </c>
      <c r="F114" s="230">
        <f>'Data (64)'!V28*1000</f>
        <v>66980.178461745658</v>
      </c>
      <c r="G114" s="230">
        <f>'Data (64)'!W28*1000</f>
        <v>43080.608408319167</v>
      </c>
      <c r="H114" s="229">
        <f>'Data (64)'!Y28*1000</f>
        <v>49279.159522480026</v>
      </c>
      <c r="I114" s="229">
        <f>'Data (64)'!Z28*1000</f>
        <v>40591.8260399672</v>
      </c>
      <c r="J114" s="229">
        <f>'Data (64)'!AA28*1000</f>
        <v>48960.057889942735</v>
      </c>
      <c r="K114" s="229">
        <f>'Data (64)'!AC28*1000</f>
        <v>69137.562508500487</v>
      </c>
      <c r="L114" s="229">
        <f>'Data (64)'!AD28*1000</f>
        <v>32305.728152398955</v>
      </c>
      <c r="M114" s="229">
        <f>'Data (64)'!AE28*1000</f>
        <v>65876.998751449326</v>
      </c>
      <c r="N114" s="229">
        <f>'Data (64)'!AG28*1000</f>
        <v>67323.711224260711</v>
      </c>
      <c r="O114" s="229">
        <f>'Data (64)'!AH28*1000</f>
        <v>22107.445384608582</v>
      </c>
      <c r="P114" s="229">
        <f>'Data (64)'!AI28*1000</f>
        <v>44800.346324887469</v>
      </c>
      <c r="Q114" s="229">
        <f>SUM(E114:P114)</f>
        <v>599521.34218083078</v>
      </c>
    </row>
    <row r="115" spans="2:17">
      <c r="B115" s="45" t="s">
        <v>69</v>
      </c>
      <c r="C115" s="46" t="s">
        <v>68</v>
      </c>
      <c r="D115" s="28"/>
      <c r="E115" s="229"/>
      <c r="F115" s="229"/>
      <c r="G115" s="229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>
        <f t="shared" ref="Q115:Q116" si="56">SUM(E115:P115)</f>
        <v>0</v>
      </c>
    </row>
    <row r="116" spans="2:17">
      <c r="B116" s="45" t="s">
        <v>69</v>
      </c>
      <c r="C116" s="46" t="s">
        <v>70</v>
      </c>
      <c r="D116" s="28"/>
      <c r="E116" s="229">
        <f>'Data (64)'!U31*1000</f>
        <v>11000</v>
      </c>
      <c r="F116" s="229">
        <f>'Data (64)'!V31*1000</f>
        <v>11000</v>
      </c>
      <c r="G116" s="229">
        <f>'Data (64)'!W31*1000</f>
        <v>11000</v>
      </c>
      <c r="H116" s="229">
        <f>'Data (64)'!Y31*1000</f>
        <v>11000</v>
      </c>
      <c r="I116" s="229">
        <f>'Data (64)'!Z31*1000</f>
        <v>11000</v>
      </c>
      <c r="J116" s="229">
        <f>'Data (64)'!AA31*1000</f>
        <v>11000</v>
      </c>
      <c r="K116" s="229">
        <f>'Data (64)'!AC31*1000</f>
        <v>11000</v>
      </c>
      <c r="L116" s="229">
        <f>'Data (64)'!AD31*1000</f>
        <v>11000</v>
      </c>
      <c r="M116" s="229">
        <f>'Data (64)'!AE31*1000</f>
        <v>11000</v>
      </c>
      <c r="N116" s="229">
        <f>'Data (64)'!AG31*1000</f>
        <v>11000</v>
      </c>
      <c r="O116" s="229">
        <f>'Data (64)'!AH31*1000</f>
        <v>11000</v>
      </c>
      <c r="P116" s="229">
        <f>'Data (64)'!AI31*1000</f>
        <v>11000</v>
      </c>
      <c r="Q116" s="229">
        <f t="shared" si="56"/>
        <v>132000</v>
      </c>
    </row>
    <row r="117" spans="2:17">
      <c r="B117" s="28"/>
      <c r="C117" s="34" t="s">
        <v>37</v>
      </c>
      <c r="D117" s="28">
        <f t="shared" ref="D117:P117" si="57">SUM(D114:D116)</f>
        <v>0</v>
      </c>
      <c r="E117" s="229">
        <f t="shared" si="57"/>
        <v>60077.719512270451</v>
      </c>
      <c r="F117" s="229">
        <f t="shared" si="57"/>
        <v>77980.178461745658</v>
      </c>
      <c r="G117" s="229">
        <f t="shared" si="57"/>
        <v>54080.608408319167</v>
      </c>
      <c r="H117" s="229">
        <f t="shared" si="57"/>
        <v>60279.159522480026</v>
      </c>
      <c r="I117" s="229">
        <f t="shared" si="57"/>
        <v>51591.8260399672</v>
      </c>
      <c r="J117" s="229">
        <f t="shared" si="57"/>
        <v>59960.057889942735</v>
      </c>
      <c r="K117" s="229">
        <f t="shared" si="57"/>
        <v>80137.562508500487</v>
      </c>
      <c r="L117" s="229">
        <f t="shared" si="57"/>
        <v>43305.728152398951</v>
      </c>
      <c r="M117" s="229">
        <f t="shared" si="57"/>
        <v>76876.998751449326</v>
      </c>
      <c r="N117" s="229">
        <f t="shared" si="57"/>
        <v>78323.711224260711</v>
      </c>
      <c r="O117" s="229">
        <f t="shared" si="57"/>
        <v>33107.445384608582</v>
      </c>
      <c r="P117" s="229">
        <f t="shared" si="57"/>
        <v>55800.346324887469</v>
      </c>
      <c r="Q117" s="229">
        <f>SUM(E117:P117)</f>
        <v>731521.34218083078</v>
      </c>
    </row>
    <row r="118" spans="2:17">
      <c r="B118" s="28" t="s">
        <v>25</v>
      </c>
      <c r="C118" s="28" t="s">
        <v>72</v>
      </c>
      <c r="D118" s="28"/>
      <c r="E118" s="229"/>
      <c r="F118" s="229"/>
      <c r="G118" s="229"/>
      <c r="H118" s="229"/>
      <c r="I118" s="229"/>
      <c r="J118" s="229"/>
      <c r="K118" s="229"/>
      <c r="L118" s="229"/>
      <c r="M118" s="229"/>
      <c r="N118" s="229"/>
      <c r="O118" s="229"/>
      <c r="P118" s="229"/>
      <c r="Q118" s="229">
        <f>SUM(E118:P118)</f>
        <v>0</v>
      </c>
    </row>
    <row r="119" spans="2:17">
      <c r="B119" s="28" t="s">
        <v>25</v>
      </c>
      <c r="C119" s="28" t="s">
        <v>73</v>
      </c>
      <c r="D119" s="28"/>
      <c r="E119" s="229"/>
      <c r="F119" s="229"/>
      <c r="G119" s="229"/>
      <c r="H119" s="229"/>
      <c r="I119" s="229"/>
      <c r="J119" s="229"/>
      <c r="K119" s="229"/>
      <c r="L119" s="229"/>
      <c r="M119" s="229"/>
      <c r="N119" s="229"/>
      <c r="O119" s="229"/>
      <c r="P119" s="229"/>
      <c r="Q119" s="229">
        <f t="shared" ref="Q119:Q125" si="58">SUM(E119:P119)</f>
        <v>0</v>
      </c>
    </row>
    <row r="120" spans="2:17">
      <c r="B120" s="28" t="s">
        <v>25</v>
      </c>
      <c r="C120" s="28" t="s">
        <v>74</v>
      </c>
      <c r="D120" s="28"/>
      <c r="E120" s="229"/>
      <c r="F120" s="229"/>
      <c r="G120" s="229"/>
      <c r="H120" s="229"/>
      <c r="I120" s="229"/>
      <c r="J120" s="229"/>
      <c r="K120" s="229"/>
      <c r="L120" s="229"/>
      <c r="M120" s="229"/>
      <c r="N120" s="229"/>
      <c r="O120" s="229"/>
      <c r="P120" s="229"/>
      <c r="Q120" s="229">
        <f t="shared" si="58"/>
        <v>0</v>
      </c>
    </row>
    <row r="121" spans="2:17">
      <c r="B121" s="28" t="s">
        <v>76</v>
      </c>
      <c r="C121" s="28" t="s">
        <v>75</v>
      </c>
      <c r="D121" s="28"/>
      <c r="E121" s="229"/>
      <c r="F121" s="229"/>
      <c r="G121" s="229"/>
      <c r="H121" s="229"/>
      <c r="I121" s="229"/>
      <c r="J121" s="229"/>
      <c r="K121" s="229"/>
      <c r="L121" s="229"/>
      <c r="M121" s="229"/>
      <c r="N121" s="229"/>
      <c r="O121" s="229"/>
      <c r="P121" s="229"/>
      <c r="Q121" s="229">
        <f t="shared" si="58"/>
        <v>0</v>
      </c>
    </row>
    <row r="122" spans="2:17">
      <c r="B122" s="28" t="s">
        <v>25</v>
      </c>
      <c r="C122" s="28" t="s">
        <v>77</v>
      </c>
      <c r="D122" s="28"/>
      <c r="E122" s="229"/>
      <c r="F122" s="229"/>
      <c r="G122" s="229"/>
      <c r="H122" s="229"/>
      <c r="I122" s="229"/>
      <c r="J122" s="229"/>
      <c r="K122" s="229"/>
      <c r="L122" s="229"/>
      <c r="M122" s="229"/>
      <c r="N122" s="229"/>
      <c r="O122" s="229"/>
      <c r="P122" s="229"/>
      <c r="Q122" s="229">
        <f t="shared" si="58"/>
        <v>0</v>
      </c>
    </row>
    <row r="123" spans="2:17">
      <c r="B123" s="28" t="s">
        <v>25</v>
      </c>
      <c r="C123" s="28" t="s">
        <v>78</v>
      </c>
      <c r="D123" s="28"/>
      <c r="E123" s="229"/>
      <c r="F123" s="229"/>
      <c r="G123" s="229"/>
      <c r="H123" s="229"/>
      <c r="I123" s="229"/>
      <c r="J123" s="229"/>
      <c r="K123" s="229"/>
      <c r="L123" s="229"/>
      <c r="M123" s="229"/>
      <c r="N123" s="229"/>
      <c r="O123" s="229"/>
      <c r="P123" s="229"/>
      <c r="Q123" s="229">
        <f t="shared" si="58"/>
        <v>0</v>
      </c>
    </row>
    <row r="124" spans="2:17">
      <c r="B124" s="28"/>
      <c r="C124" s="33" t="s">
        <v>35</v>
      </c>
      <c r="D124" s="28">
        <f t="shared" ref="D124:P124" si="59">D118</f>
        <v>0</v>
      </c>
      <c r="E124" s="229">
        <f t="shared" si="59"/>
        <v>0</v>
      </c>
      <c r="F124" s="229">
        <f t="shared" si="59"/>
        <v>0</v>
      </c>
      <c r="G124" s="229">
        <f t="shared" si="59"/>
        <v>0</v>
      </c>
      <c r="H124" s="229">
        <f t="shared" si="59"/>
        <v>0</v>
      </c>
      <c r="I124" s="229">
        <f t="shared" si="59"/>
        <v>0</v>
      </c>
      <c r="J124" s="229">
        <f t="shared" si="59"/>
        <v>0</v>
      </c>
      <c r="K124" s="229">
        <f t="shared" si="59"/>
        <v>0</v>
      </c>
      <c r="L124" s="229">
        <f t="shared" si="59"/>
        <v>0</v>
      </c>
      <c r="M124" s="229">
        <f t="shared" si="59"/>
        <v>0</v>
      </c>
      <c r="N124" s="229">
        <f t="shared" si="59"/>
        <v>0</v>
      </c>
      <c r="O124" s="229">
        <f t="shared" si="59"/>
        <v>0</v>
      </c>
      <c r="P124" s="229">
        <f t="shared" si="59"/>
        <v>0</v>
      </c>
      <c r="Q124" s="229">
        <f>SUM(E124:P124)</f>
        <v>0</v>
      </c>
    </row>
    <row r="125" spans="2:17">
      <c r="B125" s="28"/>
      <c r="C125" s="33" t="s">
        <v>36</v>
      </c>
      <c r="D125" s="28">
        <f t="shared" ref="D125:P125" si="60">SUM(D119:D120)</f>
        <v>0</v>
      </c>
      <c r="E125" s="229">
        <f t="shared" si="60"/>
        <v>0</v>
      </c>
      <c r="F125" s="229">
        <f t="shared" si="60"/>
        <v>0</v>
      </c>
      <c r="G125" s="229">
        <f t="shared" si="60"/>
        <v>0</v>
      </c>
      <c r="H125" s="229">
        <f t="shared" si="60"/>
        <v>0</v>
      </c>
      <c r="I125" s="229">
        <f t="shared" si="60"/>
        <v>0</v>
      </c>
      <c r="J125" s="229">
        <f t="shared" si="60"/>
        <v>0</v>
      </c>
      <c r="K125" s="229">
        <f t="shared" si="60"/>
        <v>0</v>
      </c>
      <c r="L125" s="229">
        <f t="shared" si="60"/>
        <v>0</v>
      </c>
      <c r="M125" s="229">
        <f t="shared" si="60"/>
        <v>0</v>
      </c>
      <c r="N125" s="229">
        <f t="shared" si="60"/>
        <v>0</v>
      </c>
      <c r="O125" s="229">
        <f t="shared" si="60"/>
        <v>0</v>
      </c>
      <c r="P125" s="229">
        <f t="shared" si="60"/>
        <v>0</v>
      </c>
      <c r="Q125" s="229">
        <f t="shared" si="58"/>
        <v>0</v>
      </c>
    </row>
    <row r="126" spans="2:17">
      <c r="B126" s="28"/>
      <c r="C126" s="34" t="s">
        <v>37</v>
      </c>
      <c r="D126" s="28">
        <f t="shared" ref="D126:P126" si="61">SUM(D118:D123)</f>
        <v>0</v>
      </c>
      <c r="E126" s="229">
        <f t="shared" si="61"/>
        <v>0</v>
      </c>
      <c r="F126" s="229">
        <f t="shared" si="61"/>
        <v>0</v>
      </c>
      <c r="G126" s="229">
        <f t="shared" si="61"/>
        <v>0</v>
      </c>
      <c r="H126" s="229">
        <f t="shared" si="61"/>
        <v>0</v>
      </c>
      <c r="I126" s="229">
        <f t="shared" si="61"/>
        <v>0</v>
      </c>
      <c r="J126" s="229">
        <f t="shared" si="61"/>
        <v>0</v>
      </c>
      <c r="K126" s="229">
        <f t="shared" si="61"/>
        <v>0</v>
      </c>
      <c r="L126" s="229">
        <f t="shared" si="61"/>
        <v>0</v>
      </c>
      <c r="M126" s="229">
        <f t="shared" si="61"/>
        <v>0</v>
      </c>
      <c r="N126" s="229">
        <f t="shared" si="61"/>
        <v>0</v>
      </c>
      <c r="O126" s="229">
        <f t="shared" si="61"/>
        <v>0</v>
      </c>
      <c r="P126" s="229">
        <f t="shared" si="61"/>
        <v>0</v>
      </c>
      <c r="Q126" s="229">
        <f>SUM(E126:P126)</f>
        <v>0</v>
      </c>
    </row>
    <row r="127" spans="2:17">
      <c r="B127" s="28" t="s">
        <v>25</v>
      </c>
      <c r="C127" s="28" t="s">
        <v>72</v>
      </c>
      <c r="D127" s="28"/>
      <c r="E127" s="229">
        <f>'Data (64)'!U8/'Data (64)'!$BE$2</f>
        <v>21232.911435529586</v>
      </c>
      <c r="F127" s="229">
        <f>'Data (64)'!V8/'Data (64)'!$BE$2</f>
        <v>19178.113554671883</v>
      </c>
      <c r="G127" s="229">
        <f>'Data (64)'!W8/'Data (64)'!$BE$2</f>
        <v>21232.911435529586</v>
      </c>
      <c r="H127" s="229">
        <f>'Data (64)'!Y8/'Data (64)'!$BE$2</f>
        <v>20547.978808577012</v>
      </c>
      <c r="I127" s="229">
        <f>'Data (64)'!Z8/'Data (64)'!$BE$2</f>
        <v>21232.911435529571</v>
      </c>
      <c r="J127" s="229">
        <f>'Data (64)'!AA8/'Data (64)'!$BE$2</f>
        <v>20547.978808577027</v>
      </c>
      <c r="K127" s="229">
        <f>'Data (64)'!AC8/'Data (64)'!$BE$2</f>
        <v>21232.911435529582</v>
      </c>
      <c r="L127" s="229">
        <f>'Data (64)'!AD8/'Data (64)'!$BE$2</f>
        <v>21232.911435529582</v>
      </c>
      <c r="M127" s="229">
        <f>'Data (64)'!AE8/'Data (64)'!$BE$2</f>
        <v>20547.978808577023</v>
      </c>
      <c r="N127" s="229">
        <f>'Data (64)'!AG8/'Data (64)'!$BE$2</f>
        <v>21232.91143552959</v>
      </c>
      <c r="O127" s="229">
        <f>'Data (64)'!AH8/'Data (64)'!$BE$2</f>
        <v>20547.978808577023</v>
      </c>
      <c r="P127" s="229">
        <f>'Data (64)'!AI8/'Data (64)'!$BE$2</f>
        <v>21232.911435529575</v>
      </c>
      <c r="Q127" s="229">
        <f>SUM(E127:P127)</f>
        <v>250000.40883768705</v>
      </c>
    </row>
    <row r="128" spans="2:17">
      <c r="B128" s="28" t="s">
        <v>25</v>
      </c>
      <c r="C128" s="28" t="s">
        <v>73</v>
      </c>
      <c r="D128" s="28"/>
      <c r="E128" s="229">
        <f>'Data (64)'!U6/'Data (64)'!$BE$2</f>
        <v>24861.109016245071</v>
      </c>
      <c r="F128" s="229">
        <f>'Data (64)'!V6/'Data (64)'!$BE$2</f>
        <v>22782.473606467553</v>
      </c>
      <c r="G128" s="229">
        <f>'Data (64)'!W6/'Data (64)'!$BE$2</f>
        <v>24445.496024976583</v>
      </c>
      <c r="H128" s="229">
        <f>'Data (64)'!Y6/'Data (64)'!$BE$2</f>
        <v>23900.12403896968</v>
      </c>
      <c r="I128" s="229">
        <f>'Data (64)'!Z6/'Data (64)'!$BE$2</f>
        <v>26671.663854082643</v>
      </c>
      <c r="J128" s="229">
        <f>'Data (64)'!AA6/'Data (64)'!$BE$2</f>
        <v>24355.454219055482</v>
      </c>
      <c r="K128" s="229">
        <f>'Data (64)'!AC6/'Data (64)'!$BE$2</f>
        <v>15218.856624397889</v>
      </c>
      <c r="L128" s="229">
        <f>'Data (64)'!AD6/'Data (64)'!$BE$2</f>
        <v>25673.640029158865</v>
      </c>
      <c r="M128" s="229">
        <f>'Data (64)'!AE6/'Data (64)'!$BE$2</f>
        <v>22085.410149338863</v>
      </c>
      <c r="N128" s="229">
        <f>'Data (64)'!AG6/'Data (64)'!$BE$2</f>
        <v>19974.521204888617</v>
      </c>
      <c r="O128" s="229">
        <f>'Data (64)'!AH6/'Data (64)'!$BE$2</f>
        <v>23366.91238306398</v>
      </c>
      <c r="P128" s="229">
        <f>'Data (64)'!AI6/'Data (64)'!$BE$2</f>
        <v>22904.863400728911</v>
      </c>
      <c r="Q128" s="229">
        <f t="shared" ref="Q128:Q136" si="62">SUM(E128:P128)</f>
        <v>276240.52455137414</v>
      </c>
    </row>
    <row r="129" spans="2:17">
      <c r="B129" s="28" t="s">
        <v>25</v>
      </c>
      <c r="C129" s="28" t="s">
        <v>74</v>
      </c>
      <c r="D129" s="28"/>
      <c r="E129" s="229"/>
      <c r="F129" s="229"/>
      <c r="G129" s="229"/>
      <c r="H129" s="229"/>
      <c r="I129" s="229"/>
      <c r="J129" s="229"/>
      <c r="K129" s="229"/>
      <c r="L129" s="229"/>
      <c r="M129" s="229"/>
      <c r="N129" s="229"/>
      <c r="O129" s="229"/>
      <c r="P129" s="229"/>
      <c r="Q129" s="229">
        <f t="shared" si="62"/>
        <v>0</v>
      </c>
    </row>
    <row r="130" spans="2:17">
      <c r="B130" s="28" t="s">
        <v>76</v>
      </c>
      <c r="C130" s="28" t="s">
        <v>77</v>
      </c>
      <c r="D130" s="28"/>
      <c r="E130" s="229"/>
      <c r="F130" s="229"/>
      <c r="G130" s="229"/>
      <c r="H130" s="229"/>
      <c r="I130" s="229"/>
      <c r="J130" s="229"/>
      <c r="K130" s="229"/>
      <c r="L130" s="229"/>
      <c r="M130" s="229"/>
      <c r="N130" s="229"/>
      <c r="O130" s="229"/>
      <c r="P130" s="229"/>
      <c r="Q130" s="229">
        <f t="shared" si="62"/>
        <v>0</v>
      </c>
    </row>
    <row r="131" spans="2:17">
      <c r="B131" s="28" t="s">
        <v>25</v>
      </c>
      <c r="C131" s="28" t="s">
        <v>78</v>
      </c>
      <c r="D131" s="28"/>
      <c r="E131" s="229"/>
      <c r="F131" s="229"/>
      <c r="G131" s="229"/>
      <c r="H131" s="229"/>
      <c r="I131" s="229"/>
      <c r="J131" s="229"/>
      <c r="K131" s="229"/>
      <c r="L131" s="229"/>
      <c r="M131" s="229"/>
      <c r="N131" s="229"/>
      <c r="O131" s="229"/>
      <c r="P131" s="229"/>
      <c r="Q131" s="229">
        <f t="shared" si="62"/>
        <v>0</v>
      </c>
    </row>
    <row r="132" spans="2:17">
      <c r="B132" s="28" t="s">
        <v>25</v>
      </c>
      <c r="C132" s="28" t="s">
        <v>75</v>
      </c>
      <c r="D132" s="28"/>
      <c r="E132" s="229">
        <f>'Data (64)'!U12/'Data (64)'!$BE$2</f>
        <v>2781.5902466706498</v>
      </c>
      <c r="F132" s="229">
        <f>'Data (64)'!V12/'Data (64)'!$BE$2</f>
        <v>1827.6101408655738</v>
      </c>
      <c r="G132" s="229">
        <f>'Data (64)'!W12/'Data (64)'!$BE$2</f>
        <v>3943.7075156677847</v>
      </c>
      <c r="H132" s="229">
        <f>'Data (64)'!Y12/'Data (64)'!$BE$2</f>
        <v>3793.9680311142433</v>
      </c>
      <c r="I132" s="229">
        <f>'Data (64)'!Z12/'Data (64)'!$BE$2</f>
        <v>1904.0726269808208</v>
      </c>
      <c r="J132" s="229">
        <f>'Data (64)'!AA12/'Data (64)'!$BE$2</f>
        <v>3152.1623216459793</v>
      </c>
      <c r="K132" s="229">
        <f>'Data (64)'!AC12/'Data (64)'!$BE$2</f>
        <v>3849.4147504186699</v>
      </c>
      <c r="L132" s="229">
        <f>'Data (64)'!AD12/'Data (64)'!$BE$2</f>
        <v>3138.1544612901757</v>
      </c>
      <c r="M132" s="229">
        <f>'Data (64)'!AE12/'Data (64)'!$BE$2</f>
        <v>2843.0859760182734</v>
      </c>
      <c r="N132" s="229">
        <f>'Data (64)'!AG12/'Data (64)'!$BE$2</f>
        <v>3636.924386960985</v>
      </c>
      <c r="O132" s="229">
        <f>'Data (64)'!AH12/'Data (64)'!$BE$2</f>
        <v>3702.3683778524819</v>
      </c>
      <c r="P132" s="229">
        <f>'Data (64)'!AI12/'Data (64)'!$BE$2</f>
        <v>4824.1855385829158</v>
      </c>
      <c r="Q132" s="229">
        <f t="shared" si="62"/>
        <v>39397.244374068556</v>
      </c>
    </row>
    <row r="133" spans="2:17">
      <c r="B133" s="28" t="s">
        <v>25</v>
      </c>
      <c r="C133" s="28" t="s">
        <v>531</v>
      </c>
      <c r="D133" s="28"/>
      <c r="E133" s="196"/>
      <c r="F133" s="229"/>
      <c r="G133" s="229"/>
      <c r="H133" s="229"/>
      <c r="I133" s="229"/>
      <c r="J133" s="229"/>
      <c r="K133" s="229"/>
      <c r="L133" s="229"/>
      <c r="M133" s="229"/>
      <c r="N133" s="229"/>
      <c r="O133" s="229"/>
      <c r="P133" s="229"/>
      <c r="Q133" s="229"/>
    </row>
    <row r="134" spans="2:17">
      <c r="B134" s="28"/>
      <c r="C134" s="33" t="s">
        <v>35</v>
      </c>
      <c r="D134" s="28">
        <f t="shared" ref="D134:P134" si="63">D127</f>
        <v>0</v>
      </c>
      <c r="E134" s="229">
        <f t="shared" si="63"/>
        <v>21232.911435529586</v>
      </c>
      <c r="F134" s="229">
        <f t="shared" si="63"/>
        <v>19178.113554671883</v>
      </c>
      <c r="G134" s="229">
        <f t="shared" si="63"/>
        <v>21232.911435529586</v>
      </c>
      <c r="H134" s="229">
        <f t="shared" si="63"/>
        <v>20547.978808577012</v>
      </c>
      <c r="I134" s="229">
        <f t="shared" si="63"/>
        <v>21232.911435529571</v>
      </c>
      <c r="J134" s="229">
        <f t="shared" si="63"/>
        <v>20547.978808577027</v>
      </c>
      <c r="K134" s="229">
        <f t="shared" si="63"/>
        <v>21232.911435529582</v>
      </c>
      <c r="L134" s="229">
        <f t="shared" si="63"/>
        <v>21232.911435529582</v>
      </c>
      <c r="M134" s="229">
        <f t="shared" si="63"/>
        <v>20547.978808577023</v>
      </c>
      <c r="N134" s="229">
        <f t="shared" si="63"/>
        <v>21232.91143552959</v>
      </c>
      <c r="O134" s="229">
        <f t="shared" si="63"/>
        <v>20547.978808577023</v>
      </c>
      <c r="P134" s="229">
        <f t="shared" si="63"/>
        <v>21232.911435529575</v>
      </c>
      <c r="Q134" s="229">
        <f t="shared" si="62"/>
        <v>250000.40883768705</v>
      </c>
    </row>
    <row r="135" spans="2:17">
      <c r="B135" s="28"/>
      <c r="C135" s="33" t="s">
        <v>36</v>
      </c>
      <c r="D135" s="28">
        <f t="shared" ref="D135:P135" si="64">SUM(D128:D129)</f>
        <v>0</v>
      </c>
      <c r="E135" s="229">
        <f t="shared" si="64"/>
        <v>24861.109016245071</v>
      </c>
      <c r="F135" s="229">
        <f t="shared" si="64"/>
        <v>22782.473606467553</v>
      </c>
      <c r="G135" s="229">
        <f t="shared" si="64"/>
        <v>24445.496024976583</v>
      </c>
      <c r="H135" s="229">
        <f t="shared" si="64"/>
        <v>23900.12403896968</v>
      </c>
      <c r="I135" s="229">
        <f t="shared" si="64"/>
        <v>26671.663854082643</v>
      </c>
      <c r="J135" s="229">
        <f t="shared" si="64"/>
        <v>24355.454219055482</v>
      </c>
      <c r="K135" s="229">
        <f t="shared" si="64"/>
        <v>15218.856624397889</v>
      </c>
      <c r="L135" s="229">
        <f t="shared" si="64"/>
        <v>25673.640029158865</v>
      </c>
      <c r="M135" s="229">
        <f t="shared" si="64"/>
        <v>22085.410149338863</v>
      </c>
      <c r="N135" s="229">
        <f t="shared" si="64"/>
        <v>19974.521204888617</v>
      </c>
      <c r="O135" s="229">
        <f t="shared" si="64"/>
        <v>23366.91238306398</v>
      </c>
      <c r="P135" s="229">
        <f t="shared" si="64"/>
        <v>22904.863400728911</v>
      </c>
      <c r="Q135" s="229">
        <f t="shared" si="62"/>
        <v>276240.52455137414</v>
      </c>
    </row>
    <row r="136" spans="2:17">
      <c r="B136" s="28"/>
      <c r="C136" s="34" t="s">
        <v>37</v>
      </c>
      <c r="D136" s="28">
        <f t="shared" ref="D136:P136" si="65">SUM(D127:D132)</f>
        <v>0</v>
      </c>
      <c r="E136" s="229">
        <f t="shared" si="65"/>
        <v>48875.610698445307</v>
      </c>
      <c r="F136" s="229">
        <f t="shared" si="65"/>
        <v>43788.197302005014</v>
      </c>
      <c r="G136" s="229">
        <f t="shared" si="65"/>
        <v>49622.114976173951</v>
      </c>
      <c r="H136" s="229">
        <f t="shared" si="65"/>
        <v>48242.070878660932</v>
      </c>
      <c r="I136" s="229">
        <f t="shared" si="65"/>
        <v>49808.647916593036</v>
      </c>
      <c r="J136" s="229">
        <f t="shared" si="65"/>
        <v>48055.595349278483</v>
      </c>
      <c r="K136" s="229">
        <f t="shared" si="65"/>
        <v>40301.182810346145</v>
      </c>
      <c r="L136" s="229">
        <f t="shared" si="65"/>
        <v>50044.705925978626</v>
      </c>
      <c r="M136" s="229">
        <f t="shared" si="65"/>
        <v>45476.474933934158</v>
      </c>
      <c r="N136" s="229">
        <f t="shared" si="65"/>
        <v>44844.357027379192</v>
      </c>
      <c r="O136" s="229">
        <f t="shared" si="65"/>
        <v>47617.259569493479</v>
      </c>
      <c r="P136" s="229">
        <f t="shared" si="65"/>
        <v>48961.960374841401</v>
      </c>
      <c r="Q136" s="229">
        <f t="shared" si="62"/>
        <v>565638.1777631297</v>
      </c>
    </row>
    <row r="137" spans="2:17">
      <c r="B137" s="28" t="s">
        <v>25</v>
      </c>
      <c r="C137" s="28" t="s">
        <v>80</v>
      </c>
      <c r="D137" s="28"/>
      <c r="E137" s="229"/>
      <c r="F137" s="229"/>
      <c r="G137" s="229"/>
      <c r="H137" s="229"/>
      <c r="I137" s="229"/>
      <c r="J137" s="229"/>
      <c r="K137" s="229"/>
      <c r="L137" s="229"/>
      <c r="M137" s="229"/>
      <c r="N137" s="229"/>
      <c r="O137" s="229"/>
      <c r="P137" s="229"/>
      <c r="Q137" s="229">
        <f>SUM(F137:P137)</f>
        <v>0</v>
      </c>
    </row>
    <row r="138" spans="2:17">
      <c r="B138" s="28" t="s">
        <v>25</v>
      </c>
      <c r="C138" s="28" t="s">
        <v>81</v>
      </c>
      <c r="D138" s="28"/>
      <c r="E138" s="229">
        <f>'Data (64)'!U190</f>
        <v>4030.62</v>
      </c>
      <c r="F138" s="229">
        <f>'Data (64)'!V190</f>
        <v>3614.556</v>
      </c>
      <c r="G138" s="229">
        <f>'Data (64)'!W190</f>
        <v>3848.5920000000001</v>
      </c>
      <c r="H138" s="229">
        <f>'Data (64)'!Y190</f>
        <v>3900.6</v>
      </c>
      <c r="I138" s="229">
        <f>'Data (64)'!Z190</f>
        <v>4030.62</v>
      </c>
      <c r="J138" s="229">
        <f>'Data (64)'!AA190</f>
        <v>3900.6</v>
      </c>
      <c r="K138" s="229">
        <f>'Data (64)'!AC190</f>
        <v>650.1</v>
      </c>
      <c r="L138" s="229">
        <f>'Data (64)'!AD190</f>
        <v>4030.62</v>
      </c>
      <c r="M138" s="229">
        <f>'Data (64)'!AE190</f>
        <v>3900.6</v>
      </c>
      <c r="N138" s="229">
        <f>'Data (64)'!AG190</f>
        <v>4030.62</v>
      </c>
      <c r="O138" s="229">
        <f>'Data (64)'!AH190</f>
        <v>3900.6</v>
      </c>
      <c r="P138" s="229">
        <f>'Data (64)'!AI190</f>
        <v>4030.62</v>
      </c>
      <c r="Q138" s="229">
        <f t="shared" ref="Q138:Q140" si="66">SUM(F138:P138)</f>
        <v>39838.127999999997</v>
      </c>
    </row>
    <row r="139" spans="2:17">
      <c r="B139" s="28" t="s">
        <v>25</v>
      </c>
      <c r="C139" s="28" t="s">
        <v>82</v>
      </c>
      <c r="D139" s="28"/>
      <c r="E139" s="229"/>
      <c r="F139" s="229"/>
      <c r="G139" s="229"/>
      <c r="H139" s="229"/>
      <c r="I139" s="229"/>
      <c r="J139" s="229"/>
      <c r="K139" s="229"/>
      <c r="L139" s="229"/>
      <c r="M139" s="229"/>
      <c r="N139" s="229"/>
      <c r="O139" s="229"/>
      <c r="P139" s="229"/>
      <c r="Q139" s="229">
        <f t="shared" si="66"/>
        <v>0</v>
      </c>
    </row>
    <row r="140" spans="2:17">
      <c r="B140" s="28"/>
      <c r="C140" s="34" t="s">
        <v>37</v>
      </c>
      <c r="D140" s="28">
        <f t="shared" ref="D140:P140" si="67">SUM(D137:D139)</f>
        <v>0</v>
      </c>
      <c r="E140" s="229">
        <f t="shared" si="67"/>
        <v>4030.62</v>
      </c>
      <c r="F140" s="229">
        <f t="shared" si="67"/>
        <v>3614.556</v>
      </c>
      <c r="G140" s="229">
        <f t="shared" si="67"/>
        <v>3848.5920000000001</v>
      </c>
      <c r="H140" s="229">
        <f t="shared" si="67"/>
        <v>3900.6</v>
      </c>
      <c r="I140" s="229">
        <f t="shared" si="67"/>
        <v>4030.62</v>
      </c>
      <c r="J140" s="229">
        <f t="shared" si="67"/>
        <v>3900.6</v>
      </c>
      <c r="K140" s="229">
        <f t="shared" si="67"/>
        <v>650.1</v>
      </c>
      <c r="L140" s="229">
        <f t="shared" si="67"/>
        <v>4030.62</v>
      </c>
      <c r="M140" s="229">
        <f t="shared" si="67"/>
        <v>3900.6</v>
      </c>
      <c r="N140" s="229">
        <f t="shared" si="67"/>
        <v>4030.62</v>
      </c>
      <c r="O140" s="229">
        <f t="shared" si="67"/>
        <v>3900.6</v>
      </c>
      <c r="P140" s="229">
        <f t="shared" si="67"/>
        <v>4030.62</v>
      </c>
      <c r="Q140" s="229">
        <f t="shared" si="66"/>
        <v>39838.127999999997</v>
      </c>
    </row>
    <row r="141" spans="2:17">
      <c r="B141" s="28" t="s">
        <v>25</v>
      </c>
      <c r="C141" s="28" t="s">
        <v>84</v>
      </c>
      <c r="D141" s="28"/>
      <c r="E141" s="229">
        <f>'Data (64)'!U78</f>
        <v>40767.123287671231</v>
      </c>
      <c r="F141" s="229">
        <f>'Data (64)'!V78</f>
        <v>36821.917808219179</v>
      </c>
      <c r="G141" s="229">
        <f>'Data (64)'!W78</f>
        <v>40767.123287671231</v>
      </c>
      <c r="H141" s="229">
        <f>'Data (64)'!Y78</f>
        <v>39452.054794520547</v>
      </c>
      <c r="I141" s="229">
        <f>'Data (64)'!Z78</f>
        <v>40767.123287671231</v>
      </c>
      <c r="J141" s="229">
        <f>'Data (64)'!AA78</f>
        <v>39452.054794520547</v>
      </c>
      <c r="K141" s="229">
        <f>'Data (64)'!AC78</f>
        <v>40767.123287671231</v>
      </c>
      <c r="L141" s="229">
        <f>'Data (64)'!AD78</f>
        <v>40767.123287671231</v>
      </c>
      <c r="M141" s="229">
        <f>'Data (64)'!AE78</f>
        <v>39452.054794520547</v>
      </c>
      <c r="N141" s="229">
        <f>'Data (64)'!AG78</f>
        <v>40767.123287671231</v>
      </c>
      <c r="O141" s="229">
        <f>'Data (64)'!AH78</f>
        <v>39452.054794520547</v>
      </c>
      <c r="P141" s="229">
        <f>'Data (64)'!AI78</f>
        <v>40767.123287671231</v>
      </c>
      <c r="Q141" s="229">
        <f>SUM(E141:P141)</f>
        <v>480000.00000000006</v>
      </c>
    </row>
    <row r="142" spans="2:17">
      <c r="B142" s="28" t="s">
        <v>25</v>
      </c>
      <c r="C142" s="28" t="s">
        <v>85</v>
      </c>
      <c r="D142" s="28"/>
      <c r="E142" s="229">
        <f>'Data (64)'!U79</f>
        <v>20383.561643835616</v>
      </c>
      <c r="F142" s="229">
        <f>'Data (64)'!V79</f>
        <v>18410.95890410959</v>
      </c>
      <c r="G142" s="229">
        <f>'Data (64)'!W79</f>
        <v>20383.561643835616</v>
      </c>
      <c r="H142" s="229">
        <f>'Data (64)'!Y79</f>
        <v>19726.027397260274</v>
      </c>
      <c r="I142" s="229">
        <f>'Data (64)'!Z79</f>
        <v>20383.561643835616</v>
      </c>
      <c r="J142" s="229">
        <f>'Data (64)'!AA79</f>
        <v>19726.027397260274</v>
      </c>
      <c r="K142" s="229">
        <f>'Data (64)'!AC79</f>
        <v>20383.561643835616</v>
      </c>
      <c r="L142" s="229">
        <f>'Data (64)'!AD79</f>
        <v>20383.561643835616</v>
      </c>
      <c r="M142" s="229">
        <f>'Data (64)'!AE79</f>
        <v>19726.027397260274</v>
      </c>
      <c r="N142" s="229">
        <f>'Data (64)'!AG79</f>
        <v>20383.561643835616</v>
      </c>
      <c r="O142" s="229">
        <f>'Data (64)'!AH79</f>
        <v>19726.027397260274</v>
      </c>
      <c r="P142" s="229">
        <f>'Data (64)'!AI79</f>
        <v>20383.561643835616</v>
      </c>
      <c r="Q142" s="229">
        <f t="shared" ref="Q142:Q143" si="68">SUM(E142:P142)</f>
        <v>240000.00000000003</v>
      </c>
    </row>
    <row r="143" spans="2:17">
      <c r="B143" s="28"/>
      <c r="C143" s="34" t="s">
        <v>37</v>
      </c>
      <c r="D143" s="28">
        <f t="shared" ref="D143:P143" si="69">SUM(D141:D142)</f>
        <v>0</v>
      </c>
      <c r="E143" s="229">
        <f t="shared" si="69"/>
        <v>61150.684931506847</v>
      </c>
      <c r="F143" s="229">
        <f t="shared" si="69"/>
        <v>55232.876712328769</v>
      </c>
      <c r="G143" s="229">
        <f t="shared" si="69"/>
        <v>61150.684931506847</v>
      </c>
      <c r="H143" s="229">
        <f t="shared" si="69"/>
        <v>59178.082191780821</v>
      </c>
      <c r="I143" s="229">
        <f t="shared" si="69"/>
        <v>61150.684931506847</v>
      </c>
      <c r="J143" s="229">
        <f t="shared" si="69"/>
        <v>59178.082191780821</v>
      </c>
      <c r="K143" s="229">
        <f t="shared" si="69"/>
        <v>61150.684931506847</v>
      </c>
      <c r="L143" s="229">
        <f t="shared" si="69"/>
        <v>61150.684931506847</v>
      </c>
      <c r="M143" s="229">
        <f t="shared" si="69"/>
        <v>59178.082191780821</v>
      </c>
      <c r="N143" s="229">
        <f t="shared" si="69"/>
        <v>61150.684931506847</v>
      </c>
      <c r="O143" s="229">
        <f t="shared" si="69"/>
        <v>59178.082191780821</v>
      </c>
      <c r="P143" s="229">
        <f t="shared" si="69"/>
        <v>61150.684931506847</v>
      </c>
      <c r="Q143" s="229">
        <f t="shared" si="68"/>
        <v>720000</v>
      </c>
    </row>
  </sheetData>
  <mergeCells count="1">
    <mergeCell ref="B2:C2"/>
  </mergeCells>
  <hyperlinks>
    <hyperlink ref="S1" r:id="rId1" xr:uid="{00000000-0004-0000-1100-000000000000}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>
    <tabColor theme="4"/>
  </sheetPr>
  <dimension ref="B2:AF161"/>
  <sheetViews>
    <sheetView zoomScale="55" zoomScaleNormal="55" workbookViewId="0">
      <selection activeCell="A63" sqref="A63"/>
    </sheetView>
  </sheetViews>
  <sheetFormatPr defaultRowHeight="14.5"/>
  <cols>
    <col min="1" max="1" width="34.453125" customWidth="1"/>
    <col min="2" max="2" width="25" customWidth="1"/>
    <col min="3" max="3" width="46.81640625" customWidth="1"/>
    <col min="4" max="4" width="15.6328125" customWidth="1"/>
    <col min="5" max="16" width="22.81640625" customWidth="1"/>
    <col min="17" max="17" width="22.81640625" style="525" customWidth="1"/>
  </cols>
  <sheetData>
    <row r="2" spans="2:32">
      <c r="B2" s="1346" t="s">
        <v>141</v>
      </c>
      <c r="C2" s="1347"/>
      <c r="D2" s="43">
        <v>242492</v>
      </c>
      <c r="E2" s="43">
        <v>23377</v>
      </c>
      <c r="F2" s="43">
        <v>23408</v>
      </c>
      <c r="G2" s="43">
        <v>23437</v>
      </c>
      <c r="H2" s="43">
        <v>23468</v>
      </c>
      <c r="I2" s="43">
        <v>23498</v>
      </c>
      <c r="J2" s="43">
        <v>23529</v>
      </c>
      <c r="K2" s="43">
        <v>23559</v>
      </c>
      <c r="L2" s="43">
        <v>23590</v>
      </c>
      <c r="M2" s="43">
        <v>23621</v>
      </c>
      <c r="N2" s="43">
        <v>23651</v>
      </c>
      <c r="O2" s="43">
        <v>23682</v>
      </c>
      <c r="P2" s="43">
        <v>23712</v>
      </c>
      <c r="Q2" s="526" t="s">
        <v>177</v>
      </c>
      <c r="T2" t="s">
        <v>234</v>
      </c>
      <c r="U2" s="43">
        <v>23377</v>
      </c>
      <c r="V2" s="43">
        <v>23408</v>
      </c>
      <c r="W2" s="43">
        <v>23437</v>
      </c>
      <c r="X2" s="43">
        <v>23468</v>
      </c>
      <c r="Y2" s="43">
        <v>23498</v>
      </c>
      <c r="Z2" s="43">
        <v>23529</v>
      </c>
      <c r="AA2" s="43">
        <v>23559</v>
      </c>
      <c r="AB2" s="43">
        <v>23590</v>
      </c>
      <c r="AC2" s="43">
        <v>23621</v>
      </c>
      <c r="AD2" s="43">
        <v>23651</v>
      </c>
      <c r="AE2" s="43">
        <v>23682</v>
      </c>
      <c r="AF2" s="43">
        <v>23712</v>
      </c>
    </row>
    <row r="3" spans="2:32" ht="15" customHeight="1">
      <c r="B3" s="1348" t="s">
        <v>190</v>
      </c>
      <c r="C3" s="51" t="s">
        <v>192</v>
      </c>
      <c r="D3" s="28"/>
      <c r="E3" s="699">
        <f>E35+E52+E71+E102+E150+E156</f>
        <v>7163856304.4356737</v>
      </c>
      <c r="F3" s="699">
        <f t="shared" ref="F3:P3" si="0">F35+F52+F71+F102+F150+F156</f>
        <v>6424838536.9311924</v>
      </c>
      <c r="G3" s="699">
        <f t="shared" si="0"/>
        <v>7209607895.7168636</v>
      </c>
      <c r="H3" s="699">
        <f t="shared" si="0"/>
        <v>6951119382.8769197</v>
      </c>
      <c r="I3" s="699">
        <f t="shared" si="0"/>
        <v>7205576159.7352133</v>
      </c>
      <c r="J3" s="699">
        <f t="shared" si="0"/>
        <v>7008833650.7595758</v>
      </c>
      <c r="K3" s="699">
        <f t="shared" si="0"/>
        <v>5578251775.707696</v>
      </c>
      <c r="L3" s="699">
        <f t="shared" si="0"/>
        <v>7409391518.0978556</v>
      </c>
      <c r="M3" s="699">
        <f t="shared" si="0"/>
        <v>6476336329.7930765</v>
      </c>
      <c r="N3" s="699">
        <f t="shared" si="0"/>
        <v>5547125206.2430353</v>
      </c>
      <c r="O3" s="699">
        <f t="shared" si="0"/>
        <v>7136365257.6274233</v>
      </c>
      <c r="P3" s="699">
        <f t="shared" si="0"/>
        <v>7239740848.2852917</v>
      </c>
      <c r="Q3" s="700">
        <f>SUM(E3:P3)</f>
        <v>81351042866.209808</v>
      </c>
      <c r="T3" t="s">
        <v>208</v>
      </c>
      <c r="U3">
        <f t="shared" ref="U3:AF3" si="1">E35</f>
        <v>2412015291.0761633</v>
      </c>
      <c r="V3">
        <f t="shared" si="1"/>
        <v>2206840524.9887795</v>
      </c>
      <c r="W3">
        <f t="shared" si="1"/>
        <v>2415761850.5913715</v>
      </c>
      <c r="X3">
        <f t="shared" si="1"/>
        <v>2338068991.4729657</v>
      </c>
      <c r="Y3">
        <f t="shared" si="1"/>
        <v>2457901450.3614531</v>
      </c>
      <c r="Z3">
        <f t="shared" si="1"/>
        <v>2372447395.1171622</v>
      </c>
      <c r="AA3">
        <f t="shared" si="1"/>
        <v>1809958569.5718873</v>
      </c>
      <c r="AB3">
        <f t="shared" si="1"/>
        <v>2466594675.6398683</v>
      </c>
      <c r="AC3">
        <f t="shared" si="1"/>
        <v>2052187572.6509676</v>
      </c>
      <c r="AD3">
        <f t="shared" si="1"/>
        <v>1202275289.2680843</v>
      </c>
      <c r="AE3">
        <f t="shared" si="1"/>
        <v>2309530834.1265187</v>
      </c>
      <c r="AF3">
        <f t="shared" si="1"/>
        <v>2361400142.2767682</v>
      </c>
    </row>
    <row r="4" spans="2:32" ht="14.25" customHeight="1">
      <c r="B4" s="1348"/>
      <c r="C4" s="52" t="s">
        <v>142</v>
      </c>
      <c r="D4" s="28"/>
      <c r="E4" s="699"/>
      <c r="F4" s="699"/>
      <c r="G4" s="699"/>
      <c r="H4" s="699"/>
      <c r="I4" s="699"/>
      <c r="J4" s="699"/>
      <c r="K4" s="699"/>
      <c r="L4" s="699"/>
      <c r="M4" s="699"/>
      <c r="N4" s="699"/>
      <c r="O4" s="699"/>
      <c r="P4" s="699"/>
      <c r="Q4" s="700">
        <f t="shared" ref="Q4:Q12" si="2">SUM(E4:P4)</f>
        <v>0</v>
      </c>
      <c r="T4" t="s">
        <v>38</v>
      </c>
      <c r="U4">
        <f t="shared" ref="U4:AF4" si="3">E52</f>
        <v>1112565831.8498402</v>
      </c>
      <c r="V4">
        <f t="shared" si="3"/>
        <v>947645739.42559135</v>
      </c>
      <c r="W4">
        <f t="shared" si="3"/>
        <v>1055621361.3800677</v>
      </c>
      <c r="X4">
        <f t="shared" si="3"/>
        <v>1011680267.3666456</v>
      </c>
      <c r="Y4">
        <f t="shared" si="3"/>
        <v>1000514391.085875</v>
      </c>
      <c r="Z4">
        <f t="shared" si="3"/>
        <v>1021987828.3136185</v>
      </c>
      <c r="AA4">
        <f t="shared" si="3"/>
        <v>523458870.94108105</v>
      </c>
      <c r="AB4">
        <f t="shared" si="3"/>
        <v>1015363100.3999999</v>
      </c>
      <c r="AC4">
        <f t="shared" si="3"/>
        <v>1020455763.5979021</v>
      </c>
      <c r="AD4">
        <f t="shared" si="3"/>
        <v>935970814.44389129</v>
      </c>
      <c r="AE4">
        <f t="shared" si="3"/>
        <v>742520187.48366296</v>
      </c>
      <c r="AF4">
        <f t="shared" si="3"/>
        <v>1088217428.0408452</v>
      </c>
    </row>
    <row r="5" spans="2:32" ht="14.25" customHeight="1">
      <c r="B5" s="1348"/>
      <c r="C5" s="52" t="s">
        <v>143</v>
      </c>
      <c r="D5" s="28"/>
      <c r="E5" s="699"/>
      <c r="F5" s="699"/>
      <c r="G5" s="699"/>
      <c r="H5" s="699"/>
      <c r="I5" s="699"/>
      <c r="J5" s="699"/>
      <c r="K5" s="699"/>
      <c r="L5" s="699"/>
      <c r="M5" s="699"/>
      <c r="N5" s="699"/>
      <c r="O5" s="699"/>
      <c r="P5" s="699"/>
      <c r="Q5" s="700">
        <f t="shared" si="2"/>
        <v>0</v>
      </c>
      <c r="T5" t="s">
        <v>214</v>
      </c>
      <c r="U5">
        <f t="shared" ref="U5:AF5" si="4">E52</f>
        <v>1112565831.8498402</v>
      </c>
      <c r="V5">
        <f t="shared" si="4"/>
        <v>947645739.42559135</v>
      </c>
      <c r="W5">
        <f t="shared" si="4"/>
        <v>1055621361.3800677</v>
      </c>
      <c r="X5">
        <f t="shared" si="4"/>
        <v>1011680267.3666456</v>
      </c>
      <c r="Y5">
        <f t="shared" si="4"/>
        <v>1000514391.085875</v>
      </c>
      <c r="Z5">
        <f t="shared" si="4"/>
        <v>1021987828.3136185</v>
      </c>
      <c r="AA5">
        <f t="shared" si="4"/>
        <v>523458870.94108105</v>
      </c>
      <c r="AB5">
        <f t="shared" si="4"/>
        <v>1015363100.3999999</v>
      </c>
      <c r="AC5">
        <f t="shared" si="4"/>
        <v>1020455763.5979021</v>
      </c>
      <c r="AD5">
        <f t="shared" si="4"/>
        <v>935970814.44389129</v>
      </c>
      <c r="AE5">
        <f t="shared" si="4"/>
        <v>742520187.48366296</v>
      </c>
      <c r="AF5">
        <f t="shared" si="4"/>
        <v>1088217428.0408452</v>
      </c>
    </row>
    <row r="6" spans="2:32" ht="14.25" customHeight="1">
      <c r="B6" s="1348"/>
      <c r="C6" s="53" t="s">
        <v>144</v>
      </c>
      <c r="D6" s="28"/>
      <c r="E6" s="699"/>
      <c r="F6" s="699"/>
      <c r="G6" s="699"/>
      <c r="H6" s="699"/>
      <c r="I6" s="699"/>
      <c r="J6" s="699"/>
      <c r="K6" s="699"/>
      <c r="L6" s="699"/>
      <c r="M6" s="699"/>
      <c r="N6" s="699"/>
      <c r="O6" s="699"/>
      <c r="P6" s="699"/>
      <c r="Q6" s="700">
        <f t="shared" si="2"/>
        <v>0</v>
      </c>
      <c r="T6" t="s">
        <v>215</v>
      </c>
      <c r="U6">
        <f t="shared" ref="U6:AF6" si="5">E71+SUM(E4:E6)</f>
        <v>541501180</v>
      </c>
      <c r="V6">
        <f t="shared" si="5"/>
        <v>485988240</v>
      </c>
      <c r="W6">
        <f t="shared" si="5"/>
        <v>540059680</v>
      </c>
      <c r="X6">
        <f t="shared" si="5"/>
        <v>514631000</v>
      </c>
      <c r="Y6">
        <f t="shared" si="5"/>
        <v>516465580</v>
      </c>
      <c r="Z6">
        <f t="shared" si="5"/>
        <v>512380400</v>
      </c>
      <c r="AA6">
        <f t="shared" si="5"/>
        <v>535896380</v>
      </c>
      <c r="AB6">
        <f t="shared" si="5"/>
        <v>549582880</v>
      </c>
      <c r="AC6">
        <f t="shared" si="5"/>
        <v>540373400</v>
      </c>
      <c r="AD6">
        <f t="shared" si="5"/>
        <v>561722480</v>
      </c>
      <c r="AE6">
        <f t="shared" si="5"/>
        <v>557113400</v>
      </c>
      <c r="AF6">
        <f t="shared" si="5"/>
        <v>567457480</v>
      </c>
    </row>
    <row r="7" spans="2:32" ht="14.25" customHeight="1">
      <c r="B7" s="1348"/>
      <c r="C7" s="51" t="s">
        <v>193</v>
      </c>
      <c r="D7" s="28"/>
      <c r="E7" s="699">
        <f t="shared" ref="E7:P7" si="6">E3+SUM(E4:E6)</f>
        <v>7163856304.4356737</v>
      </c>
      <c r="F7" s="699">
        <f t="shared" si="6"/>
        <v>6424838536.9311924</v>
      </c>
      <c r="G7" s="699">
        <f t="shared" si="6"/>
        <v>7209607895.7168636</v>
      </c>
      <c r="H7" s="699">
        <f t="shared" si="6"/>
        <v>6951119382.8769197</v>
      </c>
      <c r="I7" s="699">
        <f t="shared" si="6"/>
        <v>7205576159.7352133</v>
      </c>
      <c r="J7" s="699">
        <f t="shared" si="6"/>
        <v>7008833650.7595758</v>
      </c>
      <c r="K7" s="699">
        <f t="shared" si="6"/>
        <v>5578251775.707696</v>
      </c>
      <c r="L7" s="699">
        <f t="shared" si="6"/>
        <v>7409391518.0978556</v>
      </c>
      <c r="M7" s="699">
        <f t="shared" si="6"/>
        <v>6476336329.7930765</v>
      </c>
      <c r="N7" s="699">
        <f t="shared" si="6"/>
        <v>5547125206.2430353</v>
      </c>
      <c r="O7" s="699">
        <f t="shared" si="6"/>
        <v>7136365257.6274233</v>
      </c>
      <c r="P7" s="699">
        <f t="shared" si="6"/>
        <v>7239740848.2852917</v>
      </c>
      <c r="Q7" s="700">
        <f t="shared" si="2"/>
        <v>81351042866.209808</v>
      </c>
      <c r="T7" t="s">
        <v>71</v>
      </c>
      <c r="U7">
        <f t="shared" ref="U7:AF7" si="7">E150</f>
        <v>578927276.97655201</v>
      </c>
      <c r="V7">
        <f t="shared" si="7"/>
        <v>518535982.0256235</v>
      </c>
      <c r="W7">
        <f t="shared" si="7"/>
        <v>596724307.64261615</v>
      </c>
      <c r="X7">
        <f t="shared" si="7"/>
        <v>571730363.2616415</v>
      </c>
      <c r="Y7">
        <f t="shared" si="7"/>
        <v>593612394.1019274</v>
      </c>
      <c r="Z7">
        <f t="shared" si="7"/>
        <v>581671683.31698596</v>
      </c>
      <c r="AA7">
        <f t="shared" si="7"/>
        <v>499947774.76288062</v>
      </c>
      <c r="AB7">
        <f t="shared" si="7"/>
        <v>623176086.15235889</v>
      </c>
      <c r="AC7">
        <f t="shared" si="7"/>
        <v>576167500.1241976</v>
      </c>
      <c r="AD7">
        <f t="shared" si="7"/>
        <v>577842700.6346513</v>
      </c>
      <c r="AE7">
        <f t="shared" si="7"/>
        <v>628892473.42672431</v>
      </c>
      <c r="AF7">
        <f t="shared" si="7"/>
        <v>639218061.1680789</v>
      </c>
    </row>
    <row r="8" spans="2:32">
      <c r="B8" s="1348"/>
      <c r="C8" s="232" t="s">
        <v>145</v>
      </c>
      <c r="D8" s="28"/>
      <c r="E8" s="699"/>
      <c r="F8" s="699"/>
      <c r="G8" s="699"/>
      <c r="H8" s="699"/>
      <c r="I8" s="699"/>
      <c r="J8" s="699"/>
      <c r="K8" s="699"/>
      <c r="L8" s="699"/>
      <c r="M8" s="699"/>
      <c r="N8" s="699"/>
      <c r="O8" s="699"/>
      <c r="P8" s="699"/>
      <c r="Q8" s="700">
        <f t="shared" si="2"/>
        <v>0</v>
      </c>
      <c r="T8" t="s">
        <v>79</v>
      </c>
      <c r="U8">
        <f t="shared" ref="U8:AF8" si="8">E156</f>
        <v>37153650.567000002</v>
      </c>
      <c r="V8">
        <f t="shared" si="8"/>
        <v>33217588.9122</v>
      </c>
      <c r="W8">
        <f t="shared" si="8"/>
        <v>36307905.572400004</v>
      </c>
      <c r="X8">
        <f t="shared" si="8"/>
        <v>36118385.82</v>
      </c>
      <c r="Y8">
        <f t="shared" si="8"/>
        <v>37322332.013999999</v>
      </c>
      <c r="Z8">
        <f t="shared" si="8"/>
        <v>37016206.424999997</v>
      </c>
      <c r="AA8">
        <f t="shared" si="8"/>
        <v>6396090.1124999998</v>
      </c>
      <c r="AB8">
        <f t="shared" si="8"/>
        <v>39627645.123000003</v>
      </c>
      <c r="AC8">
        <f t="shared" si="8"/>
        <v>39192741.225000001</v>
      </c>
      <c r="AD8">
        <f t="shared" si="8"/>
        <v>41483141.039999999</v>
      </c>
      <c r="AE8">
        <f t="shared" si="8"/>
        <v>41369276.024999999</v>
      </c>
      <c r="AF8">
        <f t="shared" si="8"/>
        <v>42242207.5515</v>
      </c>
    </row>
    <row r="9" spans="2:32" ht="18" customHeight="1">
      <c r="B9" s="1349" t="s">
        <v>191</v>
      </c>
      <c r="C9" s="136" t="s">
        <v>192</v>
      </c>
      <c r="D9" s="28"/>
      <c r="E9" s="699">
        <f t="shared" ref="E9:P9" si="9">E3+E121+E127</f>
        <v>7980672244.7686176</v>
      </c>
      <c r="F9" s="699">
        <f t="shared" si="9"/>
        <v>7486986089.6512623</v>
      </c>
      <c r="G9" s="699">
        <f t="shared" si="9"/>
        <v>7941961119.4855185</v>
      </c>
      <c r="H9" s="699">
        <f t="shared" si="9"/>
        <v>7766646022.2203131</v>
      </c>
      <c r="I9" s="699">
        <f t="shared" si="9"/>
        <v>7896141161.8623247</v>
      </c>
      <c r="J9" s="699">
        <f t="shared" si="9"/>
        <v>7818556527.4718285</v>
      </c>
      <c r="K9" s="699">
        <f t="shared" si="9"/>
        <v>6670756699.6874104</v>
      </c>
      <c r="L9" s="699">
        <f t="shared" si="9"/>
        <v>7993876401.6142883</v>
      </c>
      <c r="M9" s="699">
        <f t="shared" si="9"/>
        <v>7529272991.8971376</v>
      </c>
      <c r="N9" s="699">
        <f t="shared" si="9"/>
        <v>6621554439.6856985</v>
      </c>
      <c r="O9" s="699">
        <f t="shared" si="9"/>
        <v>7584414185.3609724</v>
      </c>
      <c r="P9" s="699">
        <f t="shared" si="9"/>
        <v>8002159333.3362627</v>
      </c>
      <c r="Q9" s="700">
        <f t="shared" si="2"/>
        <v>91292997217.041641</v>
      </c>
      <c r="T9" s="135" t="s">
        <v>177</v>
      </c>
      <c r="U9">
        <f t="shared" ref="U9:AF9" si="10">SUM(U3:U8)</f>
        <v>5794729062.319396</v>
      </c>
      <c r="V9">
        <f t="shared" si="10"/>
        <v>5139873814.7777853</v>
      </c>
      <c r="W9">
        <f t="shared" si="10"/>
        <v>5700096466.5665236</v>
      </c>
      <c r="X9">
        <f t="shared" si="10"/>
        <v>5483909275.2878981</v>
      </c>
      <c r="Y9">
        <f t="shared" si="10"/>
        <v>5606330538.6491308</v>
      </c>
      <c r="Z9">
        <f t="shared" si="10"/>
        <v>5547491341.4863853</v>
      </c>
      <c r="AA9">
        <f t="shared" si="10"/>
        <v>3899116556.3294301</v>
      </c>
      <c r="AB9">
        <f t="shared" si="10"/>
        <v>5709707487.7152271</v>
      </c>
      <c r="AC9">
        <f t="shared" si="10"/>
        <v>5248832741.1959705</v>
      </c>
      <c r="AD9">
        <f t="shared" si="10"/>
        <v>4255265239.8305178</v>
      </c>
      <c r="AE9">
        <f t="shared" si="10"/>
        <v>5021946358.5455694</v>
      </c>
      <c r="AF9">
        <f t="shared" si="10"/>
        <v>5786752747.0780373</v>
      </c>
    </row>
    <row r="10" spans="2:32" ht="30" customHeight="1">
      <c r="B10" s="1349"/>
      <c r="C10" s="137" t="s">
        <v>193</v>
      </c>
      <c r="D10" s="28"/>
      <c r="E10" s="699">
        <f t="shared" ref="E10:P10" si="11">E7+E121+E127</f>
        <v>7980672244.7686176</v>
      </c>
      <c r="F10" s="699">
        <f t="shared" si="11"/>
        <v>7486986089.6512623</v>
      </c>
      <c r="G10" s="699">
        <f t="shared" si="11"/>
        <v>7941961119.4855185</v>
      </c>
      <c r="H10" s="699">
        <f t="shared" si="11"/>
        <v>7766646022.2203131</v>
      </c>
      <c r="I10" s="699">
        <f t="shared" si="11"/>
        <v>7896141161.8623247</v>
      </c>
      <c r="J10" s="699">
        <f t="shared" si="11"/>
        <v>7818556527.4718285</v>
      </c>
      <c r="K10" s="699">
        <f t="shared" si="11"/>
        <v>6670756699.6874104</v>
      </c>
      <c r="L10" s="699">
        <f t="shared" si="11"/>
        <v>7993876401.6142883</v>
      </c>
      <c r="M10" s="699">
        <f t="shared" si="11"/>
        <v>7529272991.8971376</v>
      </c>
      <c r="N10" s="699">
        <f t="shared" si="11"/>
        <v>6621554439.6856985</v>
      </c>
      <c r="O10" s="699">
        <f t="shared" si="11"/>
        <v>7584414185.3609724</v>
      </c>
      <c r="P10" s="699">
        <f t="shared" si="11"/>
        <v>8002159333.3362627</v>
      </c>
      <c r="Q10" s="700">
        <f t="shared" si="2"/>
        <v>91292997217.041641</v>
      </c>
      <c r="T10" t="s">
        <v>235</v>
      </c>
      <c r="U10" s="43">
        <v>23377</v>
      </c>
      <c r="V10" s="43">
        <v>23408</v>
      </c>
      <c r="W10" s="43">
        <v>23437</v>
      </c>
      <c r="X10" s="43">
        <v>23468</v>
      </c>
      <c r="Y10" s="43">
        <v>23498</v>
      </c>
      <c r="Z10" s="43">
        <v>23529</v>
      </c>
      <c r="AA10" s="43">
        <v>23559</v>
      </c>
      <c r="AB10" s="43">
        <v>23590</v>
      </c>
      <c r="AC10" s="43">
        <v>23621</v>
      </c>
      <c r="AD10" s="43">
        <v>23651</v>
      </c>
      <c r="AE10" s="43">
        <v>23682</v>
      </c>
      <c r="AF10" s="43">
        <v>23712</v>
      </c>
    </row>
    <row r="11" spans="2:32">
      <c r="C11" s="923" t="s">
        <v>614</v>
      </c>
      <c r="D11" s="28"/>
      <c r="E11" s="924">
        <f>'PL (64)'!B15</f>
        <v>8001.6722447686234</v>
      </c>
      <c r="F11" s="924">
        <f>'PL (64)'!C15</f>
        <v>7507.9860896512582</v>
      </c>
      <c r="G11" s="924">
        <f>'PL (64)'!D15</f>
        <v>7962.9611194855215</v>
      </c>
      <c r="H11" s="924">
        <f>'PL (64)'!F15</f>
        <v>7787.6460222203204</v>
      </c>
      <c r="I11" s="924">
        <f>'PL (64)'!G15</f>
        <v>7917.1411618623242</v>
      </c>
      <c r="J11" s="924">
        <f>'PL (64)'!H15</f>
        <v>7839.556527471831</v>
      </c>
      <c r="K11" s="925">
        <f>'PL (64)'!J15</f>
        <v>6691.7566996874111</v>
      </c>
      <c r="L11" s="925">
        <f>'PL (64)'!K15</f>
        <v>8014.8764016142895</v>
      </c>
      <c r="M11" s="925">
        <f>'PL (64)'!L15</f>
        <v>7550.2729918971345</v>
      </c>
      <c r="N11" s="925">
        <f>'PL (64)'!N15</f>
        <v>6642.5544396856922</v>
      </c>
      <c r="O11" s="925">
        <f>'PL (64)'!O15</f>
        <v>7605.4141853609754</v>
      </c>
      <c r="P11" s="925">
        <f>'PL (64)'!P15</f>
        <v>8023.1593333362634</v>
      </c>
      <c r="Q11" s="926">
        <f t="shared" si="2"/>
        <v>91544.997217041644</v>
      </c>
      <c r="T11" t="s">
        <v>208</v>
      </c>
      <c r="U11" s="150">
        <f t="shared" ref="U11:AF11" si="12">U3/$U$9</f>
        <v>0.41624297963479434</v>
      </c>
      <c r="V11" s="150">
        <f t="shared" si="12"/>
        <v>0.38083584258303016</v>
      </c>
      <c r="W11" s="150">
        <f t="shared" si="12"/>
        <v>0.41688952574159516</v>
      </c>
      <c r="X11" s="150">
        <f t="shared" si="12"/>
        <v>0.40348202069988259</v>
      </c>
      <c r="Y11" s="150">
        <f t="shared" si="12"/>
        <v>0.42416158269488691</v>
      </c>
      <c r="Z11" s="150">
        <f t="shared" si="12"/>
        <v>0.40941472320839922</v>
      </c>
      <c r="AA11" s="150">
        <f t="shared" si="12"/>
        <v>0.31234567658068108</v>
      </c>
      <c r="AB11" s="150">
        <f t="shared" si="12"/>
        <v>0.42566177799046051</v>
      </c>
      <c r="AC11" s="150">
        <f t="shared" si="12"/>
        <v>0.35414728636675202</v>
      </c>
      <c r="AD11" s="150">
        <f t="shared" si="12"/>
        <v>0.20747739477346022</v>
      </c>
      <c r="AE11" s="150">
        <f t="shared" si="12"/>
        <v>0.39855717312900679</v>
      </c>
      <c r="AF11" s="150">
        <f t="shared" si="12"/>
        <v>0.40750829191168347</v>
      </c>
    </row>
    <row r="12" spans="2:32">
      <c r="C12" s="923" t="s">
        <v>620</v>
      </c>
      <c r="D12" s="28"/>
      <c r="E12" s="927">
        <f>'PL (64)'!B43</f>
        <v>71.220467852867941</v>
      </c>
      <c r="F12" s="927">
        <f>'PL (64)'!C43</f>
        <v>-104.27180634803227</v>
      </c>
      <c r="G12" s="927">
        <f>'PL (64)'!D43</f>
        <v>175.52194855911677</v>
      </c>
      <c r="H12" s="927">
        <f>'PL (64)'!F43</f>
        <v>146.75780345194465</v>
      </c>
      <c r="I12" s="927">
        <f>'PL (64)'!G43</f>
        <v>184.70413338098581</v>
      </c>
      <c r="J12" s="927">
        <f>'PL (64)'!H43</f>
        <v>195.02864319719049</v>
      </c>
      <c r="K12" s="925">
        <f>'PL (64)'!J43</f>
        <v>58.648291282149543</v>
      </c>
      <c r="L12" s="925">
        <f>'PL (64)'!K43</f>
        <v>263.7966933115984</v>
      </c>
      <c r="M12" s="925">
        <f>'PL (64)'!L43</f>
        <v>84.549567998241258</v>
      </c>
      <c r="N12" s="925">
        <f>'PL (64)'!N43</f>
        <v>124.30778921791665</v>
      </c>
      <c r="O12" s="925">
        <f>'PL (64)'!O43</f>
        <v>342.66740713810742</v>
      </c>
      <c r="P12" s="925">
        <f>'PL (64)'!P43</f>
        <v>336.55865509840021</v>
      </c>
      <c r="Q12" s="926">
        <f t="shared" si="2"/>
        <v>1879.4895941404866</v>
      </c>
      <c r="T12" t="s">
        <v>38</v>
      </c>
      <c r="U12" s="150">
        <f t="shared" ref="U12:AF12" si="13">U4/$U$9</f>
        <v>0.19199617788592949</v>
      </c>
      <c r="V12" s="150">
        <f t="shared" si="13"/>
        <v>0.16353581491630378</v>
      </c>
      <c r="W12" s="150">
        <f t="shared" si="13"/>
        <v>0.18216923518380082</v>
      </c>
      <c r="X12" s="150">
        <f t="shared" si="13"/>
        <v>0.17458629324797298</v>
      </c>
      <c r="Y12" s="150">
        <f t="shared" si="13"/>
        <v>0.17265939103033914</v>
      </c>
      <c r="Z12" s="150">
        <f t="shared" si="13"/>
        <v>0.17636507545437474</v>
      </c>
      <c r="AA12" s="150">
        <f t="shared" si="13"/>
        <v>9.0333623075651029E-2</v>
      </c>
      <c r="AB12" s="150">
        <f t="shared" si="13"/>
        <v>0.17522184203614707</v>
      </c>
      <c r="AC12" s="150">
        <f t="shared" si="13"/>
        <v>0.17610068609307072</v>
      </c>
      <c r="AD12" s="150">
        <f t="shared" si="13"/>
        <v>0.16152106584759979</v>
      </c>
      <c r="AE12" s="150">
        <f t="shared" si="13"/>
        <v>0.12813717078024389</v>
      </c>
      <c r="AF12" s="150">
        <f t="shared" si="13"/>
        <v>0.18779435869004643</v>
      </c>
    </row>
    <row r="13" spans="2:32">
      <c r="T13" t="s">
        <v>214</v>
      </c>
      <c r="U13" s="150">
        <f t="shared" ref="U13:AF13" si="14">U5/$U$9</f>
        <v>0.19199617788592949</v>
      </c>
      <c r="V13" s="150">
        <f t="shared" si="14"/>
        <v>0.16353581491630378</v>
      </c>
      <c r="W13" s="150">
        <f t="shared" si="14"/>
        <v>0.18216923518380082</v>
      </c>
      <c r="X13" s="150">
        <f t="shared" si="14"/>
        <v>0.17458629324797298</v>
      </c>
      <c r="Y13" s="150">
        <f t="shared" si="14"/>
        <v>0.17265939103033914</v>
      </c>
      <c r="Z13" s="150">
        <f t="shared" si="14"/>
        <v>0.17636507545437474</v>
      </c>
      <c r="AA13" s="150">
        <f t="shared" si="14"/>
        <v>9.0333623075651029E-2</v>
      </c>
      <c r="AB13" s="150">
        <f t="shared" si="14"/>
        <v>0.17522184203614707</v>
      </c>
      <c r="AC13" s="150">
        <f t="shared" si="14"/>
        <v>0.17610068609307072</v>
      </c>
      <c r="AD13" s="150">
        <f t="shared" si="14"/>
        <v>0.16152106584759979</v>
      </c>
      <c r="AE13" s="150">
        <f t="shared" si="14"/>
        <v>0.12813717078024389</v>
      </c>
      <c r="AF13" s="150">
        <f t="shared" si="14"/>
        <v>0.18779435869004643</v>
      </c>
    </row>
    <row r="14" spans="2:32">
      <c r="T14" t="s">
        <v>215</v>
      </c>
      <c r="U14" s="150">
        <f t="shared" ref="U14:AF14" si="15">U6/$U$9</f>
        <v>9.3447195576605427E-2</v>
      </c>
      <c r="V14" s="150">
        <f t="shared" si="15"/>
        <v>8.3867292978401745E-2</v>
      </c>
      <c r="W14" s="150">
        <f t="shared" si="15"/>
        <v>9.3198435024645643E-2</v>
      </c>
      <c r="X14" s="150">
        <f t="shared" si="15"/>
        <v>8.8810191894289181E-2</v>
      </c>
      <c r="Y14" s="150">
        <f t="shared" si="15"/>
        <v>8.9126786506439293E-2</v>
      </c>
      <c r="Z14" s="150">
        <f t="shared" si="15"/>
        <v>8.8421804451874544E-2</v>
      </c>
      <c r="AA14" s="150">
        <f t="shared" si="15"/>
        <v>9.247997175307146E-2</v>
      </c>
      <c r="AB14" s="150">
        <f t="shared" si="15"/>
        <v>9.4841859574367082E-2</v>
      </c>
      <c r="AC14" s="150">
        <f t="shared" si="15"/>
        <v>9.3252573880254958E-2</v>
      </c>
      <c r="AD14" s="150">
        <f t="shared" si="15"/>
        <v>9.6936797900118762E-2</v>
      </c>
      <c r="AE14" s="150">
        <f t="shared" si="15"/>
        <v>9.6141406096562174E-2</v>
      </c>
      <c r="AF14" s="150">
        <f t="shared" si="15"/>
        <v>9.7926490418668466E-2</v>
      </c>
    </row>
    <row r="15" spans="2:32">
      <c r="T15" t="s">
        <v>71</v>
      </c>
      <c r="U15" s="150">
        <f t="shared" ref="U15:AF15" si="16">U7/$U$9</f>
        <v>9.9905840419885109E-2</v>
      </c>
      <c r="V15" s="150">
        <f t="shared" si="16"/>
        <v>8.9484077072289295E-2</v>
      </c>
      <c r="W15" s="150">
        <f t="shared" si="16"/>
        <v>0.10297708507596239</v>
      </c>
      <c r="X15" s="150">
        <f t="shared" si="16"/>
        <v>9.8663864541891272E-2</v>
      </c>
      <c r="Y15" s="150">
        <f t="shared" si="16"/>
        <v>0.10244006021988686</v>
      </c>
      <c r="Z15" s="150">
        <f t="shared" si="16"/>
        <v>0.10037944432973477</v>
      </c>
      <c r="AA15" s="150">
        <f t="shared" si="16"/>
        <v>8.6276298578620986E-2</v>
      </c>
      <c r="AB15" s="150">
        <f t="shared" si="16"/>
        <v>0.10754188495275854</v>
      </c>
      <c r="AC15" s="150">
        <f t="shared" si="16"/>
        <v>9.9429584011229172E-2</v>
      </c>
      <c r="AD15" s="150">
        <f t="shared" si="16"/>
        <v>9.9718674405695887E-2</v>
      </c>
      <c r="AE15" s="150">
        <f t="shared" si="16"/>
        <v>0.10852836546166389</v>
      </c>
      <c r="AF15" s="150">
        <f t="shared" si="16"/>
        <v>0.1103102585631891</v>
      </c>
    </row>
    <row r="16" spans="2:32">
      <c r="T16" t="s">
        <v>79</v>
      </c>
      <c r="U16" s="150">
        <f t="shared" ref="U16:AF16" si="17">U8/$U$9</f>
        <v>6.4116285968560706E-3</v>
      </c>
      <c r="V16" s="150">
        <f t="shared" si="17"/>
        <v>5.7323799879099684E-3</v>
      </c>
      <c r="W16" s="150">
        <f t="shared" si="17"/>
        <v>6.2656778568810972E-3</v>
      </c>
      <c r="X16" s="150">
        <f t="shared" si="17"/>
        <v>6.232972315282549E-3</v>
      </c>
      <c r="Y16" s="150">
        <f t="shared" si="17"/>
        <v>6.4407380591253007E-3</v>
      </c>
      <c r="Z16" s="150">
        <f t="shared" si="17"/>
        <v>6.3879097757478078E-3</v>
      </c>
      <c r="AA16" s="150">
        <f t="shared" si="17"/>
        <v>1.1037772506209123E-3</v>
      </c>
      <c r="AB16" s="150">
        <f t="shared" si="17"/>
        <v>6.8385673768047847E-3</v>
      </c>
      <c r="AC16" s="150">
        <f t="shared" si="17"/>
        <v>6.763515740512073E-3</v>
      </c>
      <c r="AD16" s="150">
        <f t="shared" si="17"/>
        <v>7.15877146176632E-3</v>
      </c>
      <c r="AE16" s="150">
        <f t="shared" si="17"/>
        <v>7.1391217052763373E-3</v>
      </c>
      <c r="AF16" s="150">
        <f t="shared" si="17"/>
        <v>7.2897640419778576E-3</v>
      </c>
    </row>
    <row r="17" spans="2:32">
      <c r="T17" t="s">
        <v>177</v>
      </c>
      <c r="U17" s="150">
        <f>SUM(U11:U16)</f>
        <v>0.99999999999999989</v>
      </c>
      <c r="V17" s="150">
        <f t="shared" ref="V17:AF17" si="18">SUM(V11:V15)</f>
        <v>0.8812588424663288</v>
      </c>
      <c r="W17" s="150">
        <f t="shared" si="18"/>
        <v>0.97740351620980481</v>
      </c>
      <c r="X17" s="150">
        <f t="shared" si="18"/>
        <v>0.94012866363200887</v>
      </c>
      <c r="Y17" s="150">
        <f t="shared" si="18"/>
        <v>0.96104721148189121</v>
      </c>
      <c r="Z17" s="150">
        <f t="shared" si="18"/>
        <v>0.95094612289875802</v>
      </c>
      <c r="AA17" s="150">
        <f t="shared" si="18"/>
        <v>0.67176919306367555</v>
      </c>
      <c r="AB17" s="150">
        <f t="shared" si="18"/>
        <v>0.97848920658988026</v>
      </c>
      <c r="AC17" s="150">
        <f t="shared" si="18"/>
        <v>0.89903081644437766</v>
      </c>
      <c r="AD17" s="150">
        <f t="shared" si="18"/>
        <v>0.72717499877447445</v>
      </c>
      <c r="AE17" s="150">
        <f t="shared" si="18"/>
        <v>0.8595012862477206</v>
      </c>
      <c r="AF17" s="150">
        <f t="shared" si="18"/>
        <v>0.99133375827363401</v>
      </c>
    </row>
    <row r="22" spans="2:32" ht="23.5">
      <c r="B22" s="44" t="s">
        <v>208</v>
      </c>
      <c r="E22" s="695"/>
    </row>
    <row r="23" spans="2:32">
      <c r="B23" s="26" t="s">
        <v>23</v>
      </c>
      <c r="C23" s="26" t="s">
        <v>22</v>
      </c>
      <c r="D23" s="43">
        <v>242492</v>
      </c>
      <c r="E23" s="43">
        <v>23377</v>
      </c>
      <c r="F23" s="43">
        <v>23408</v>
      </c>
      <c r="G23" s="43">
        <v>23437</v>
      </c>
      <c r="H23" s="43">
        <v>23468</v>
      </c>
      <c r="I23" s="43">
        <v>23498</v>
      </c>
      <c r="J23" s="43">
        <v>23529</v>
      </c>
      <c r="K23" s="43">
        <v>23559</v>
      </c>
      <c r="L23" s="43">
        <v>23590</v>
      </c>
      <c r="M23" s="43">
        <v>23621</v>
      </c>
      <c r="N23" s="43">
        <v>23651</v>
      </c>
      <c r="O23" s="43">
        <v>23682</v>
      </c>
      <c r="P23" s="43">
        <v>23712</v>
      </c>
      <c r="Q23" s="526" t="s">
        <v>177</v>
      </c>
    </row>
    <row r="24" spans="2:32">
      <c r="B24" s="28" t="s">
        <v>25</v>
      </c>
      <c r="C24" s="27" t="s">
        <v>86</v>
      </c>
      <c r="D24" s="28"/>
      <c r="E24" s="689">
        <f>'Data (64)'!C63*10^6</f>
        <v>408888130.50687587</v>
      </c>
      <c r="F24" s="689">
        <f>'Data (64)'!D63*10^6</f>
        <v>396502110.70290059</v>
      </c>
      <c r="G24" s="689">
        <f>'Data (64)'!E63*10^6</f>
        <v>439558872.43206447</v>
      </c>
      <c r="H24" s="689">
        <f>'Data (64)'!G63*10^6</f>
        <v>392732164.25276828</v>
      </c>
      <c r="I24" s="689">
        <f>'Data (64)'!H63*10^6</f>
        <v>463363152.51169556</v>
      </c>
      <c r="J24" s="689">
        <f>'Data (64)'!I63*10^6</f>
        <v>426488582.10729432</v>
      </c>
      <c r="K24" s="689">
        <f>384.0156*10^6</f>
        <v>384015600</v>
      </c>
      <c r="L24" s="689">
        <f>470.131556670181*10^6</f>
        <v>470131556.67018098</v>
      </c>
      <c r="M24" s="689">
        <f>371.628*10^6</f>
        <v>371628000</v>
      </c>
      <c r="N24" s="689">
        <f>560.833778920687*10^6</f>
        <v>560833778.92068696</v>
      </c>
      <c r="O24" s="689">
        <f>470.710814157341*10^6</f>
        <v>470710814.157341</v>
      </c>
      <c r="P24" s="689">
        <f>461.295396724431*10^6</f>
        <v>461295396.72443098</v>
      </c>
      <c r="Q24" s="698">
        <f>SUM(E24:P24)</f>
        <v>5246148158.9862394</v>
      </c>
    </row>
    <row r="25" spans="2:32">
      <c r="B25" s="28" t="s">
        <v>25</v>
      </c>
      <c r="C25" s="27" t="s">
        <v>26</v>
      </c>
      <c r="D25" s="28"/>
      <c r="E25" s="689">
        <f>492.63227904*10^6</f>
        <v>492632279.04000002</v>
      </c>
      <c r="F25" s="689">
        <f>444.95818752*10^6</f>
        <v>444958187.52000004</v>
      </c>
      <c r="G25" s="689">
        <f>492.63227904*10^6</f>
        <v>492632279.04000002</v>
      </c>
      <c r="H25" s="689">
        <f>476.7409152*10^6</f>
        <v>476740915.19999999</v>
      </c>
      <c r="I25" s="689">
        <f>492.63227904*10^6</f>
        <v>492632279.04000002</v>
      </c>
      <c r="J25" s="689">
        <f>476.7409152*10^6</f>
        <v>476740915.19999999</v>
      </c>
      <c r="K25" s="689">
        <f>268.70851584*10^6</f>
        <v>268708515.84000003</v>
      </c>
      <c r="L25" s="689">
        <f>492.63227904*10^6</f>
        <v>492632279.04000002</v>
      </c>
      <c r="M25" s="689">
        <f>346.7206656*10^6</f>
        <v>346720665.60000002</v>
      </c>
      <c r="N25" s="689">
        <f>582.20178432*10^6</f>
        <v>582201784.32000005</v>
      </c>
      <c r="O25" s="689">
        <f>476.7409152*10^6</f>
        <v>476740915.19999999</v>
      </c>
      <c r="P25" s="689">
        <f>492.63227904*10^6</f>
        <v>492632279.04000002</v>
      </c>
      <c r="Q25" s="698">
        <f>SUM(E25:P25)</f>
        <v>5535973294.0799999</v>
      </c>
    </row>
    <row r="26" spans="2:32">
      <c r="B26" s="28" t="s">
        <v>25</v>
      </c>
      <c r="C26" s="221" t="s">
        <v>27</v>
      </c>
      <c r="D26" s="28"/>
      <c r="E26" s="689">
        <f>1451.25515550189*10^6</f>
        <v>1451255155.5018899</v>
      </c>
      <c r="F26" s="689">
        <f>1311.87337745081*10^6</f>
        <v>1311873377.45081</v>
      </c>
      <c r="G26" s="689">
        <f>1424.33097309191*10^6</f>
        <v>1424330973.0919099</v>
      </c>
      <c r="H26" s="689">
        <f>1411.26714489691*10^6</f>
        <v>1411267144.89691</v>
      </c>
      <c r="I26" s="689">
        <f>1442.66629278236*10^6</f>
        <v>1442666292.7823601</v>
      </c>
      <c r="J26" s="689">
        <f>1411.88913068658*10^6</f>
        <v>1411889130.6865802</v>
      </c>
      <c r="K26" s="689">
        <f>1097.99472770449*10^6</f>
        <v>1097994727.7044899</v>
      </c>
      <c r="L26" s="689">
        <f>1444.59111390229*10^6</f>
        <v>1444591113.9022901</v>
      </c>
      <c r="M26" s="689">
        <f>1276.51013992768*10^6</f>
        <v>1276510139.92768</v>
      </c>
      <c r="N26" s="689">
        <f>0*10^6</f>
        <v>0</v>
      </c>
      <c r="O26" s="689">
        <f>1304.75033764589*10^6</f>
        <v>1304750337.64589</v>
      </c>
      <c r="P26" s="689">
        <f>1348.23274048494*10^6</f>
        <v>1348232740.4849401</v>
      </c>
      <c r="Q26" s="698">
        <f t="shared" ref="Q26:Q33" si="19">SUM(E26:P26)</f>
        <v>14925361134.075748</v>
      </c>
    </row>
    <row r="27" spans="2:32" ht="29">
      <c r="B27" s="28" t="s">
        <v>25</v>
      </c>
      <c r="C27" s="228" t="s">
        <v>28</v>
      </c>
      <c r="D27" s="28"/>
      <c r="E27" s="689"/>
      <c r="F27" s="689"/>
      <c r="G27" s="689"/>
      <c r="H27" s="689"/>
      <c r="I27" s="689"/>
      <c r="J27" s="689"/>
      <c r="K27" s="689"/>
      <c r="L27" s="689"/>
      <c r="M27" s="689"/>
      <c r="N27" s="689"/>
      <c r="O27" s="689"/>
      <c r="P27" s="689"/>
      <c r="Q27" s="698">
        <f>SUM(E27:P27)</f>
        <v>0</v>
      </c>
    </row>
    <row r="28" spans="2:32" ht="29">
      <c r="B28" s="28" t="s">
        <v>25</v>
      </c>
      <c r="C28" s="228" t="s">
        <v>29</v>
      </c>
      <c r="D28" s="28"/>
      <c r="E28" s="689"/>
      <c r="F28" s="689"/>
      <c r="G28" s="689"/>
      <c r="H28" s="689"/>
      <c r="I28" s="689"/>
      <c r="J28" s="689"/>
      <c r="K28" s="689"/>
      <c r="L28" s="689"/>
      <c r="M28" s="689"/>
      <c r="N28" s="689"/>
      <c r="O28" s="689"/>
      <c r="P28" s="689"/>
      <c r="Q28" s="698">
        <f t="shared" si="19"/>
        <v>0</v>
      </c>
    </row>
    <row r="29" spans="2:32" ht="29">
      <c r="B29" s="28" t="s">
        <v>25</v>
      </c>
      <c r="C29" s="228" t="s">
        <v>30</v>
      </c>
      <c r="D29" s="28"/>
      <c r="E29" s="689"/>
      <c r="F29" s="689"/>
      <c r="G29" s="689"/>
      <c r="H29" s="689"/>
      <c r="I29" s="689"/>
      <c r="J29" s="689"/>
      <c r="K29" s="689"/>
      <c r="L29" s="689"/>
      <c r="M29" s="689"/>
      <c r="N29" s="689"/>
      <c r="O29" s="689"/>
      <c r="P29" s="689"/>
      <c r="Q29" s="698">
        <f t="shared" si="19"/>
        <v>0</v>
      </c>
    </row>
    <row r="30" spans="2:32">
      <c r="B30" s="28" t="s">
        <v>25</v>
      </c>
      <c r="C30" s="227" t="s">
        <v>31</v>
      </c>
      <c r="D30" s="28"/>
      <c r="E30" s="689">
        <f>59.2397260273973*10^6</f>
        <v>59239726.027397305</v>
      </c>
      <c r="F30" s="689">
        <f>53.5068493150685*10^6</f>
        <v>53506849.315068498</v>
      </c>
      <c r="G30" s="689">
        <f>59.2397260273973*10^6</f>
        <v>59239726.027397305</v>
      </c>
      <c r="H30" s="689">
        <f>57.3287671232877*10^6</f>
        <v>57328767.1232877</v>
      </c>
      <c r="I30" s="689">
        <f>59.2397260273973*10^6</f>
        <v>59239726.027397305</v>
      </c>
      <c r="J30" s="689">
        <f>57.3287671232877*10^6</f>
        <v>57328767.1232877</v>
      </c>
      <c r="K30" s="689">
        <f>59.2397260273973*10^6</f>
        <v>59239726.027397305</v>
      </c>
      <c r="L30" s="689">
        <f>59.2397260273973*10^6</f>
        <v>59239726.027397305</v>
      </c>
      <c r="M30" s="689">
        <f>57.3287671232877*10^6</f>
        <v>57328767.1232877</v>
      </c>
      <c r="N30" s="689">
        <f>59.2397260273973*10^6</f>
        <v>59239726.027397305</v>
      </c>
      <c r="O30" s="689">
        <f>57.3287671232877*10^6</f>
        <v>57328767.1232877</v>
      </c>
      <c r="P30" s="689">
        <f>59.2397260273973*10^6</f>
        <v>59239726.027397305</v>
      </c>
      <c r="Q30" s="698">
        <f t="shared" si="19"/>
        <v>697500000.00000024</v>
      </c>
    </row>
    <row r="31" spans="2:32">
      <c r="B31" s="28" t="s">
        <v>25</v>
      </c>
      <c r="C31" s="227" t="s">
        <v>32</v>
      </c>
      <c r="D31" s="28"/>
      <c r="E31" s="689"/>
      <c r="F31" s="689"/>
      <c r="G31" s="689"/>
      <c r="H31" s="689"/>
      <c r="I31" s="689"/>
      <c r="J31" s="689"/>
      <c r="K31" s="689"/>
      <c r="L31" s="689"/>
      <c r="M31" s="689"/>
      <c r="N31" s="689"/>
      <c r="O31" s="689"/>
      <c r="P31" s="689"/>
      <c r="Q31" s="698">
        <f t="shared" si="19"/>
        <v>0</v>
      </c>
    </row>
    <row r="32" spans="2:32">
      <c r="B32" s="32" t="s">
        <v>34</v>
      </c>
      <c r="C32" s="227" t="s">
        <v>33</v>
      </c>
      <c r="D32" s="28"/>
      <c r="E32" s="689"/>
      <c r="F32" s="689"/>
      <c r="G32" s="689"/>
      <c r="H32" s="689"/>
      <c r="I32" s="689"/>
      <c r="J32" s="689"/>
      <c r="K32" s="689"/>
      <c r="L32" s="689"/>
      <c r="M32" s="689"/>
      <c r="N32" s="689"/>
      <c r="O32" s="689"/>
      <c r="P32" s="689"/>
      <c r="Q32" s="698">
        <f t="shared" si="19"/>
        <v>0</v>
      </c>
    </row>
    <row r="33" spans="2:17">
      <c r="B33" s="32"/>
      <c r="C33" s="33" t="s">
        <v>35</v>
      </c>
      <c r="D33" s="689">
        <f t="shared" ref="D33:P33" si="20">SUM(D24:D29)</f>
        <v>0</v>
      </c>
      <c r="E33" s="689">
        <f>SUM(E24:E29)</f>
        <v>2352775565.0487661</v>
      </c>
      <c r="F33" s="689">
        <f>SUM(F24:F29)</f>
        <v>2153333675.6737108</v>
      </c>
      <c r="G33" s="689">
        <f t="shared" si="20"/>
        <v>2356522124.5639744</v>
      </c>
      <c r="H33" s="689">
        <f t="shared" si="20"/>
        <v>2280740224.349678</v>
      </c>
      <c r="I33" s="689">
        <f t="shared" si="20"/>
        <v>2398661724.3340559</v>
      </c>
      <c r="J33" s="689">
        <f t="shared" si="20"/>
        <v>2315118627.9938745</v>
      </c>
      <c r="K33" s="689">
        <f t="shared" si="20"/>
        <v>1750718843.5444899</v>
      </c>
      <c r="L33" s="689">
        <f t="shared" si="20"/>
        <v>2407354949.6124711</v>
      </c>
      <c r="M33" s="689">
        <f t="shared" si="20"/>
        <v>1994858805.5276799</v>
      </c>
      <c r="N33" s="689">
        <f t="shared" si="20"/>
        <v>1143035563.2406869</v>
      </c>
      <c r="O33" s="689">
        <f t="shared" si="20"/>
        <v>2252202067.003231</v>
      </c>
      <c r="P33" s="689">
        <f t="shared" si="20"/>
        <v>2302160416.2493711</v>
      </c>
      <c r="Q33" s="698">
        <f t="shared" si="19"/>
        <v>25707482587.141991</v>
      </c>
    </row>
    <row r="34" spans="2:17">
      <c r="B34" s="32"/>
      <c r="C34" s="33" t="s">
        <v>36</v>
      </c>
      <c r="D34" s="689">
        <f t="shared" ref="D34:P34" si="21">SUM(D30:D32)</f>
        <v>0</v>
      </c>
      <c r="E34" s="689">
        <f t="shared" si="21"/>
        <v>59239726.027397305</v>
      </c>
      <c r="F34" s="689">
        <f t="shared" si="21"/>
        <v>53506849.315068498</v>
      </c>
      <c r="G34" s="689">
        <f t="shared" si="21"/>
        <v>59239726.027397305</v>
      </c>
      <c r="H34" s="689">
        <f t="shared" si="21"/>
        <v>57328767.1232877</v>
      </c>
      <c r="I34" s="689">
        <f t="shared" si="21"/>
        <v>59239726.027397305</v>
      </c>
      <c r="J34" s="689">
        <f t="shared" si="21"/>
        <v>57328767.1232877</v>
      </c>
      <c r="K34" s="689">
        <f t="shared" si="21"/>
        <v>59239726.027397305</v>
      </c>
      <c r="L34" s="689">
        <f t="shared" si="21"/>
        <v>59239726.027397305</v>
      </c>
      <c r="M34" s="689">
        <f t="shared" si="21"/>
        <v>57328767.1232877</v>
      </c>
      <c r="N34" s="689">
        <f t="shared" si="21"/>
        <v>59239726.027397305</v>
      </c>
      <c r="O34" s="689">
        <f t="shared" si="21"/>
        <v>57328767.1232877</v>
      </c>
      <c r="P34" s="689">
        <f t="shared" si="21"/>
        <v>59239726.027397305</v>
      </c>
      <c r="Q34" s="698">
        <f>SUM(E34:P34)</f>
        <v>697500000.00000024</v>
      </c>
    </row>
    <row r="35" spans="2:17">
      <c r="B35" s="28"/>
      <c r="C35" s="34" t="s">
        <v>37</v>
      </c>
      <c r="D35" s="689">
        <f t="shared" ref="D35:P35" si="22">SUM(D24:D32)</f>
        <v>0</v>
      </c>
      <c r="E35" s="689">
        <f>SUM(E24:E32)</f>
        <v>2412015291.0761633</v>
      </c>
      <c r="F35" s="689">
        <f>SUM(F24:F32)</f>
        <v>2206840524.9887795</v>
      </c>
      <c r="G35" s="689">
        <f t="shared" si="22"/>
        <v>2415761850.5913715</v>
      </c>
      <c r="H35" s="689">
        <f t="shared" si="22"/>
        <v>2338068991.4729657</v>
      </c>
      <c r="I35" s="689">
        <f t="shared" si="22"/>
        <v>2457901450.3614531</v>
      </c>
      <c r="J35" s="689">
        <f t="shared" si="22"/>
        <v>2372447395.1171622</v>
      </c>
      <c r="K35" s="689">
        <f t="shared" si="22"/>
        <v>1809958569.5718873</v>
      </c>
      <c r="L35" s="689">
        <f t="shared" si="22"/>
        <v>2466594675.6398683</v>
      </c>
      <c r="M35" s="689">
        <f t="shared" si="22"/>
        <v>2052187572.6509676</v>
      </c>
      <c r="N35" s="689">
        <f t="shared" si="22"/>
        <v>1202275289.2680843</v>
      </c>
      <c r="O35" s="689">
        <f t="shared" si="22"/>
        <v>2309530834.1265187</v>
      </c>
      <c r="P35" s="689">
        <f t="shared" si="22"/>
        <v>2361400142.2767682</v>
      </c>
      <c r="Q35" s="698">
        <f>SUM(E35:P35)</f>
        <v>26404982587.141991</v>
      </c>
    </row>
    <row r="36" spans="2:17" ht="23.5">
      <c r="B36" s="25" t="s">
        <v>38</v>
      </c>
    </row>
    <row r="37" spans="2:17">
      <c r="B37" s="26" t="s">
        <v>23</v>
      </c>
      <c r="C37" s="26" t="s">
        <v>22</v>
      </c>
      <c r="D37" s="43">
        <v>242492</v>
      </c>
      <c r="E37" s="43">
        <v>23377</v>
      </c>
      <c r="F37" s="43">
        <v>23408</v>
      </c>
      <c r="G37" s="43">
        <v>23437</v>
      </c>
      <c r="H37" s="43">
        <v>23468</v>
      </c>
      <c r="I37" s="43">
        <v>23498</v>
      </c>
      <c r="J37" s="43">
        <v>23529</v>
      </c>
      <c r="K37" s="43">
        <v>23559</v>
      </c>
      <c r="L37" s="43">
        <v>23590</v>
      </c>
      <c r="M37" s="43">
        <v>23621</v>
      </c>
      <c r="N37" s="43">
        <v>23651</v>
      </c>
      <c r="O37" s="43">
        <v>23682</v>
      </c>
      <c r="P37" s="43">
        <v>23712</v>
      </c>
      <c r="Q37" s="526" t="s">
        <v>177</v>
      </c>
    </row>
    <row r="38" spans="2:17">
      <c r="B38" s="28" t="s">
        <v>25</v>
      </c>
      <c r="C38" s="35" t="s">
        <v>39</v>
      </c>
      <c r="D38" s="28"/>
      <c r="E38" s="689">
        <f>306.382176*10^6</f>
        <v>306382176</v>
      </c>
      <c r="F38" s="689">
        <f>269.857728*10^6</f>
        <v>269857728</v>
      </c>
      <c r="G38" s="689">
        <f>304.306416*10^6</f>
        <v>304306416</v>
      </c>
      <c r="H38" s="689">
        <f>288.46368*10^6</f>
        <v>288463680</v>
      </c>
      <c r="I38" s="689">
        <f>289.776096*10^6</f>
        <v>289776096</v>
      </c>
      <c r="J38" s="689">
        <f>285.78528*10^6</f>
        <v>285785280</v>
      </c>
      <c r="K38" s="689">
        <f>178.712112073661*10^6</f>
        <v>178712112.073661</v>
      </c>
      <c r="L38" s="689">
        <f>349.1157876*10^6</f>
        <v>349115787.59999996</v>
      </c>
      <c r="M38" s="689">
        <f>280.839034195922*10^6</f>
        <v>280839034.19592202</v>
      </c>
      <c r="N38" s="689">
        <f>313.993296*10^6</f>
        <v>313993296</v>
      </c>
      <c r="O38" s="689">
        <f>376.7489086*10^6</f>
        <v>376748908.59999996</v>
      </c>
      <c r="P38" s="689">
        <f>316.760976*10^6</f>
        <v>316760976</v>
      </c>
      <c r="Q38" s="528">
        <f>SUM(E38:P38)</f>
        <v>3560741490.469583</v>
      </c>
    </row>
    <row r="39" spans="2:17">
      <c r="B39" s="28" t="s">
        <v>25</v>
      </c>
      <c r="C39" s="35" t="s">
        <v>40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528">
        <f t="shared" ref="Q39:Q51" si="23">SUM(E39:P39)</f>
        <v>0</v>
      </c>
    </row>
    <row r="40" spans="2:17">
      <c r="B40" s="32" t="s">
        <v>34</v>
      </c>
      <c r="C40" s="35" t="s">
        <v>41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528">
        <f t="shared" si="23"/>
        <v>0</v>
      </c>
    </row>
    <row r="41" spans="2:17">
      <c r="B41" s="28" t="s">
        <v>25</v>
      </c>
      <c r="C41" s="36" t="s">
        <v>42</v>
      </c>
      <c r="D41" s="28"/>
      <c r="E41" s="689">
        <f>464.376152392941*10^6</f>
        <v>464376152.392941</v>
      </c>
      <c r="F41" s="689">
        <f>391.32912*10^6</f>
        <v>391329120</v>
      </c>
      <c r="G41" s="689">
        <f>441.2416*10^6</f>
        <v>441241600</v>
      </c>
      <c r="H41" s="689">
        <f>418.8038*10^6</f>
        <v>418803800</v>
      </c>
      <c r="I41" s="689">
        <f>419.489954*10^6</f>
        <v>419489954</v>
      </c>
      <c r="J41" s="689">
        <f>414.9598*10^6</f>
        <v>414959800</v>
      </c>
      <c r="K41" s="689">
        <f>259.17808739242*10^6</f>
        <v>259178087.39242002</v>
      </c>
      <c r="L41" s="689">
        <f>447.1936*10^6</f>
        <v>447193600</v>
      </c>
      <c r="M41" s="689">
        <f>437.0628*10^6</f>
        <v>437062800</v>
      </c>
      <c r="N41" s="689">
        <f>308.63476*10^6</f>
        <v>308634760</v>
      </c>
      <c r="O41" s="689">
        <f>0*10^6</f>
        <v>0</v>
      </c>
      <c r="P41" s="689">
        <f>459.0976*10^6</f>
        <v>459097600</v>
      </c>
      <c r="Q41" s="528">
        <f t="shared" si="23"/>
        <v>4461367273.7853603</v>
      </c>
    </row>
    <row r="42" spans="2:17">
      <c r="B42" s="32" t="s">
        <v>34</v>
      </c>
      <c r="C42" s="36" t="s">
        <v>43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528">
        <f t="shared" si="23"/>
        <v>0</v>
      </c>
    </row>
    <row r="43" spans="2:17">
      <c r="B43" s="28" t="s">
        <v>25</v>
      </c>
      <c r="C43" s="36" t="s">
        <v>44</v>
      </c>
      <c r="D43" s="28"/>
      <c r="E43" s="689">
        <f>298.286445029125*10^6</f>
        <v>298286445.02912498</v>
      </c>
      <c r="F43" s="689">
        <f>261.090156582904*10^6</f>
        <v>261090156.58290401</v>
      </c>
      <c r="G43" s="689">
        <f>286.879862776271*10^6</f>
        <v>286879862.77627099</v>
      </c>
      <c r="H43" s="689">
        <f>275.511893827228*10^6</f>
        <v>275511893.82722801</v>
      </c>
      <c r="I43" s="689">
        <f>291.248341085875*10^6</f>
        <v>291248341.08587497</v>
      </c>
      <c r="J43" s="689">
        <f>277.390809229208*10^6</f>
        <v>277390809.22920799</v>
      </c>
      <c r="K43" s="689">
        <f>85.568671475*10^6</f>
        <v>85568671.475000009</v>
      </c>
      <c r="L43" s="689">
        <f>137.8768028*10^6</f>
        <v>137876802.80000001</v>
      </c>
      <c r="M43" s="689">
        <f>275.27702940198*10^6</f>
        <v>275277029.40197998</v>
      </c>
      <c r="N43" s="689">
        <f>286.637169536848*10^6</f>
        <v>286637169.53684795</v>
      </c>
      <c r="O43" s="689">
        <f>281.618368883663*10^6</f>
        <v>281618368.883663</v>
      </c>
      <c r="P43" s="689">
        <f>286.394476297426*10^6</f>
        <v>286394476.29742604</v>
      </c>
      <c r="Q43" s="528">
        <f t="shared" si="23"/>
        <v>3043780026.9255285</v>
      </c>
    </row>
    <row r="44" spans="2:17">
      <c r="B44" s="32" t="s">
        <v>34</v>
      </c>
      <c r="C44" s="36" t="s">
        <v>45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528">
        <f t="shared" si="23"/>
        <v>0</v>
      </c>
    </row>
    <row r="45" spans="2:17">
      <c r="B45" s="28" t="s">
        <v>25</v>
      </c>
      <c r="C45" s="36" t="s">
        <v>46</v>
      </c>
      <c r="D45" s="28"/>
      <c r="E45" s="179">
        <f>43.5210584277742*10^6</f>
        <v>43521058.427774198</v>
      </c>
      <c r="F45" s="179">
        <f>25.3687348426874*10^6</f>
        <v>25368734.842687398</v>
      </c>
      <c r="G45" s="179">
        <f>23.1934826037967*10^6</f>
        <v>23193482.603796698</v>
      </c>
      <c r="H45" s="179">
        <f>28.9008935394175*10^6</f>
        <v>28900893.539417498</v>
      </c>
      <c r="I45" s="179">
        <f>0*10^6</f>
        <v>0</v>
      </c>
      <c r="J45" s="179">
        <f>43.8519390844106*10^6</f>
        <v>43851939.0844106</v>
      </c>
      <c r="K45" s="179">
        <f>0*10^6</f>
        <v>0</v>
      </c>
      <c r="L45" s="179">
        <f>81.17691*10^6</f>
        <v>81176910</v>
      </c>
      <c r="M45" s="179">
        <f>27.2769*10^6</f>
        <v>27276900</v>
      </c>
      <c r="N45" s="179">
        <f>26.7055889070433*10^6</f>
        <v>26705588.907043301</v>
      </c>
      <c r="O45" s="179">
        <f>84.15291*10^6</f>
        <v>84152910</v>
      </c>
      <c r="P45" s="179">
        <f>25.9643757434191*10^6</f>
        <v>25964375.7434191</v>
      </c>
      <c r="Q45" s="528">
        <f t="shared" si="23"/>
        <v>410112793.14854878</v>
      </c>
    </row>
    <row r="46" spans="2:17">
      <c r="B46" s="32" t="s">
        <v>34</v>
      </c>
      <c r="C46" s="36" t="s">
        <v>47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528">
        <f t="shared" si="23"/>
        <v>0</v>
      </c>
    </row>
    <row r="47" spans="2:17">
      <c r="B47" s="28" t="s">
        <v>25</v>
      </c>
      <c r="C47" s="36" t="s">
        <v>48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528">
        <f t="shared" si="23"/>
        <v>0</v>
      </c>
    </row>
    <row r="48" spans="2:17">
      <c r="B48" s="32" t="s">
        <v>34</v>
      </c>
      <c r="C48" s="36" t="s">
        <v>49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528">
        <f t="shared" si="23"/>
        <v>0</v>
      </c>
    </row>
    <row r="49" spans="2:17">
      <c r="B49" s="36" t="s">
        <v>25</v>
      </c>
      <c r="C49" s="35" t="s">
        <v>189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28">
        <f t="shared" si="23"/>
        <v>0</v>
      </c>
    </row>
    <row r="50" spans="2:17">
      <c r="B50" s="36"/>
      <c r="C50" s="33" t="s">
        <v>35</v>
      </c>
      <c r="D50" s="28">
        <f t="shared" ref="D50:P50" si="24">SUM(D38:D40)</f>
        <v>0</v>
      </c>
      <c r="E50" s="689">
        <f t="shared" si="24"/>
        <v>306382176</v>
      </c>
      <c r="F50" s="689">
        <f t="shared" si="24"/>
        <v>269857728</v>
      </c>
      <c r="G50" s="689">
        <f t="shared" si="24"/>
        <v>304306416</v>
      </c>
      <c r="H50" s="689">
        <f t="shared" si="24"/>
        <v>288463680</v>
      </c>
      <c r="I50" s="689">
        <f t="shared" si="24"/>
        <v>289776096</v>
      </c>
      <c r="J50" s="689">
        <f t="shared" si="24"/>
        <v>285785280</v>
      </c>
      <c r="K50" s="689">
        <f t="shared" si="24"/>
        <v>178712112.073661</v>
      </c>
      <c r="L50" s="689">
        <f t="shared" si="24"/>
        <v>349115787.59999996</v>
      </c>
      <c r="M50" s="689">
        <f t="shared" si="24"/>
        <v>280839034.19592202</v>
      </c>
      <c r="N50" s="689">
        <f t="shared" si="24"/>
        <v>313993296</v>
      </c>
      <c r="O50" s="689">
        <f t="shared" si="24"/>
        <v>376748908.59999996</v>
      </c>
      <c r="P50" s="689">
        <f t="shared" si="24"/>
        <v>316760976</v>
      </c>
      <c r="Q50" s="698">
        <f t="shared" si="23"/>
        <v>3560741490.469583</v>
      </c>
    </row>
    <row r="51" spans="2:17">
      <c r="B51" s="36"/>
      <c r="C51" s="33" t="s">
        <v>36</v>
      </c>
      <c r="D51" s="28">
        <f t="shared" ref="D51:P51" si="25">SUM(D45:D48)</f>
        <v>0</v>
      </c>
      <c r="E51" s="689">
        <f t="shared" si="25"/>
        <v>43521058.427774198</v>
      </c>
      <c r="F51" s="689">
        <f t="shared" si="25"/>
        <v>25368734.842687398</v>
      </c>
      <c r="G51" s="689">
        <f t="shared" si="25"/>
        <v>23193482.603796698</v>
      </c>
      <c r="H51" s="689">
        <f t="shared" si="25"/>
        <v>28900893.539417498</v>
      </c>
      <c r="I51" s="689">
        <f t="shared" si="25"/>
        <v>0</v>
      </c>
      <c r="J51" s="689">
        <f t="shared" si="25"/>
        <v>43851939.0844106</v>
      </c>
      <c r="K51" s="689">
        <f t="shared" si="25"/>
        <v>0</v>
      </c>
      <c r="L51" s="689">
        <f t="shared" si="25"/>
        <v>81176910</v>
      </c>
      <c r="M51" s="689">
        <f t="shared" si="25"/>
        <v>27276900</v>
      </c>
      <c r="N51" s="689">
        <f t="shared" si="25"/>
        <v>26705588.907043301</v>
      </c>
      <c r="O51" s="689">
        <f t="shared" si="25"/>
        <v>84152910</v>
      </c>
      <c r="P51" s="689">
        <f t="shared" si="25"/>
        <v>25964375.7434191</v>
      </c>
      <c r="Q51" s="698">
        <f t="shared" si="23"/>
        <v>410112793.14854878</v>
      </c>
    </row>
    <row r="52" spans="2:17">
      <c r="B52" s="28"/>
      <c r="C52" s="34" t="s">
        <v>37</v>
      </c>
      <c r="D52" s="28">
        <f t="shared" ref="D52:P52" si="26">SUM(D38:D49)</f>
        <v>0</v>
      </c>
      <c r="E52" s="689">
        <f t="shared" si="26"/>
        <v>1112565831.8498402</v>
      </c>
      <c r="F52" s="689">
        <f t="shared" si="26"/>
        <v>947645739.42559135</v>
      </c>
      <c r="G52" s="689">
        <f t="shared" si="26"/>
        <v>1055621361.3800677</v>
      </c>
      <c r="H52" s="689">
        <f t="shared" si="26"/>
        <v>1011680267.3666456</v>
      </c>
      <c r="I52" s="689">
        <f t="shared" si="26"/>
        <v>1000514391.085875</v>
      </c>
      <c r="J52" s="689">
        <f t="shared" si="26"/>
        <v>1021987828.3136185</v>
      </c>
      <c r="K52" s="689">
        <f t="shared" si="26"/>
        <v>523458870.94108105</v>
      </c>
      <c r="L52" s="689">
        <f t="shared" si="26"/>
        <v>1015363100.3999999</v>
      </c>
      <c r="M52" s="689">
        <f t="shared" si="26"/>
        <v>1020455763.5979021</v>
      </c>
      <c r="N52" s="689">
        <f t="shared" si="26"/>
        <v>935970814.44389129</v>
      </c>
      <c r="O52" s="689">
        <f t="shared" si="26"/>
        <v>742520187.48366296</v>
      </c>
      <c r="P52" s="689">
        <f t="shared" si="26"/>
        <v>1088217428.0408452</v>
      </c>
      <c r="Q52" s="698">
        <f>SUM(E52:P52)</f>
        <v>11476001584.329023</v>
      </c>
    </row>
    <row r="53" spans="2:17" ht="23.5">
      <c r="B53" s="25" t="s">
        <v>50</v>
      </c>
    </row>
    <row r="54" spans="2:17">
      <c r="B54" s="26" t="s">
        <v>23</v>
      </c>
      <c r="C54" s="26" t="s">
        <v>22</v>
      </c>
      <c r="D54" s="43">
        <v>242492</v>
      </c>
      <c r="E54" s="43">
        <v>23377</v>
      </c>
      <c r="F54" s="43">
        <v>23408</v>
      </c>
      <c r="G54" s="43">
        <v>23437</v>
      </c>
      <c r="H54" s="43">
        <v>23468</v>
      </c>
      <c r="I54" s="43">
        <v>23498</v>
      </c>
      <c r="J54" s="43">
        <v>23529</v>
      </c>
      <c r="K54" s="43">
        <v>23559</v>
      </c>
      <c r="L54" s="43">
        <v>23590</v>
      </c>
      <c r="M54" s="43">
        <v>23621</v>
      </c>
      <c r="N54" s="43">
        <v>23651</v>
      </c>
      <c r="O54" s="43">
        <v>23682</v>
      </c>
      <c r="P54" s="43">
        <v>23712</v>
      </c>
      <c r="Q54" s="526" t="s">
        <v>177</v>
      </c>
    </row>
    <row r="55" spans="2:17">
      <c r="B55" s="28" t="s">
        <v>25</v>
      </c>
      <c r="C55" s="37" t="s">
        <v>51</v>
      </c>
      <c r="D55" s="28"/>
      <c r="E55" s="689">
        <f>462.79838*10^6</f>
        <v>462798380</v>
      </c>
      <c r="F55" s="689">
        <f>407.50864*10^6</f>
        <v>407508640</v>
      </c>
      <c r="G55" s="689">
        <f>459.62708*10^6</f>
        <v>459627080</v>
      </c>
      <c r="H55" s="689">
        <f>435.5934*10^6</f>
        <v>435593400</v>
      </c>
      <c r="I55" s="689">
        <f>437.42798*10^6</f>
        <v>437427980</v>
      </c>
      <c r="J55" s="689">
        <f>431.5014*10^6</f>
        <v>431501400</v>
      </c>
      <c r="K55" s="689">
        <f>452.22738*10^6</f>
        <v>452227380</v>
      </c>
      <c r="L55" s="689">
        <f>465.96968*10^6</f>
        <v>465969680</v>
      </c>
      <c r="M55" s="689">
        <f>455.0304*10^6</f>
        <v>455030400</v>
      </c>
      <c r="N55" s="689">
        <f>474.42648*10^6</f>
        <v>474426480</v>
      </c>
      <c r="O55" s="689">
        <f>467.3064*10^6</f>
        <v>467306400</v>
      </c>
      <c r="P55" s="689">
        <f>478.65488*10^6</f>
        <v>478654880</v>
      </c>
      <c r="Q55" s="528">
        <f>SUM(E55:P55)</f>
        <v>5428072100</v>
      </c>
    </row>
    <row r="56" spans="2:17">
      <c r="B56" s="28" t="s">
        <v>25</v>
      </c>
      <c r="C56" s="37" t="s">
        <v>52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528">
        <f t="shared" ref="Q56:Q70" si="27">SUM(E56:P56)</f>
        <v>0</v>
      </c>
    </row>
    <row r="57" spans="2:17">
      <c r="B57" s="32" t="s">
        <v>34</v>
      </c>
      <c r="C57" s="37" t="s">
        <v>53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528">
        <f t="shared" si="27"/>
        <v>0</v>
      </c>
    </row>
    <row r="58" spans="2:17">
      <c r="B58" s="28" t="s">
        <v>25</v>
      </c>
      <c r="C58" s="37" t="s">
        <v>54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528">
        <f t="shared" si="27"/>
        <v>0</v>
      </c>
    </row>
    <row r="59" spans="2:17">
      <c r="B59" s="28" t="s">
        <v>25</v>
      </c>
      <c r="C59" s="37" t="s">
        <v>55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528">
        <f t="shared" si="27"/>
        <v>0</v>
      </c>
    </row>
    <row r="60" spans="2:17">
      <c r="B60" s="32" t="s">
        <v>34</v>
      </c>
      <c r="C60" s="37" t="s">
        <v>56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528">
        <f t="shared" si="27"/>
        <v>0</v>
      </c>
    </row>
    <row r="61" spans="2:17">
      <c r="B61" s="28" t="s">
        <v>25</v>
      </c>
      <c r="C61" s="28" t="s">
        <v>57</v>
      </c>
      <c r="D61" s="28"/>
      <c r="E61" s="179">
        <f>78.7028*10^6</f>
        <v>78702800</v>
      </c>
      <c r="F61" s="179">
        <f>78.4796*10^6</f>
        <v>78479600</v>
      </c>
      <c r="G61" s="179">
        <f>80.4326*10^6</f>
        <v>80432600</v>
      </c>
      <c r="H61" s="179">
        <f>79.0376*10^6</f>
        <v>79037600</v>
      </c>
      <c r="I61" s="179">
        <f>79.0376*10^6</f>
        <v>79037600</v>
      </c>
      <c r="J61" s="179">
        <f>80.879*10^6</f>
        <v>80879000</v>
      </c>
      <c r="K61" s="179">
        <f>83.669*10^6</f>
        <v>83669000</v>
      </c>
      <c r="L61" s="179">
        <f>83.6132*10^6</f>
        <v>83613200</v>
      </c>
      <c r="M61" s="179">
        <f>85.343*10^6</f>
        <v>85343000</v>
      </c>
      <c r="N61" s="179">
        <f>87.296*10^6</f>
        <v>87296000</v>
      </c>
      <c r="O61" s="179">
        <f>89.807*10^6</f>
        <v>89807000</v>
      </c>
      <c r="P61" s="179">
        <f>88.8026*10^6</f>
        <v>88802600</v>
      </c>
      <c r="Q61" s="528">
        <f t="shared" si="27"/>
        <v>995100000</v>
      </c>
    </row>
    <row r="62" spans="2:17">
      <c r="B62" s="28" t="s">
        <v>25</v>
      </c>
      <c r="C62" s="28" t="s">
        <v>58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528">
        <f t="shared" si="27"/>
        <v>0</v>
      </c>
    </row>
    <row r="63" spans="2:17">
      <c r="B63" s="28" t="s">
        <v>25</v>
      </c>
      <c r="C63" s="28" t="s">
        <v>59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528">
        <f t="shared" si="27"/>
        <v>0</v>
      </c>
    </row>
    <row r="64" spans="2:17">
      <c r="B64" s="32" t="s">
        <v>34</v>
      </c>
      <c r="C64" s="28" t="s">
        <v>60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528">
        <f t="shared" si="27"/>
        <v>0</v>
      </c>
    </row>
    <row r="65" spans="2:17">
      <c r="B65" s="28" t="s">
        <v>25</v>
      </c>
      <c r="C65" s="28" t="s">
        <v>61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528">
        <f t="shared" si="27"/>
        <v>0</v>
      </c>
    </row>
    <row r="66" spans="2:17">
      <c r="B66" s="32" t="s">
        <v>25</v>
      </c>
      <c r="C66" s="28" t="s">
        <v>62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528">
        <f t="shared" si="27"/>
        <v>0</v>
      </c>
    </row>
    <row r="67" spans="2:17">
      <c r="B67" s="28" t="s">
        <v>25</v>
      </c>
      <c r="C67" s="28" t="s">
        <v>63</v>
      </c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28">
        <f t="shared" si="27"/>
        <v>0</v>
      </c>
    </row>
    <row r="68" spans="2:17">
      <c r="B68" s="32" t="s">
        <v>34</v>
      </c>
      <c r="C68" s="28" t="s">
        <v>64</v>
      </c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528">
        <f t="shared" si="27"/>
        <v>0</v>
      </c>
    </row>
    <row r="69" spans="2:17">
      <c r="B69" s="32"/>
      <c r="C69" s="33" t="s">
        <v>35</v>
      </c>
      <c r="D69" s="28">
        <f t="shared" ref="D69:P69" si="28">SUM(D55:D60)</f>
        <v>0</v>
      </c>
      <c r="E69" s="689">
        <f t="shared" si="28"/>
        <v>462798380</v>
      </c>
      <c r="F69" s="689">
        <f t="shared" si="28"/>
        <v>407508640</v>
      </c>
      <c r="G69" s="689">
        <f t="shared" si="28"/>
        <v>459627080</v>
      </c>
      <c r="H69" s="689">
        <f t="shared" si="28"/>
        <v>435593400</v>
      </c>
      <c r="I69" s="689">
        <f t="shared" si="28"/>
        <v>437427980</v>
      </c>
      <c r="J69" s="689">
        <f t="shared" si="28"/>
        <v>431501400</v>
      </c>
      <c r="K69" s="689">
        <f t="shared" si="28"/>
        <v>452227380</v>
      </c>
      <c r="L69" s="689">
        <f t="shared" si="28"/>
        <v>465969680</v>
      </c>
      <c r="M69" s="689">
        <f t="shared" si="28"/>
        <v>455030400</v>
      </c>
      <c r="N69" s="689">
        <f t="shared" si="28"/>
        <v>474426480</v>
      </c>
      <c r="O69" s="689">
        <f t="shared" si="28"/>
        <v>467306400</v>
      </c>
      <c r="P69" s="689">
        <f t="shared" si="28"/>
        <v>478654880</v>
      </c>
      <c r="Q69" s="698">
        <f t="shared" si="27"/>
        <v>5428072100</v>
      </c>
    </row>
    <row r="70" spans="2:17">
      <c r="B70" s="32"/>
      <c r="C70" s="33" t="s">
        <v>36</v>
      </c>
      <c r="D70" s="28">
        <f t="shared" ref="D70:P70" si="29">SUM(D61:D68)</f>
        <v>0</v>
      </c>
      <c r="E70" s="689">
        <f t="shared" si="29"/>
        <v>78702800</v>
      </c>
      <c r="F70" s="689">
        <f t="shared" si="29"/>
        <v>78479600</v>
      </c>
      <c r="G70" s="689">
        <f t="shared" si="29"/>
        <v>80432600</v>
      </c>
      <c r="H70" s="689">
        <f t="shared" si="29"/>
        <v>79037600</v>
      </c>
      <c r="I70" s="689">
        <f t="shared" si="29"/>
        <v>79037600</v>
      </c>
      <c r="J70" s="689">
        <f t="shared" si="29"/>
        <v>80879000</v>
      </c>
      <c r="K70" s="689">
        <f t="shared" si="29"/>
        <v>83669000</v>
      </c>
      <c r="L70" s="689">
        <f t="shared" si="29"/>
        <v>83613200</v>
      </c>
      <c r="M70" s="689">
        <f t="shared" si="29"/>
        <v>85343000</v>
      </c>
      <c r="N70" s="689">
        <f t="shared" si="29"/>
        <v>87296000</v>
      </c>
      <c r="O70" s="689">
        <f t="shared" si="29"/>
        <v>89807000</v>
      </c>
      <c r="P70" s="689">
        <f t="shared" si="29"/>
        <v>88802600</v>
      </c>
      <c r="Q70" s="698">
        <f t="shared" si="27"/>
        <v>995100000</v>
      </c>
    </row>
    <row r="71" spans="2:17">
      <c r="B71" s="28"/>
      <c r="C71" s="33" t="s">
        <v>37</v>
      </c>
      <c r="D71" s="28">
        <f t="shared" ref="D71:P71" si="30">SUM(D55:D68)</f>
        <v>0</v>
      </c>
      <c r="E71" s="689">
        <f t="shared" si="30"/>
        <v>541501180</v>
      </c>
      <c r="F71" s="689">
        <f t="shared" si="30"/>
        <v>485988240</v>
      </c>
      <c r="G71" s="689">
        <f t="shared" si="30"/>
        <v>540059680</v>
      </c>
      <c r="H71" s="689">
        <f t="shared" si="30"/>
        <v>514631000</v>
      </c>
      <c r="I71" s="689">
        <f t="shared" si="30"/>
        <v>516465580</v>
      </c>
      <c r="J71" s="689">
        <f t="shared" si="30"/>
        <v>512380400</v>
      </c>
      <c r="K71" s="689">
        <f t="shared" si="30"/>
        <v>535896380</v>
      </c>
      <c r="L71" s="689">
        <f t="shared" si="30"/>
        <v>549582880</v>
      </c>
      <c r="M71" s="689">
        <f t="shared" si="30"/>
        <v>540373400</v>
      </c>
      <c r="N71" s="689">
        <f t="shared" si="30"/>
        <v>561722480</v>
      </c>
      <c r="O71" s="689">
        <f t="shared" si="30"/>
        <v>557113400</v>
      </c>
      <c r="P71" s="689">
        <f t="shared" si="30"/>
        <v>567457480</v>
      </c>
      <c r="Q71" s="698">
        <f>SUM(E71:P71)</f>
        <v>6423172100</v>
      </c>
    </row>
    <row r="72" spans="2:17" ht="23.5">
      <c r="B72" s="25" t="s">
        <v>65</v>
      </c>
    </row>
    <row r="73" spans="2:17">
      <c r="B73" s="26" t="s">
        <v>23</v>
      </c>
      <c r="C73" s="26" t="s">
        <v>22</v>
      </c>
      <c r="D73" s="43">
        <v>242492</v>
      </c>
      <c r="E73" s="43">
        <v>23377</v>
      </c>
      <c r="F73" s="43">
        <v>23408</v>
      </c>
      <c r="G73" s="43">
        <v>23437</v>
      </c>
      <c r="H73" s="43">
        <v>23468</v>
      </c>
      <c r="I73" s="43">
        <v>23498</v>
      </c>
      <c r="J73" s="43">
        <v>23529</v>
      </c>
      <c r="K73" s="43">
        <v>23559</v>
      </c>
      <c r="L73" s="43">
        <v>23590</v>
      </c>
      <c r="M73" s="43">
        <v>23621</v>
      </c>
      <c r="N73" s="43">
        <v>23651</v>
      </c>
      <c r="O73" s="43">
        <v>23682</v>
      </c>
      <c r="P73" s="43">
        <v>23712</v>
      </c>
      <c r="Q73" s="526" t="s">
        <v>177</v>
      </c>
    </row>
    <row r="74" spans="2:17">
      <c r="B74" s="28" t="s">
        <v>25</v>
      </c>
      <c r="C74" s="35" t="s">
        <v>87</v>
      </c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528">
        <f>SUM(E74:P74)</f>
        <v>0</v>
      </c>
    </row>
    <row r="75" spans="2:17">
      <c r="B75" s="28" t="s">
        <v>25</v>
      </c>
      <c r="C75" s="35" t="s">
        <v>88</v>
      </c>
      <c r="D75" s="28"/>
      <c r="E75" s="689">
        <f>1594.08062387266*10^6</f>
        <v>1594080623.8726599</v>
      </c>
      <c r="F75" s="689">
        <f>1344.99801148554*10^6</f>
        <v>1344998011.4855399</v>
      </c>
      <c r="G75" s="689">
        <f>1677.52034043695*10^6</f>
        <v>1677520340.43695</v>
      </c>
      <c r="H75" s="689">
        <f>1591.27792486221*10^6</f>
        <v>1591277924.86221</v>
      </c>
      <c r="I75" s="689">
        <f>1712.1475620785*10^6</f>
        <v>1712147562.0785</v>
      </c>
      <c r="J75" s="689">
        <f>1595.71768749335*10^6</f>
        <v>1595717687.49335</v>
      </c>
      <c r="K75" s="689">
        <f>1314.98164022589*10^6</f>
        <v>1314981640.2258899</v>
      </c>
      <c r="L75" s="689">
        <f>1827.43468068917*10^6</f>
        <v>1827434680.6891699</v>
      </c>
      <c r="M75" s="689">
        <f>1360.34690210155*10^6</f>
        <v>1360346902.1015501</v>
      </c>
      <c r="N75" s="689">
        <f>1340.21833076295*10^6</f>
        <v>1340218330.7629499</v>
      </c>
      <c r="O75" s="689">
        <f>1969.32663647206*10^6</f>
        <v>1969326636.47206</v>
      </c>
      <c r="P75" s="689">
        <f>1653.59307915464*10^6</f>
        <v>1653593079.15464</v>
      </c>
      <c r="Q75" s="528">
        <f t="shared" ref="Q75:Q101" si="31">SUM(E75:P75)</f>
        <v>18981643419.635471</v>
      </c>
    </row>
    <row r="76" spans="2:17">
      <c r="B76" s="28" t="s">
        <v>25</v>
      </c>
      <c r="C76" s="35" t="s">
        <v>89</v>
      </c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528">
        <f t="shared" si="31"/>
        <v>0</v>
      </c>
    </row>
    <row r="77" spans="2:17">
      <c r="B77" s="28" t="s">
        <v>25</v>
      </c>
      <c r="C77" s="35" t="s">
        <v>90</v>
      </c>
      <c r="D77" s="28"/>
      <c r="E77" s="179">
        <f t="shared" ref="E77:P77" si="32">887.612450093458*10^6</f>
        <v>887612450.09345806</v>
      </c>
      <c r="F77" s="179">
        <f t="shared" si="32"/>
        <v>887612450.09345806</v>
      </c>
      <c r="G77" s="179">
        <f t="shared" si="32"/>
        <v>887612450.09345806</v>
      </c>
      <c r="H77" s="179">
        <f t="shared" si="32"/>
        <v>887612450.09345806</v>
      </c>
      <c r="I77" s="179">
        <f t="shared" si="32"/>
        <v>887612450.09345806</v>
      </c>
      <c r="J77" s="179">
        <f t="shared" si="32"/>
        <v>887612450.09345806</v>
      </c>
      <c r="K77" s="179">
        <f t="shared" si="32"/>
        <v>887612450.09345806</v>
      </c>
      <c r="L77" s="179">
        <f t="shared" si="32"/>
        <v>887612450.09345806</v>
      </c>
      <c r="M77" s="179">
        <f t="shared" si="32"/>
        <v>887612450.09345806</v>
      </c>
      <c r="N77" s="179">
        <f t="shared" si="32"/>
        <v>887612450.09345806</v>
      </c>
      <c r="O77" s="179">
        <f t="shared" si="32"/>
        <v>887612450.09345806</v>
      </c>
      <c r="P77" s="179">
        <f t="shared" si="32"/>
        <v>887612450.09345806</v>
      </c>
      <c r="Q77" s="528">
        <f t="shared" si="31"/>
        <v>10651349401.121496</v>
      </c>
    </row>
    <row r="78" spans="2:17">
      <c r="B78" s="28" t="s">
        <v>76</v>
      </c>
      <c r="C78" s="35" t="s">
        <v>91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528">
        <f t="shared" si="31"/>
        <v>0</v>
      </c>
    </row>
    <row r="79" spans="2:17">
      <c r="B79" s="28" t="s">
        <v>25</v>
      </c>
      <c r="C79" s="35" t="s">
        <v>92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28">
        <f t="shared" si="31"/>
        <v>0</v>
      </c>
    </row>
    <row r="80" spans="2:17">
      <c r="B80" s="28" t="s">
        <v>25</v>
      </c>
      <c r="C80" s="35" t="s">
        <v>93</v>
      </c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528">
        <f>SUM(E80:P80)</f>
        <v>0</v>
      </c>
    </row>
    <row r="81" spans="2:17">
      <c r="B81" s="28" t="s">
        <v>25</v>
      </c>
      <c r="C81" s="35" t="s">
        <v>94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528">
        <f t="shared" si="31"/>
        <v>0</v>
      </c>
    </row>
    <row r="82" spans="2:17">
      <c r="B82" s="28" t="s">
        <v>25</v>
      </c>
      <c r="C82" s="35" t="s">
        <v>95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528">
        <f t="shared" si="31"/>
        <v>0</v>
      </c>
    </row>
    <row r="83" spans="2:17">
      <c r="B83" s="28" t="s">
        <v>25</v>
      </c>
      <c r="C83" s="35" t="s">
        <v>96</v>
      </c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528">
        <f t="shared" si="31"/>
        <v>0</v>
      </c>
    </row>
    <row r="84" spans="2:17">
      <c r="B84" s="28" t="s">
        <v>25</v>
      </c>
      <c r="C84" s="35" t="s">
        <v>97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528">
        <f t="shared" si="31"/>
        <v>0</v>
      </c>
    </row>
    <row r="85" spans="2:17">
      <c r="B85" s="28" t="s">
        <v>25</v>
      </c>
      <c r="C85" s="35" t="s">
        <v>98</v>
      </c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28">
        <f t="shared" si="31"/>
        <v>0</v>
      </c>
    </row>
    <row r="86" spans="2:17">
      <c r="B86" s="28" t="s">
        <v>25</v>
      </c>
      <c r="C86" s="35" t="s">
        <v>99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528">
        <f t="shared" si="31"/>
        <v>0</v>
      </c>
    </row>
    <row r="87" spans="2:17">
      <c r="B87" s="28" t="s">
        <v>25</v>
      </c>
      <c r="C87" s="35" t="s">
        <v>100</v>
      </c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528">
        <f t="shared" si="31"/>
        <v>0</v>
      </c>
    </row>
    <row r="88" spans="2:17">
      <c r="B88" s="28" t="s">
        <v>25</v>
      </c>
      <c r="C88" s="35" t="s">
        <v>101</v>
      </c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528">
        <f t="shared" si="31"/>
        <v>0</v>
      </c>
    </row>
    <row r="89" spans="2:17">
      <c r="B89" s="28" t="s">
        <v>25</v>
      </c>
      <c r="C89" s="35" t="s">
        <v>102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528">
        <f t="shared" si="31"/>
        <v>0</v>
      </c>
    </row>
    <row r="90" spans="2:17">
      <c r="B90" s="28" t="s">
        <v>25</v>
      </c>
      <c r="C90" s="35" t="s">
        <v>103</v>
      </c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528">
        <f t="shared" si="31"/>
        <v>0</v>
      </c>
    </row>
    <row r="91" spans="2:17">
      <c r="B91" s="28" t="s">
        <v>25</v>
      </c>
      <c r="C91" s="35" t="s">
        <v>104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28">
        <f t="shared" si="31"/>
        <v>0</v>
      </c>
    </row>
    <row r="92" spans="2:17">
      <c r="B92" s="28" t="s">
        <v>25</v>
      </c>
      <c r="C92" s="38" t="s">
        <v>105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528">
        <f t="shared" si="31"/>
        <v>0</v>
      </c>
    </row>
    <row r="93" spans="2:17">
      <c r="B93" s="28" t="s">
        <v>25</v>
      </c>
      <c r="C93" s="38" t="s">
        <v>106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528">
        <f t="shared" si="31"/>
        <v>0</v>
      </c>
    </row>
    <row r="94" spans="2:17">
      <c r="B94" s="28" t="s">
        <v>25</v>
      </c>
      <c r="C94" s="38" t="s">
        <v>107</v>
      </c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528">
        <f t="shared" si="31"/>
        <v>0</v>
      </c>
    </row>
    <row r="95" spans="2:17">
      <c r="B95" s="28" t="s">
        <v>25</v>
      </c>
      <c r="C95" s="38" t="s">
        <v>108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528">
        <f t="shared" si="31"/>
        <v>0</v>
      </c>
    </row>
    <row r="96" spans="2:17">
      <c r="B96" s="28" t="s">
        <v>25</v>
      </c>
      <c r="C96" s="38" t="s">
        <v>109</v>
      </c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528">
        <f t="shared" si="31"/>
        <v>0</v>
      </c>
    </row>
    <row r="97" spans="2:17">
      <c r="B97" s="28" t="s">
        <v>25</v>
      </c>
      <c r="C97" s="38" t="s">
        <v>110</v>
      </c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28">
        <f t="shared" si="31"/>
        <v>0</v>
      </c>
    </row>
    <row r="98" spans="2:17">
      <c r="B98" s="28" t="s">
        <v>25</v>
      </c>
      <c r="C98" s="38" t="s">
        <v>111</v>
      </c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528">
        <f t="shared" si="31"/>
        <v>0</v>
      </c>
    </row>
    <row r="99" spans="2:17">
      <c r="B99" s="28" t="s">
        <v>25</v>
      </c>
      <c r="C99" s="38" t="s">
        <v>112</v>
      </c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528">
        <f t="shared" si="31"/>
        <v>0</v>
      </c>
    </row>
    <row r="100" spans="2:17">
      <c r="B100" s="28" t="s">
        <v>25</v>
      </c>
      <c r="C100" s="28" t="s">
        <v>113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528">
        <f t="shared" si="31"/>
        <v>0</v>
      </c>
    </row>
    <row r="101" spans="2:17">
      <c r="B101" s="28" t="s">
        <v>25</v>
      </c>
      <c r="C101" s="28" t="s">
        <v>114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528">
        <f t="shared" si="31"/>
        <v>0</v>
      </c>
    </row>
    <row r="102" spans="2:17">
      <c r="B102" s="28"/>
      <c r="C102" s="34" t="s">
        <v>37</v>
      </c>
      <c r="D102" s="28">
        <f t="shared" ref="D102:P102" si="33">SUM(D74:D101)</f>
        <v>0</v>
      </c>
      <c r="E102" s="689">
        <f t="shared" si="33"/>
        <v>2481693073.9661179</v>
      </c>
      <c r="F102" s="689">
        <f t="shared" si="33"/>
        <v>2232610461.5789981</v>
      </c>
      <c r="G102" s="689">
        <f t="shared" si="33"/>
        <v>2565132790.5304079</v>
      </c>
      <c r="H102" s="689">
        <f t="shared" si="33"/>
        <v>2478890374.955668</v>
      </c>
      <c r="I102" s="689">
        <f t="shared" si="33"/>
        <v>2599760012.171958</v>
      </c>
      <c r="J102" s="689">
        <f t="shared" si="33"/>
        <v>2483330137.5868082</v>
      </c>
      <c r="K102" s="689">
        <f t="shared" si="33"/>
        <v>2202594090.3193479</v>
      </c>
      <c r="L102" s="689">
        <f t="shared" si="33"/>
        <v>2715047130.7826281</v>
      </c>
      <c r="M102" s="689">
        <f t="shared" si="33"/>
        <v>2247959352.1950083</v>
      </c>
      <c r="N102" s="689">
        <f t="shared" si="33"/>
        <v>2227830780.8564081</v>
      </c>
      <c r="O102" s="689">
        <f t="shared" si="33"/>
        <v>2856939086.5655179</v>
      </c>
      <c r="P102" s="689">
        <f t="shared" si="33"/>
        <v>2541205529.2480979</v>
      </c>
      <c r="Q102" s="698">
        <f>SUM(E102:P102)</f>
        <v>29632992820.756962</v>
      </c>
    </row>
    <row r="103" spans="2:17" ht="23.5">
      <c r="B103" s="39" t="s">
        <v>66</v>
      </c>
    </row>
    <row r="104" spans="2:17">
      <c r="B104" s="26" t="s">
        <v>23</v>
      </c>
      <c r="C104" s="26" t="s">
        <v>22</v>
      </c>
      <c r="D104" s="43">
        <v>242492</v>
      </c>
      <c r="E104" s="43">
        <v>23377</v>
      </c>
      <c r="F104" s="43">
        <v>23408</v>
      </c>
      <c r="G104" s="43">
        <v>23437</v>
      </c>
      <c r="H104" s="43">
        <v>23468</v>
      </c>
      <c r="I104" s="43">
        <v>23498</v>
      </c>
      <c r="J104" s="43">
        <v>23529</v>
      </c>
      <c r="K104" s="43">
        <v>23559</v>
      </c>
      <c r="L104" s="43">
        <v>23590</v>
      </c>
      <c r="M104" s="43">
        <v>23621</v>
      </c>
      <c r="N104" s="43">
        <v>23651</v>
      </c>
      <c r="O104" s="43">
        <v>23682</v>
      </c>
      <c r="P104" s="43">
        <v>23712</v>
      </c>
      <c r="Q104" s="526" t="s">
        <v>177</v>
      </c>
    </row>
    <row r="105" spans="2:17">
      <c r="B105" s="28" t="s">
        <v>131</v>
      </c>
      <c r="C105" s="28" t="s">
        <v>115</v>
      </c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528">
        <f>SUM(E105:P105)</f>
        <v>0</v>
      </c>
    </row>
    <row r="106" spans="2:17">
      <c r="B106" s="28" t="s">
        <v>134</v>
      </c>
      <c r="C106" s="28" t="s">
        <v>116</v>
      </c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528">
        <f t="shared" ref="Q106:Q120" si="34">SUM(E106:P106)</f>
        <v>0</v>
      </c>
    </row>
    <row r="107" spans="2:17">
      <c r="B107" s="28" t="s">
        <v>134</v>
      </c>
      <c r="C107" s="28" t="s">
        <v>97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528">
        <f>SUM(E107:P107)</f>
        <v>0</v>
      </c>
    </row>
    <row r="108" spans="2:17">
      <c r="B108" s="28" t="s">
        <v>134</v>
      </c>
      <c r="C108" s="28" t="s">
        <v>100</v>
      </c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528">
        <f t="shared" si="34"/>
        <v>0</v>
      </c>
    </row>
    <row r="109" spans="2:17">
      <c r="B109" s="28" t="s">
        <v>134</v>
      </c>
      <c r="C109" s="28" t="s">
        <v>101</v>
      </c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28">
        <f t="shared" si="34"/>
        <v>0</v>
      </c>
    </row>
    <row r="110" spans="2:17">
      <c r="B110" s="28" t="s">
        <v>132</v>
      </c>
      <c r="C110" s="28" t="s">
        <v>120</v>
      </c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528">
        <f t="shared" si="34"/>
        <v>0</v>
      </c>
    </row>
    <row r="111" spans="2:17">
      <c r="B111" s="28" t="s">
        <v>133</v>
      </c>
      <c r="C111" s="28" t="s">
        <v>121</v>
      </c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528">
        <f t="shared" si="34"/>
        <v>0</v>
      </c>
    </row>
    <row r="112" spans="2:17">
      <c r="B112" s="28" t="s">
        <v>134</v>
      </c>
      <c r="C112" s="28" t="s">
        <v>122</v>
      </c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528">
        <f t="shared" si="34"/>
        <v>0</v>
      </c>
    </row>
    <row r="113" spans="2:17">
      <c r="B113" s="28" t="s">
        <v>134</v>
      </c>
      <c r="C113" s="28" t="s">
        <v>123</v>
      </c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528">
        <f t="shared" si="34"/>
        <v>0</v>
      </c>
    </row>
    <row r="114" spans="2:17">
      <c r="B114" s="28" t="s">
        <v>134</v>
      </c>
      <c r="C114" s="40" t="s">
        <v>124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528">
        <f t="shared" si="34"/>
        <v>0</v>
      </c>
    </row>
    <row r="115" spans="2:17">
      <c r="B115" s="28" t="s">
        <v>134</v>
      </c>
      <c r="C115" s="40" t="s">
        <v>125</v>
      </c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28">
        <f t="shared" si="34"/>
        <v>0</v>
      </c>
    </row>
    <row r="116" spans="2:17">
      <c r="B116" s="28" t="s">
        <v>134</v>
      </c>
      <c r="C116" s="40" t="s">
        <v>126</v>
      </c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528">
        <f t="shared" si="34"/>
        <v>0</v>
      </c>
    </row>
    <row r="117" spans="2:17">
      <c r="B117" s="28" t="s">
        <v>134</v>
      </c>
      <c r="C117" s="40" t="s">
        <v>127</v>
      </c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528">
        <f t="shared" si="34"/>
        <v>0</v>
      </c>
    </row>
    <row r="118" spans="2:17">
      <c r="B118" s="28" t="s">
        <v>134</v>
      </c>
      <c r="C118" s="28" t="s">
        <v>128</v>
      </c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528">
        <f t="shared" si="34"/>
        <v>0</v>
      </c>
    </row>
    <row r="119" spans="2:17">
      <c r="B119" s="28" t="s">
        <v>134</v>
      </c>
      <c r="C119" s="28" t="s">
        <v>129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528">
        <f t="shared" si="34"/>
        <v>0</v>
      </c>
    </row>
    <row r="120" spans="2:17">
      <c r="B120" s="28" t="s">
        <v>132</v>
      </c>
      <c r="C120" s="28" t="s">
        <v>130</v>
      </c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528">
        <f t="shared" si="34"/>
        <v>0</v>
      </c>
    </row>
    <row r="121" spans="2:17">
      <c r="B121" s="28"/>
      <c r="C121" s="34" t="s">
        <v>37</v>
      </c>
      <c r="D121" s="28">
        <f t="shared" ref="D121:P121" si="35">SUM(D105:D120)</f>
        <v>0</v>
      </c>
      <c r="E121" s="28">
        <f t="shared" si="35"/>
        <v>0</v>
      </c>
      <c r="F121" s="28">
        <f t="shared" si="35"/>
        <v>0</v>
      </c>
      <c r="G121" s="28">
        <f t="shared" si="35"/>
        <v>0</v>
      </c>
      <c r="H121" s="28">
        <f t="shared" si="35"/>
        <v>0</v>
      </c>
      <c r="I121" s="28">
        <f t="shared" si="35"/>
        <v>0</v>
      </c>
      <c r="J121" s="28">
        <f t="shared" si="35"/>
        <v>0</v>
      </c>
      <c r="K121" s="28">
        <f t="shared" si="35"/>
        <v>0</v>
      </c>
      <c r="L121" s="28">
        <f t="shared" si="35"/>
        <v>0</v>
      </c>
      <c r="M121" s="28">
        <f t="shared" si="35"/>
        <v>0</v>
      </c>
      <c r="N121" s="28">
        <f t="shared" si="35"/>
        <v>0</v>
      </c>
      <c r="O121" s="28">
        <f t="shared" si="35"/>
        <v>0</v>
      </c>
      <c r="P121" s="28">
        <f t="shared" si="35"/>
        <v>0</v>
      </c>
      <c r="Q121" s="528">
        <f>SUM(E121:P121)</f>
        <v>0</v>
      </c>
    </row>
    <row r="122" spans="2:17" ht="23.5">
      <c r="B122" s="25" t="s">
        <v>67</v>
      </c>
    </row>
    <row r="123" spans="2:17">
      <c r="B123" s="26" t="s">
        <v>23</v>
      </c>
      <c r="C123" s="26" t="s">
        <v>22</v>
      </c>
      <c r="D123" s="43">
        <v>242492</v>
      </c>
      <c r="E123" s="43">
        <v>23377</v>
      </c>
      <c r="F123" s="43">
        <v>23408</v>
      </c>
      <c r="G123" s="43">
        <v>23437</v>
      </c>
      <c r="H123" s="43">
        <v>23468</v>
      </c>
      <c r="I123" s="43">
        <v>23498</v>
      </c>
      <c r="J123" s="43">
        <v>23529</v>
      </c>
      <c r="K123" s="43">
        <v>23559</v>
      </c>
      <c r="L123" s="43">
        <v>23590</v>
      </c>
      <c r="M123" s="43">
        <v>23621</v>
      </c>
      <c r="N123" s="43">
        <v>23651</v>
      </c>
      <c r="O123" s="43">
        <v>23682</v>
      </c>
      <c r="P123" s="43">
        <v>23712</v>
      </c>
      <c r="Q123" s="526" t="s">
        <v>177</v>
      </c>
    </row>
    <row r="124" spans="2:17">
      <c r="B124" s="41" t="s">
        <v>34</v>
      </c>
      <c r="C124" s="28" t="s">
        <v>68</v>
      </c>
      <c r="D124" s="28"/>
      <c r="E124" s="689">
        <f>682.833940332944*10^6</f>
        <v>682833940.33294404</v>
      </c>
      <c r="F124" s="689">
        <f>931.91655272007*10^6</f>
        <v>931916552.72006989</v>
      </c>
      <c r="G124" s="689">
        <f>599.394223768655*10^6</f>
        <v>599394223.76865506</v>
      </c>
      <c r="H124" s="689">
        <f>685.636639343393*10^6</f>
        <v>685636639.34339297</v>
      </c>
      <c r="I124" s="689">
        <f>564.767002127111*10^6</f>
        <v>564767002.12711108</v>
      </c>
      <c r="J124" s="689">
        <f>681.196876712253*10^6</f>
        <v>681196876.71225297</v>
      </c>
      <c r="K124" s="689">
        <f>961.932923979715*10^6</f>
        <v>961932923.97971499</v>
      </c>
      <c r="L124" s="689">
        <f>449.479883516433*10^6</f>
        <v>449479883.516433</v>
      </c>
      <c r="M124" s="689">
        <f>916.567662104061*10^6</f>
        <v>916567662.10406101</v>
      </c>
      <c r="N124" s="689">
        <f>936.696233442663*10^6</f>
        <v>936696233.44266307</v>
      </c>
      <c r="O124" s="689">
        <f>307.587927733549*10^6</f>
        <v>307587927.733549</v>
      </c>
      <c r="P124" s="689">
        <f>623.321485050971*10^6</f>
        <v>623321485.05097103</v>
      </c>
      <c r="Q124" s="529">
        <f>SUM(E124:P124)</f>
        <v>8341331350.8318176</v>
      </c>
    </row>
    <row r="125" spans="2:17">
      <c r="B125" s="45" t="s">
        <v>69</v>
      </c>
      <c r="C125" s="46" t="s">
        <v>68</v>
      </c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529">
        <f t="shared" ref="Q125:Q126" si="36">SUM(E125:P125)</f>
        <v>0</v>
      </c>
    </row>
    <row r="126" spans="2:17">
      <c r="B126" s="45" t="s">
        <v>69</v>
      </c>
      <c r="C126" s="46" t="s">
        <v>70</v>
      </c>
      <c r="D126" s="28"/>
      <c r="E126" s="689">
        <f>133.982*10^6</f>
        <v>133982000</v>
      </c>
      <c r="F126" s="689">
        <f>130.231*10^6</f>
        <v>130231000</v>
      </c>
      <c r="G126" s="689">
        <f>132.959*10^6</f>
        <v>132959000</v>
      </c>
      <c r="H126" s="689">
        <f>129.89*10^6</f>
        <v>129889999.99999999</v>
      </c>
      <c r="I126" s="689">
        <f>125.798*10^6</f>
        <v>125798000</v>
      </c>
      <c r="J126" s="689">
        <f>128.526*10^6</f>
        <v>128526000.00000001</v>
      </c>
      <c r="K126" s="689">
        <f>130.572*10^6</f>
        <v>130572000</v>
      </c>
      <c r="L126" s="689">
        <f>135.005*10^6</f>
        <v>135005000</v>
      </c>
      <c r="M126" s="689">
        <f>136.369*10^6</f>
        <v>136369000</v>
      </c>
      <c r="N126" s="689">
        <f>137.733*10^6</f>
        <v>137733000</v>
      </c>
      <c r="O126" s="689">
        <f>140.461*10^6</f>
        <v>140461000</v>
      </c>
      <c r="P126" s="689">
        <f>139.097*10^6</f>
        <v>139097000</v>
      </c>
      <c r="Q126" s="529">
        <f t="shared" si="36"/>
        <v>1600623000</v>
      </c>
    </row>
    <row r="127" spans="2:17">
      <c r="B127" s="28"/>
      <c r="C127" s="34" t="s">
        <v>37</v>
      </c>
      <c r="D127" s="28">
        <f t="shared" ref="D127:P127" si="37">SUM(D124:D126)</f>
        <v>0</v>
      </c>
      <c r="E127" s="689">
        <f t="shared" si="37"/>
        <v>816815940.33294404</v>
      </c>
      <c r="F127" s="689">
        <f t="shared" si="37"/>
        <v>1062147552.7200699</v>
      </c>
      <c r="G127" s="689">
        <f t="shared" si="37"/>
        <v>732353223.76865506</v>
      </c>
      <c r="H127" s="689">
        <f t="shared" si="37"/>
        <v>815526639.34339297</v>
      </c>
      <c r="I127" s="689">
        <f t="shared" si="37"/>
        <v>690565002.12711108</v>
      </c>
      <c r="J127" s="689">
        <f t="shared" si="37"/>
        <v>809722876.71225297</v>
      </c>
      <c r="K127" s="689">
        <f t="shared" si="37"/>
        <v>1092504923.9797149</v>
      </c>
      <c r="L127" s="689">
        <f t="shared" si="37"/>
        <v>584484883.516433</v>
      </c>
      <c r="M127" s="689">
        <f t="shared" si="37"/>
        <v>1052936662.104061</v>
      </c>
      <c r="N127" s="689">
        <f t="shared" si="37"/>
        <v>1074429233.4426632</v>
      </c>
      <c r="O127" s="689">
        <f t="shared" si="37"/>
        <v>448048927.733549</v>
      </c>
      <c r="P127" s="689">
        <f t="shared" si="37"/>
        <v>762418485.05097103</v>
      </c>
      <c r="Q127" s="698">
        <f>SUM(E127:P127)</f>
        <v>9941954350.8318176</v>
      </c>
    </row>
    <row r="128" spans="2:17" ht="23.5">
      <c r="B128" s="25" t="s">
        <v>187</v>
      </c>
    </row>
    <row r="129" spans="2:17">
      <c r="B129" s="26" t="s">
        <v>23</v>
      </c>
      <c r="C129" s="26" t="s">
        <v>22</v>
      </c>
      <c r="D129" s="43">
        <v>242492</v>
      </c>
      <c r="E129" s="43">
        <v>23377</v>
      </c>
      <c r="F129" s="43">
        <v>23408</v>
      </c>
      <c r="G129" s="43">
        <v>23437</v>
      </c>
      <c r="H129" s="43">
        <v>23468</v>
      </c>
      <c r="I129" s="43">
        <v>23498</v>
      </c>
      <c r="J129" s="43">
        <v>23529</v>
      </c>
      <c r="K129" s="43">
        <v>23559</v>
      </c>
      <c r="L129" s="43">
        <v>23590</v>
      </c>
      <c r="M129" s="43">
        <v>23621</v>
      </c>
      <c r="N129" s="43">
        <v>23651</v>
      </c>
      <c r="O129" s="43">
        <v>23682</v>
      </c>
      <c r="P129" s="43">
        <v>23712</v>
      </c>
      <c r="Q129" s="526" t="s">
        <v>177</v>
      </c>
    </row>
    <row r="130" spans="2:17">
      <c r="B130" s="130" t="s">
        <v>25</v>
      </c>
      <c r="C130" s="130" t="s">
        <v>72</v>
      </c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528">
        <f>SUM(E130:P130)</f>
        <v>0</v>
      </c>
    </row>
    <row r="131" spans="2:17" s="131" customFormat="1">
      <c r="B131" s="130" t="s">
        <v>25</v>
      </c>
      <c r="C131" s="130" t="s">
        <v>73</v>
      </c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528">
        <f t="shared" ref="Q131:Q137" si="38">SUM(E131:P131)</f>
        <v>0</v>
      </c>
    </row>
    <row r="132" spans="2:17" s="131" customFormat="1">
      <c r="B132" s="130" t="s">
        <v>25</v>
      </c>
      <c r="C132" s="130" t="s">
        <v>74</v>
      </c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528">
        <f t="shared" si="38"/>
        <v>0</v>
      </c>
    </row>
    <row r="133" spans="2:17" s="131" customFormat="1">
      <c r="B133" s="130" t="s">
        <v>76</v>
      </c>
      <c r="C133" s="130" t="s">
        <v>75</v>
      </c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528">
        <f t="shared" si="38"/>
        <v>0</v>
      </c>
    </row>
    <row r="134" spans="2:17" s="131" customFormat="1">
      <c r="B134" s="130" t="s">
        <v>25</v>
      </c>
      <c r="C134" s="130" t="s">
        <v>77</v>
      </c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528">
        <f t="shared" si="38"/>
        <v>0</v>
      </c>
    </row>
    <row r="135" spans="2:17" s="131" customFormat="1">
      <c r="B135" s="130" t="s">
        <v>25</v>
      </c>
      <c r="C135" s="130" t="s">
        <v>78</v>
      </c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528">
        <f t="shared" si="38"/>
        <v>0</v>
      </c>
    </row>
    <row r="136" spans="2:17" s="131" customFormat="1">
      <c r="B136" s="130"/>
      <c r="C136" s="132" t="s">
        <v>35</v>
      </c>
      <c r="D136" s="28">
        <f t="shared" ref="D136:P136" si="39">D130</f>
        <v>0</v>
      </c>
      <c r="E136" s="28">
        <f t="shared" si="39"/>
        <v>0</v>
      </c>
      <c r="F136" s="28">
        <f t="shared" si="39"/>
        <v>0</v>
      </c>
      <c r="G136" s="28">
        <f t="shared" si="39"/>
        <v>0</v>
      </c>
      <c r="H136" s="28">
        <f t="shared" si="39"/>
        <v>0</v>
      </c>
      <c r="I136" s="28">
        <f t="shared" si="39"/>
        <v>0</v>
      </c>
      <c r="J136" s="28">
        <f t="shared" si="39"/>
        <v>0</v>
      </c>
      <c r="K136" s="28">
        <f t="shared" si="39"/>
        <v>0</v>
      </c>
      <c r="L136" s="28">
        <f t="shared" si="39"/>
        <v>0</v>
      </c>
      <c r="M136" s="28">
        <f t="shared" si="39"/>
        <v>0</v>
      </c>
      <c r="N136" s="28">
        <f t="shared" si="39"/>
        <v>0</v>
      </c>
      <c r="O136" s="28">
        <f t="shared" si="39"/>
        <v>0</v>
      </c>
      <c r="P136" s="28">
        <f t="shared" si="39"/>
        <v>0</v>
      </c>
      <c r="Q136" s="528">
        <f>SUM(E136:P136)</f>
        <v>0</v>
      </c>
    </row>
    <row r="137" spans="2:17" s="131" customFormat="1">
      <c r="B137" s="130"/>
      <c r="C137" s="132" t="s">
        <v>36</v>
      </c>
      <c r="D137" s="28">
        <f t="shared" ref="D137:P137" si="40">SUM(D131:D132)</f>
        <v>0</v>
      </c>
      <c r="E137" s="28">
        <f t="shared" si="40"/>
        <v>0</v>
      </c>
      <c r="F137" s="28">
        <f t="shared" si="40"/>
        <v>0</v>
      </c>
      <c r="G137" s="28">
        <f t="shared" si="40"/>
        <v>0</v>
      </c>
      <c r="H137" s="28">
        <f t="shared" si="40"/>
        <v>0</v>
      </c>
      <c r="I137" s="28">
        <f t="shared" si="40"/>
        <v>0</v>
      </c>
      <c r="J137" s="28">
        <f t="shared" si="40"/>
        <v>0</v>
      </c>
      <c r="K137" s="28">
        <f t="shared" si="40"/>
        <v>0</v>
      </c>
      <c r="L137" s="28">
        <f t="shared" si="40"/>
        <v>0</v>
      </c>
      <c r="M137" s="28">
        <f t="shared" si="40"/>
        <v>0</v>
      </c>
      <c r="N137" s="28">
        <f t="shared" si="40"/>
        <v>0</v>
      </c>
      <c r="O137" s="28">
        <f t="shared" si="40"/>
        <v>0</v>
      </c>
      <c r="P137" s="28">
        <f t="shared" si="40"/>
        <v>0</v>
      </c>
      <c r="Q137" s="528">
        <f t="shared" si="38"/>
        <v>0</v>
      </c>
    </row>
    <row r="138" spans="2:17" s="131" customFormat="1">
      <c r="B138" s="130"/>
      <c r="C138" s="133" t="s">
        <v>37</v>
      </c>
      <c r="D138" s="28">
        <f t="shared" ref="D138:P138" si="41">SUM(D130:D135)</f>
        <v>0</v>
      </c>
      <c r="E138" s="28">
        <f t="shared" si="41"/>
        <v>0</v>
      </c>
      <c r="F138" s="28">
        <f t="shared" si="41"/>
        <v>0</v>
      </c>
      <c r="G138" s="28">
        <f t="shared" si="41"/>
        <v>0</v>
      </c>
      <c r="H138" s="28">
        <f t="shared" si="41"/>
        <v>0</v>
      </c>
      <c r="I138" s="28">
        <f t="shared" si="41"/>
        <v>0</v>
      </c>
      <c r="J138" s="28">
        <f t="shared" si="41"/>
        <v>0</v>
      </c>
      <c r="K138" s="28">
        <f t="shared" si="41"/>
        <v>0</v>
      </c>
      <c r="L138" s="28">
        <f t="shared" si="41"/>
        <v>0</v>
      </c>
      <c r="M138" s="28">
        <f t="shared" si="41"/>
        <v>0</v>
      </c>
      <c r="N138" s="28">
        <f t="shared" si="41"/>
        <v>0</v>
      </c>
      <c r="O138" s="28">
        <f t="shared" si="41"/>
        <v>0</v>
      </c>
      <c r="P138" s="28">
        <f t="shared" si="41"/>
        <v>0</v>
      </c>
      <c r="Q138" s="528">
        <f>SUM(E138:P138)</f>
        <v>0</v>
      </c>
    </row>
    <row r="139" spans="2:17" s="131" customFormat="1" ht="23.5">
      <c r="B139" s="25" t="s">
        <v>188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s="525"/>
    </row>
    <row r="140" spans="2:17">
      <c r="B140" s="26" t="s">
        <v>23</v>
      </c>
      <c r="C140" s="26" t="s">
        <v>22</v>
      </c>
      <c r="D140" s="43">
        <v>242492</v>
      </c>
      <c r="E140" s="43">
        <v>23377</v>
      </c>
      <c r="F140" s="43">
        <v>23408</v>
      </c>
      <c r="G140" s="43">
        <v>23437</v>
      </c>
      <c r="H140" s="43">
        <v>23468</v>
      </c>
      <c r="I140" s="43">
        <v>23498</v>
      </c>
      <c r="J140" s="43">
        <v>23529</v>
      </c>
      <c r="K140" s="43">
        <v>23559</v>
      </c>
      <c r="L140" s="43">
        <v>23590</v>
      </c>
      <c r="M140" s="43">
        <v>23621</v>
      </c>
      <c r="N140" s="43">
        <v>23651</v>
      </c>
      <c r="O140" s="43">
        <v>23682</v>
      </c>
      <c r="P140" s="43">
        <v>23712</v>
      </c>
      <c r="Q140" s="526" t="s">
        <v>177</v>
      </c>
    </row>
    <row r="141" spans="2:17">
      <c r="B141" s="28" t="s">
        <v>25</v>
      </c>
      <c r="C141" s="28" t="s">
        <v>72</v>
      </c>
      <c r="D141" s="28"/>
      <c r="E141" s="689">
        <f>253.310600823276*10^6</f>
        <v>253310600.82327598</v>
      </c>
      <c r="F141" s="689">
        <f>228.261613884816*10^6</f>
        <v>228261613.88481599</v>
      </c>
      <c r="G141" s="689">
        <f>257.901588066988*10^6</f>
        <v>257901588.06698799</v>
      </c>
      <c r="H141" s="689">
        <f>245.999205483366*10^6</f>
        <v>245999205.48336601</v>
      </c>
      <c r="I141" s="689">
        <f>254.199178999478*10^6</f>
        <v>254199178.99947798</v>
      </c>
      <c r="J141" s="689">
        <f>250.728734485733*10^6</f>
        <v>250728734.485733</v>
      </c>
      <c r="K141" s="689">
        <f>266.491177103609*10^6</f>
        <v>266491177.103609</v>
      </c>
      <c r="L141" s="689">
        <f>266.343080740909*10^6</f>
        <v>266343080.74090898</v>
      </c>
      <c r="M141" s="689">
        <f>262.194259339955*10^6</f>
        <v>262194259.339955</v>
      </c>
      <c r="N141" s="689">
        <f>276.117440679133*10^6</f>
        <v>276117440.679133</v>
      </c>
      <c r="O141" s="689">
        <f>273.659784194177*10^6</f>
        <v>273659784.19417703</v>
      </c>
      <c r="P141" s="689">
        <f>280.116042472043*10^6</f>
        <v>280116042.47204298</v>
      </c>
      <c r="Q141" s="528">
        <f>SUM(E141:P141)</f>
        <v>3115322706.2734833</v>
      </c>
    </row>
    <row r="142" spans="2:17">
      <c r="B142" s="28" t="s">
        <v>25</v>
      </c>
      <c r="C142" s="28" t="s">
        <v>73</v>
      </c>
      <c r="D142" s="28"/>
      <c r="E142" s="689">
        <f>296.980673020123*10^6</f>
        <v>296980673.020123</v>
      </c>
      <c r="F142" s="689">
        <f>271.514524522741*10^6</f>
        <v>271514524.52274102</v>
      </c>
      <c r="G142" s="689">
        <f>297.301543024944*10^6</f>
        <v>297301543.02494401</v>
      </c>
      <c r="H142" s="689">
        <f>286.501336868417*10^6</f>
        <v>286501336.86841702</v>
      </c>
      <c r="I142" s="689">
        <f>319.725008047662*10^6</f>
        <v>319725008.04766202</v>
      </c>
      <c r="J142" s="689">
        <f>297.565476480354*10^6</f>
        <v>297565476.48035401</v>
      </c>
      <c r="K142" s="689">
        <f>191.245538801295*10^6</f>
        <v>191245538.80129501</v>
      </c>
      <c r="L142" s="689">
        <f>322.444977584283*10^6</f>
        <v>322444977.58428299</v>
      </c>
      <c r="M142" s="689">
        <f>282.154353086222*10^6</f>
        <v>282154353.08622199</v>
      </c>
      <c r="N142" s="689">
        <f>260.06265631857*10^6</f>
        <v>260062656.31857002</v>
      </c>
      <c r="O142" s="689">
        <f>311.564768139005*10^6</f>
        <v>311564768.13900501</v>
      </c>
      <c r="P142" s="689">
        <f>302.528354087722*10^6</f>
        <v>302528354.087722</v>
      </c>
      <c r="Q142" s="528">
        <f>SUM(E142:P142)</f>
        <v>3439589209.9813385</v>
      </c>
    </row>
    <row r="143" spans="2:17">
      <c r="B143" s="28" t="s">
        <v>25</v>
      </c>
      <c r="C143" s="28" t="s">
        <v>74</v>
      </c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528">
        <f t="shared" ref="Q143:Q150" si="42">SUM(E143:P143)</f>
        <v>0</v>
      </c>
    </row>
    <row r="144" spans="2:17">
      <c r="B144" s="28" t="s">
        <v>76</v>
      </c>
      <c r="C144" s="28" t="s">
        <v>77</v>
      </c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528">
        <f t="shared" si="42"/>
        <v>0</v>
      </c>
    </row>
    <row r="145" spans="2:17">
      <c r="B145" s="28" t="s">
        <v>25</v>
      </c>
      <c r="C145" s="28" t="s">
        <v>78</v>
      </c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28">
        <f t="shared" si="42"/>
        <v>0</v>
      </c>
    </row>
    <row r="146" spans="2:17">
      <c r="B146" s="28" t="s">
        <v>25</v>
      </c>
      <c r="C146" s="28" t="s">
        <v>75</v>
      </c>
      <c r="D146" s="28"/>
      <c r="E146" s="689">
        <f>28.6360031331529*10^6</f>
        <v>28636003.133152902</v>
      </c>
      <c r="F146" s="689">
        <f>18.7598436180665*10^6</f>
        <v>18759843.618066501</v>
      </c>
      <c r="G146" s="689">
        <f>41.5211765506841*10^6</f>
        <v>41521176.550684102</v>
      </c>
      <c r="H146" s="689">
        <f>39.2298209098585*10^6</f>
        <v>39229820.909858502</v>
      </c>
      <c r="I146" s="689">
        <f>19.6882070547874*10^6</f>
        <v>19688207.054787401</v>
      </c>
      <c r="J146" s="689">
        <f>33.377472350899*10^6</f>
        <v>33377472.350899</v>
      </c>
      <c r="K146" s="689">
        <f>42.2110588579766*10^6</f>
        <v>42211058.857976601</v>
      </c>
      <c r="L146" s="689">
        <f>34.3880278271669*10^6</f>
        <v>34388027.8271669</v>
      </c>
      <c r="M146" s="689">
        <f>31.8188876980206*10^6</f>
        <v>31818887.6980206</v>
      </c>
      <c r="N146" s="689">
        <f>41.6626036369483*10^6</f>
        <v>41662603.636948295</v>
      </c>
      <c r="O146" s="689">
        <f>43.6679210935422*10^6</f>
        <v>43667921.093542196</v>
      </c>
      <c r="P146" s="689">
        <f>56.5736646083139*10^6</f>
        <v>56573664.608313896</v>
      </c>
      <c r="Q146" s="528">
        <f t="shared" si="42"/>
        <v>431534687.33941692</v>
      </c>
    </row>
    <row r="147" spans="2:17">
      <c r="B147" s="28" t="s">
        <v>25</v>
      </c>
      <c r="C147" s="28" t="s">
        <v>531</v>
      </c>
      <c r="D147" s="28"/>
      <c r="E147" s="196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528"/>
    </row>
    <row r="148" spans="2:17">
      <c r="B148" s="28"/>
      <c r="C148" s="33" t="s">
        <v>35</v>
      </c>
      <c r="D148" s="28">
        <f t="shared" ref="D148:P148" si="43">D141</f>
        <v>0</v>
      </c>
      <c r="E148" s="689">
        <f t="shared" si="43"/>
        <v>253310600.82327598</v>
      </c>
      <c r="F148" s="689">
        <f t="shared" si="43"/>
        <v>228261613.88481599</v>
      </c>
      <c r="G148" s="689">
        <f t="shared" si="43"/>
        <v>257901588.06698799</v>
      </c>
      <c r="H148" s="689">
        <f t="shared" si="43"/>
        <v>245999205.48336601</v>
      </c>
      <c r="I148" s="689">
        <f t="shared" si="43"/>
        <v>254199178.99947798</v>
      </c>
      <c r="J148" s="689">
        <f t="shared" si="43"/>
        <v>250728734.485733</v>
      </c>
      <c r="K148" s="689">
        <f t="shared" si="43"/>
        <v>266491177.103609</v>
      </c>
      <c r="L148" s="689">
        <f t="shared" si="43"/>
        <v>266343080.74090898</v>
      </c>
      <c r="M148" s="689">
        <f t="shared" si="43"/>
        <v>262194259.339955</v>
      </c>
      <c r="N148" s="689">
        <f t="shared" si="43"/>
        <v>276117440.679133</v>
      </c>
      <c r="O148" s="689">
        <f t="shared" si="43"/>
        <v>273659784.19417703</v>
      </c>
      <c r="P148" s="689">
        <f t="shared" si="43"/>
        <v>280116042.47204298</v>
      </c>
      <c r="Q148" s="698">
        <f t="shared" si="42"/>
        <v>3115322706.2734833</v>
      </c>
    </row>
    <row r="149" spans="2:17">
      <c r="B149" s="28"/>
      <c r="C149" s="33" t="s">
        <v>36</v>
      </c>
      <c r="D149" s="28">
        <f t="shared" ref="D149:P149" si="44">SUM(D142:D143)</f>
        <v>0</v>
      </c>
      <c r="E149" s="689">
        <f t="shared" si="44"/>
        <v>296980673.020123</v>
      </c>
      <c r="F149" s="689">
        <f t="shared" si="44"/>
        <v>271514524.52274102</v>
      </c>
      <c r="G149" s="689">
        <f t="shared" si="44"/>
        <v>297301543.02494401</v>
      </c>
      <c r="H149" s="689">
        <f t="shared" si="44"/>
        <v>286501336.86841702</v>
      </c>
      <c r="I149" s="689">
        <f t="shared" si="44"/>
        <v>319725008.04766202</v>
      </c>
      <c r="J149" s="689">
        <f t="shared" si="44"/>
        <v>297565476.48035401</v>
      </c>
      <c r="K149" s="689">
        <f t="shared" si="44"/>
        <v>191245538.80129501</v>
      </c>
      <c r="L149" s="689">
        <f t="shared" si="44"/>
        <v>322444977.58428299</v>
      </c>
      <c r="M149" s="689">
        <f t="shared" si="44"/>
        <v>282154353.08622199</v>
      </c>
      <c r="N149" s="689">
        <f t="shared" si="44"/>
        <v>260062656.31857002</v>
      </c>
      <c r="O149" s="689">
        <f t="shared" si="44"/>
        <v>311564768.13900501</v>
      </c>
      <c r="P149" s="689">
        <f t="shared" si="44"/>
        <v>302528354.087722</v>
      </c>
      <c r="Q149" s="698">
        <f t="shared" si="42"/>
        <v>3439589209.9813385</v>
      </c>
    </row>
    <row r="150" spans="2:17">
      <c r="B150" s="28"/>
      <c r="C150" s="34" t="s">
        <v>37</v>
      </c>
      <c r="D150" s="28">
        <f t="shared" ref="D150:P150" si="45">SUM(D141:D146)</f>
        <v>0</v>
      </c>
      <c r="E150" s="689">
        <f t="shared" si="45"/>
        <v>578927276.97655201</v>
      </c>
      <c r="F150" s="689">
        <f t="shared" si="45"/>
        <v>518535982.0256235</v>
      </c>
      <c r="G150" s="689">
        <f t="shared" si="45"/>
        <v>596724307.64261615</v>
      </c>
      <c r="H150" s="689">
        <f t="shared" si="45"/>
        <v>571730363.2616415</v>
      </c>
      <c r="I150" s="689">
        <f t="shared" si="45"/>
        <v>593612394.1019274</v>
      </c>
      <c r="J150" s="689">
        <f t="shared" si="45"/>
        <v>581671683.31698596</v>
      </c>
      <c r="K150" s="689">
        <f t="shared" si="45"/>
        <v>499947774.76288062</v>
      </c>
      <c r="L150" s="689">
        <f t="shared" si="45"/>
        <v>623176086.15235889</v>
      </c>
      <c r="M150" s="689">
        <f t="shared" si="45"/>
        <v>576167500.1241976</v>
      </c>
      <c r="N150" s="689">
        <f t="shared" si="45"/>
        <v>577842700.6346513</v>
      </c>
      <c r="O150" s="689">
        <f t="shared" si="45"/>
        <v>628892473.42672431</v>
      </c>
      <c r="P150" s="689">
        <f t="shared" si="45"/>
        <v>639218061.1680789</v>
      </c>
      <c r="Q150" s="698">
        <f t="shared" si="42"/>
        <v>6986446603.5942383</v>
      </c>
    </row>
    <row r="151" spans="2:17" ht="23.5">
      <c r="B151" s="25" t="s">
        <v>79</v>
      </c>
    </row>
    <row r="152" spans="2:17">
      <c r="B152" s="26" t="s">
        <v>23</v>
      </c>
      <c r="C152" s="26" t="s">
        <v>22</v>
      </c>
      <c r="D152" s="43">
        <v>242492</v>
      </c>
      <c r="E152" s="43">
        <v>23377</v>
      </c>
      <c r="F152" s="43">
        <v>23408</v>
      </c>
      <c r="G152" s="43">
        <v>23437</v>
      </c>
      <c r="H152" s="43">
        <v>23468</v>
      </c>
      <c r="I152" s="43">
        <v>23498</v>
      </c>
      <c r="J152" s="43">
        <v>23529</v>
      </c>
      <c r="K152" s="43">
        <v>23559</v>
      </c>
      <c r="L152" s="43">
        <v>23590</v>
      </c>
      <c r="M152" s="43">
        <v>23621</v>
      </c>
      <c r="N152" s="43">
        <v>23651</v>
      </c>
      <c r="O152" s="43">
        <v>23682</v>
      </c>
      <c r="P152" s="43">
        <v>23712</v>
      </c>
      <c r="Q152" s="526" t="s">
        <v>177</v>
      </c>
    </row>
    <row r="153" spans="2:17">
      <c r="B153" s="28" t="s">
        <v>25</v>
      </c>
      <c r="C153" s="28" t="s">
        <v>80</v>
      </c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528">
        <f>SUM(F153:P153)</f>
        <v>0</v>
      </c>
    </row>
    <row r="154" spans="2:17">
      <c r="B154" s="28" t="s">
        <v>25</v>
      </c>
      <c r="C154" s="28" t="s">
        <v>81</v>
      </c>
      <c r="D154" s="28"/>
      <c r="E154" s="689">
        <f>37.153650567*10^6</f>
        <v>37153650.567000002</v>
      </c>
      <c r="F154" s="689">
        <f>33.2175889122*10^6</f>
        <v>33217588.9122</v>
      </c>
      <c r="G154" s="689">
        <f>36.3079055724*10^6</f>
        <v>36307905.572400004</v>
      </c>
      <c r="H154" s="689">
        <f>36.11838582*10^6</f>
        <v>36118385.82</v>
      </c>
      <c r="I154" s="689">
        <f>37.322332014*10^6</f>
        <v>37322332.013999999</v>
      </c>
      <c r="J154" s="689">
        <f>37.016206425*10^6</f>
        <v>37016206.424999997</v>
      </c>
      <c r="K154" s="689">
        <f>6.3960901125*10^6</f>
        <v>6396090.1124999998</v>
      </c>
      <c r="L154" s="689">
        <f>39.627645123*10^6</f>
        <v>39627645.123000003</v>
      </c>
      <c r="M154" s="689">
        <f>39.192741225*10^6</f>
        <v>39192741.225000001</v>
      </c>
      <c r="N154" s="689">
        <f>41.48314104*10^6</f>
        <v>41483141.039999999</v>
      </c>
      <c r="O154" s="689">
        <f>41.369276025*10^6</f>
        <v>41369276.024999999</v>
      </c>
      <c r="P154" s="689">
        <f>42.2422075515*10^6</f>
        <v>42242207.5515</v>
      </c>
      <c r="Q154" s="528">
        <f t="shared" ref="Q154:Q156" si="46">SUM(F154:P154)</f>
        <v>390293519.82060003</v>
      </c>
    </row>
    <row r="155" spans="2:17">
      <c r="B155" s="28" t="s">
        <v>25</v>
      </c>
      <c r="C155" s="28" t="s">
        <v>82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528">
        <f t="shared" si="46"/>
        <v>0</v>
      </c>
    </row>
    <row r="156" spans="2:17">
      <c r="B156" s="28"/>
      <c r="C156" s="34" t="s">
        <v>37</v>
      </c>
      <c r="D156" s="28">
        <f t="shared" ref="D156:P156" si="47">SUM(D153:D155)</f>
        <v>0</v>
      </c>
      <c r="E156" s="689">
        <f t="shared" si="47"/>
        <v>37153650.567000002</v>
      </c>
      <c r="F156" s="689">
        <f t="shared" si="47"/>
        <v>33217588.9122</v>
      </c>
      <c r="G156" s="689">
        <f t="shared" si="47"/>
        <v>36307905.572400004</v>
      </c>
      <c r="H156" s="689">
        <f t="shared" si="47"/>
        <v>36118385.82</v>
      </c>
      <c r="I156" s="689">
        <f t="shared" si="47"/>
        <v>37322332.013999999</v>
      </c>
      <c r="J156" s="689">
        <f t="shared" si="47"/>
        <v>37016206.424999997</v>
      </c>
      <c r="K156" s="689">
        <f t="shared" si="47"/>
        <v>6396090.1124999998</v>
      </c>
      <c r="L156" s="689">
        <f t="shared" si="47"/>
        <v>39627645.123000003</v>
      </c>
      <c r="M156" s="689">
        <f t="shared" si="47"/>
        <v>39192741.225000001</v>
      </c>
      <c r="N156" s="689">
        <f t="shared" si="47"/>
        <v>41483141.039999999</v>
      </c>
      <c r="O156" s="689">
        <f t="shared" si="47"/>
        <v>41369276.024999999</v>
      </c>
      <c r="P156" s="689">
        <f t="shared" si="47"/>
        <v>42242207.5515</v>
      </c>
      <c r="Q156" s="698">
        <f t="shared" si="46"/>
        <v>390293519.82060003</v>
      </c>
    </row>
    <row r="157" spans="2:17" ht="23.5">
      <c r="B157" s="25" t="s">
        <v>83</v>
      </c>
    </row>
    <row r="158" spans="2:17">
      <c r="B158" s="26" t="s">
        <v>23</v>
      </c>
      <c r="C158" s="26" t="s">
        <v>22</v>
      </c>
      <c r="D158" s="43">
        <v>242492</v>
      </c>
      <c r="E158" s="43">
        <v>23377</v>
      </c>
      <c r="F158" s="43">
        <v>23408</v>
      </c>
      <c r="G158" s="43">
        <v>23437</v>
      </c>
      <c r="H158" s="43">
        <v>23468</v>
      </c>
      <c r="I158" s="43">
        <v>23498</v>
      </c>
      <c r="J158" s="43">
        <v>23529</v>
      </c>
      <c r="K158" s="43">
        <v>23559</v>
      </c>
      <c r="L158" s="43">
        <v>23590</v>
      </c>
      <c r="M158" s="43">
        <v>23621</v>
      </c>
      <c r="N158" s="43">
        <v>23651</v>
      </c>
      <c r="O158" s="43">
        <v>23682</v>
      </c>
      <c r="P158" s="43">
        <v>23712</v>
      </c>
      <c r="Q158" s="526" t="s">
        <v>177</v>
      </c>
    </row>
    <row r="159" spans="2:17">
      <c r="B159" s="28" t="s">
        <v>25</v>
      </c>
      <c r="C159" s="28" t="s">
        <v>84</v>
      </c>
      <c r="D159" s="28"/>
      <c r="E159" s="689">
        <f>26.2053988859714*10^6</f>
        <v>26205398.885971401</v>
      </c>
      <c r="F159" s="689">
        <f>23.6693925421677*10^6</f>
        <v>23669392.542167701</v>
      </c>
      <c r="G159" s="689">
        <f>26.2053988859714*10^6</f>
        <v>26205398.885971401</v>
      </c>
      <c r="H159" s="689">
        <f>25.3600634380368*10^6</f>
        <v>25360063.438036799</v>
      </c>
      <c r="I159" s="689">
        <f>26.2053988859714*10^6</f>
        <v>26205398.885971401</v>
      </c>
      <c r="J159" s="689">
        <f>25.3600634380368*10^6</f>
        <v>25360063.438036799</v>
      </c>
      <c r="K159" s="689">
        <f>26.2053988859714*10^6</f>
        <v>26205398.885971401</v>
      </c>
      <c r="L159" s="689">
        <f>26.2053988859714*10^6</f>
        <v>26205398.885971401</v>
      </c>
      <c r="M159" s="689">
        <f>25.3600634380368*10^6</f>
        <v>25360063.438036799</v>
      </c>
      <c r="N159" s="689">
        <f>26.2053988859714*10^6</f>
        <v>26205398.885971401</v>
      </c>
      <c r="O159" s="689">
        <f>25.3600634380368*10^6</f>
        <v>25360063.438036799</v>
      </c>
      <c r="P159" s="689">
        <f>26.2053988859714*10^6</f>
        <v>26205398.885971401</v>
      </c>
      <c r="Q159" s="528">
        <f>SUM(E159:P159)</f>
        <v>308547438.49611473</v>
      </c>
    </row>
    <row r="160" spans="2:17">
      <c r="B160" s="28" t="s">
        <v>25</v>
      </c>
      <c r="C160" s="28" t="s">
        <v>85</v>
      </c>
      <c r="D160" s="28"/>
      <c r="E160" s="689">
        <f>13.1026994429857*10^6</f>
        <v>13102699.4429857</v>
      </c>
      <c r="F160" s="689">
        <f>11.8346962710839*10^6</f>
        <v>11834696.271083899</v>
      </c>
      <c r="G160" s="689">
        <f>13.1026994429857*10^6</f>
        <v>13102699.4429857</v>
      </c>
      <c r="H160" s="689">
        <f>12.6800317190184*10^6</f>
        <v>12680031.7190184</v>
      </c>
      <c r="I160" s="689">
        <f>13.1026994429857*10^6</f>
        <v>13102699.4429857</v>
      </c>
      <c r="J160" s="689">
        <f>12.6800317190184*10^6</f>
        <v>12680031.7190184</v>
      </c>
      <c r="K160" s="689">
        <f>13.1026994429857*10^6</f>
        <v>13102699.4429857</v>
      </c>
      <c r="L160" s="689">
        <f>13.1026994429857*10^6</f>
        <v>13102699.4429857</v>
      </c>
      <c r="M160" s="689">
        <f>12.6800317190184*10^6</f>
        <v>12680031.7190184</v>
      </c>
      <c r="N160" s="689">
        <f>13.1026994429857*10^6</f>
        <v>13102699.4429857</v>
      </c>
      <c r="O160" s="689">
        <f>12.6800317190184*10^6</f>
        <v>12680031.7190184</v>
      </c>
      <c r="P160" s="689">
        <f>13.1026994429857*10^6</f>
        <v>13102699.4429857</v>
      </c>
      <c r="Q160" s="528">
        <f t="shared" ref="Q160:Q161" si="48">SUM(E160:P160)</f>
        <v>154273719.24805743</v>
      </c>
    </row>
    <row r="161" spans="2:17">
      <c r="B161" s="28"/>
      <c r="C161" s="34" t="s">
        <v>37</v>
      </c>
      <c r="D161" s="28">
        <f t="shared" ref="D161:P161" si="49">SUM(D159:D160)</f>
        <v>0</v>
      </c>
      <c r="E161" s="689">
        <f>SUM(E159:E160)</f>
        <v>39308098.328957103</v>
      </c>
      <c r="F161" s="689">
        <f t="shared" si="49"/>
        <v>35504088.8132516</v>
      </c>
      <c r="G161" s="689">
        <f t="shared" si="49"/>
        <v>39308098.328957103</v>
      </c>
      <c r="H161" s="689">
        <f t="shared" si="49"/>
        <v>38040095.157055199</v>
      </c>
      <c r="I161" s="689">
        <f t="shared" si="49"/>
        <v>39308098.328957103</v>
      </c>
      <c r="J161" s="689">
        <f t="shared" si="49"/>
        <v>38040095.157055199</v>
      </c>
      <c r="K161" s="689">
        <f t="shared" si="49"/>
        <v>39308098.328957103</v>
      </c>
      <c r="L161" s="689">
        <f t="shared" si="49"/>
        <v>39308098.328957103</v>
      </c>
      <c r="M161" s="689">
        <f t="shared" si="49"/>
        <v>38040095.157055199</v>
      </c>
      <c r="N161" s="689">
        <f t="shared" si="49"/>
        <v>39308098.328957103</v>
      </c>
      <c r="O161" s="689">
        <f t="shared" si="49"/>
        <v>38040095.157055199</v>
      </c>
      <c r="P161" s="689">
        <f t="shared" si="49"/>
        <v>39308098.328957103</v>
      </c>
      <c r="Q161" s="698">
        <f t="shared" si="48"/>
        <v>462821157.74417204</v>
      </c>
    </row>
  </sheetData>
  <mergeCells count="3">
    <mergeCell ref="B2:C2"/>
    <mergeCell ref="B3:B8"/>
    <mergeCell ref="B9:B1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>
    <tabColor theme="4"/>
    <pageSetUpPr fitToPage="1"/>
  </sheetPr>
  <dimension ref="A1:AA90"/>
  <sheetViews>
    <sheetView showZeros="0" zoomScale="75" zoomScaleNormal="85" zoomScaleSheetLayoutView="75" workbookViewId="0">
      <pane xSplit="1" ySplit="5" topLeftCell="B6" activePane="bottomRight" state="frozen"/>
      <selection activeCell="G258" sqref="G258"/>
      <selection pane="topRight" activeCell="G258" sqref="G258"/>
      <selection pane="bottomLeft" activeCell="G258" sqref="G258"/>
      <selection pane="bottomRight" activeCell="F45" sqref="F45"/>
    </sheetView>
  </sheetViews>
  <sheetFormatPr defaultColWidth="19.90625" defaultRowHeight="21.5" outlineLevelCol="1"/>
  <cols>
    <col min="1" max="1" width="24.6328125" style="538" customWidth="1"/>
    <col min="2" max="2" width="13.1796875" style="533" customWidth="1" outlineLevel="1"/>
    <col min="3" max="4" width="12.6328125" style="533" customWidth="1" outlineLevel="1"/>
    <col min="5" max="5" width="10" style="533" customWidth="1"/>
    <col min="6" max="6" width="13.453125" style="533" customWidth="1" outlineLevel="1"/>
    <col min="7" max="7" width="12.6328125" style="533" customWidth="1" outlineLevel="1"/>
    <col min="8" max="8" width="14" style="533" customWidth="1" outlineLevel="1"/>
    <col min="9" max="9" width="10" style="648" customWidth="1"/>
    <col min="10" max="12" width="10" style="648" customWidth="1" outlineLevel="1"/>
    <col min="13" max="13" width="10" style="648" customWidth="1"/>
    <col min="14" max="16" width="10" style="648" customWidth="1" outlineLevel="1"/>
    <col min="17" max="17" width="10" style="648" customWidth="1"/>
    <col min="18" max="18" width="15.36328125" style="535" customWidth="1"/>
    <col min="19" max="19" width="15" style="326" customWidth="1"/>
    <col min="20" max="20" width="7.36328125" style="326" customWidth="1"/>
    <col min="21" max="21" width="16.81640625" style="326" bestFit="1" customWidth="1"/>
    <col min="22" max="22" width="10.1796875" style="326" customWidth="1"/>
    <col min="23" max="23" width="31.453125" style="326" customWidth="1"/>
    <col min="24" max="24" width="7.36328125" style="326" customWidth="1"/>
    <col min="25" max="25" width="11.453125" style="326" customWidth="1"/>
    <col min="26" max="16384" width="19.90625" style="326"/>
  </cols>
  <sheetData>
    <row r="1" spans="1:25" ht="21" customHeight="1">
      <c r="A1" s="532" t="s">
        <v>453</v>
      </c>
      <c r="I1" s="534"/>
      <c r="J1" s="534"/>
      <c r="K1" s="534"/>
      <c r="L1" s="534"/>
      <c r="M1" s="534"/>
      <c r="N1" s="534"/>
      <c r="O1" s="534"/>
      <c r="P1" s="534"/>
      <c r="Q1" s="534"/>
      <c r="U1" s="536" t="s">
        <v>454</v>
      </c>
    </row>
    <row r="2" spans="1:25" ht="19.5" customHeight="1">
      <c r="A2" s="537"/>
      <c r="I2" s="534"/>
      <c r="J2" s="534"/>
      <c r="K2" s="534"/>
      <c r="L2" s="534"/>
      <c r="M2" s="534"/>
      <c r="N2" s="534"/>
      <c r="O2" s="534"/>
      <c r="P2" s="534"/>
      <c r="Q2" s="534"/>
      <c r="S2" s="538"/>
      <c r="U2" s="536" t="s">
        <v>455</v>
      </c>
    </row>
    <row r="3" spans="1:25" ht="19.5" customHeight="1">
      <c r="A3" s="539"/>
      <c r="I3" s="534"/>
      <c r="J3" s="534"/>
      <c r="K3" s="534"/>
      <c r="L3" s="534"/>
      <c r="M3" s="534"/>
      <c r="N3" s="534"/>
      <c r="O3" s="534"/>
      <c r="P3" s="534"/>
      <c r="Q3" s="534"/>
      <c r="R3" s="540" t="s">
        <v>456</v>
      </c>
      <c r="S3" s="538"/>
      <c r="U3" s="536" t="s">
        <v>457</v>
      </c>
    </row>
    <row r="4" spans="1:25" s="546" customFormat="1" ht="19.5" customHeight="1">
      <c r="A4" s="541"/>
      <c r="B4" s="542" t="s">
        <v>458</v>
      </c>
      <c r="C4" s="542"/>
      <c r="D4" s="542"/>
      <c r="E4" s="542" t="str">
        <f>+B4</f>
        <v>2563 (2020)</v>
      </c>
      <c r="F4" s="542"/>
      <c r="G4" s="542"/>
      <c r="H4" s="542"/>
      <c r="I4" s="543"/>
      <c r="J4" s="543"/>
      <c r="K4" s="543"/>
      <c r="L4" s="543"/>
      <c r="M4" s="543"/>
      <c r="N4" s="543"/>
      <c r="O4" s="543"/>
      <c r="P4" s="543"/>
      <c r="Q4" s="544"/>
      <c r="R4" s="545"/>
    </row>
    <row r="5" spans="1:25" s="546" customFormat="1" ht="19.5" customHeight="1">
      <c r="A5" s="547"/>
      <c r="B5" s="548" t="s">
        <v>311</v>
      </c>
      <c r="C5" s="549" t="s">
        <v>310</v>
      </c>
      <c r="D5" s="549" t="s">
        <v>182</v>
      </c>
      <c r="E5" s="550" t="s">
        <v>309</v>
      </c>
      <c r="F5" s="549" t="s">
        <v>308</v>
      </c>
      <c r="G5" s="549" t="s">
        <v>307</v>
      </c>
      <c r="H5" s="549" t="s">
        <v>306</v>
      </c>
      <c r="I5" s="551" t="s">
        <v>305</v>
      </c>
      <c r="J5" s="259" t="s">
        <v>304</v>
      </c>
      <c r="K5" s="552" t="s">
        <v>303</v>
      </c>
      <c r="L5" s="552" t="s">
        <v>302</v>
      </c>
      <c r="M5" s="551" t="s">
        <v>301</v>
      </c>
      <c r="N5" s="552" t="s">
        <v>300</v>
      </c>
      <c r="O5" s="552" t="s">
        <v>299</v>
      </c>
      <c r="P5" s="552" t="s">
        <v>298</v>
      </c>
      <c r="Q5" s="551" t="s">
        <v>297</v>
      </c>
      <c r="R5" s="553" t="s">
        <v>312</v>
      </c>
    </row>
    <row r="6" spans="1:25" ht="19.5" customHeight="1">
      <c r="A6" s="326" t="s">
        <v>316</v>
      </c>
      <c r="E6" s="554"/>
      <c r="I6" s="555"/>
      <c r="J6" s="556"/>
      <c r="K6" s="557"/>
      <c r="L6" s="557"/>
      <c r="M6" s="555"/>
      <c r="N6" s="557"/>
      <c r="O6" s="557"/>
      <c r="P6" s="557"/>
      <c r="Q6" s="555"/>
      <c r="R6" s="558"/>
      <c r="W6" s="546"/>
    </row>
    <row r="7" spans="1:25" ht="19.5" customHeight="1">
      <c r="A7" s="326" t="s">
        <v>459</v>
      </c>
      <c r="B7" s="559">
        <f>SUM('[13]Data (64)'!C25:C30,'[13]Data (64)'!C32)+B65</f>
        <v>3706.0281942990659</v>
      </c>
      <c r="C7" s="559">
        <f>SUM('[13]Data (64)'!D25:D30,'[13]Data (64)'!D32)+C65</f>
        <v>3650.5152542990654</v>
      </c>
      <c r="D7" s="559">
        <f>SUM('[13]Data (64)'!E25:E30,'[13]Data (64)'!E32)+D65</f>
        <v>3704.586694299066</v>
      </c>
      <c r="E7" s="554">
        <f>SUM(B7:D7)</f>
        <v>11061.130142897196</v>
      </c>
      <c r="F7" s="559">
        <f>SUM('[13]Data (64)'!G25:G30,'[13]Data (64)'!G32)+F65</f>
        <v>3679.1580142990661</v>
      </c>
      <c r="G7" s="559">
        <f>SUM('[13]Data (64)'!H25:H30,'[13]Data (64)'!H32)+G65</f>
        <v>3680.9925942990658</v>
      </c>
      <c r="H7" s="559">
        <f>SUM('[13]Data (64)'!I25:I30,'[13]Data (64)'!I32)+H65</f>
        <v>3676.9074142990657</v>
      </c>
      <c r="I7" s="555">
        <f>SUM(F7:H7)</f>
        <v>11037.058022897198</v>
      </c>
      <c r="J7" s="560">
        <f>SUM('[13]Data (64)'!K25:K30,'[13]Data (64)'!K32)+J65</f>
        <v>3700.4233942990659</v>
      </c>
      <c r="K7" s="560">
        <f>SUM('[13]Data (64)'!L25:L30,'[13]Data (64)'!L32)+K65</f>
        <v>3714.1098942990657</v>
      </c>
      <c r="L7" s="560">
        <f>SUM('[13]Data (64)'!M25:M30,'[13]Data (64)'!M32)+L65</f>
        <v>3704.9004142990657</v>
      </c>
      <c r="M7" s="555">
        <f>SUM(J7:L7)</f>
        <v>11119.433702897197</v>
      </c>
      <c r="N7" s="560">
        <f>SUM('[13]Data (64)'!O25:O30,'[13]Data (64)'!O32)+N65</f>
        <v>3726.2494942990661</v>
      </c>
      <c r="O7" s="560">
        <f>SUM('[13]Data (64)'!P25:P30,'[13]Data (64)'!P32)+O65</f>
        <v>3721.6404142990659</v>
      </c>
      <c r="P7" s="560">
        <f>SUM('[13]Data (64)'!Q25:Q30,'[13]Data (64)'!Q32)+P65</f>
        <v>3731.9844942990658</v>
      </c>
      <c r="Q7" s="555">
        <f>SUM(N7:P7)</f>
        <v>11179.874402897198</v>
      </c>
      <c r="R7" s="558">
        <f>+E7+I7+M7+Q7</f>
        <v>44397.496271588796</v>
      </c>
      <c r="S7" s="536" t="s">
        <v>635</v>
      </c>
      <c r="W7" s="1387" t="s">
        <v>638</v>
      </c>
      <c r="Y7" s="536">
        <f t="shared" ref="Y7:Y25" si="0">+B7+C7+D7-E7</f>
        <v>0</v>
      </c>
    </row>
    <row r="8" spans="1:25" ht="19.5" customHeight="1">
      <c r="A8" s="326" t="s">
        <v>460</v>
      </c>
      <c r="B8" s="559">
        <f>SUM('[13]Data (64)'!C6:C11)+B64</f>
        <v>587.44492441039927</v>
      </c>
      <c r="C8" s="559">
        <f>SUM('[13]Data (64)'!D6:D11)+C64</f>
        <v>532.99372731975734</v>
      </c>
      <c r="D8" s="559">
        <f>SUM('[13]Data (64)'!E6:E11)+D64</f>
        <v>591.51103666433221</v>
      </c>
      <c r="E8" s="554">
        <f t="shared" ref="E8:E14" si="1">SUM(B8:D8)</f>
        <v>1711.9496883944889</v>
      </c>
      <c r="F8" s="559">
        <f>SUM('[13]Data (64)'!G6:G11)+F64</f>
        <v>568.6189281717833</v>
      </c>
      <c r="G8" s="559">
        <f>SUM('[13]Data (64)'!H6:H11)+G64</f>
        <v>611.24651906114093</v>
      </c>
      <c r="H8" s="559">
        <f>SUM('[13]Data (64)'!I6:I11)+H64</f>
        <v>585.31041739108753</v>
      </c>
      <c r="I8" s="555">
        <f t="shared" ref="I8:I11" si="2">SUM(F8:H8)</f>
        <v>1765.1758646240119</v>
      </c>
      <c r="J8" s="561">
        <f>SUM('[13]Data (64)'!K6:K11)+J64</f>
        <v>464.13280601740433</v>
      </c>
      <c r="K8" s="561">
        <f>SUM('[13]Data (64)'!L6:L11)+K64</f>
        <v>628.41570344819149</v>
      </c>
      <c r="L8" s="561">
        <f>SUM('[13]Data (64)'!M6:M11)+L64</f>
        <v>583.54135365117713</v>
      </c>
      <c r="M8" s="555">
        <f t="shared" ref="M8:M11" si="3">SUM(J8:L8)</f>
        <v>1676.0898631167729</v>
      </c>
      <c r="N8" s="561">
        <f>SUM('[13]Data (64)'!O6:O11)+N64</f>
        <v>577.66323803770297</v>
      </c>
      <c r="O8" s="561">
        <f>SUM('[13]Data (64)'!P6:P11)+O64</f>
        <v>626.5938283581828</v>
      </c>
      <c r="P8" s="561">
        <f>SUM('[13]Data (64)'!Q6:Q11)+P64</f>
        <v>624.88660411126534</v>
      </c>
      <c r="Q8" s="555">
        <f t="shared" ref="Q8:Q11" si="4">SUM(N8:P8)</f>
        <v>1829.1436705071512</v>
      </c>
      <c r="R8" s="558">
        <f t="shared" ref="R8:R14" si="5">+E8+I8+M8+Q8</f>
        <v>6982.3590866424247</v>
      </c>
      <c r="S8" s="536" t="s">
        <v>636</v>
      </c>
      <c r="W8" s="1387"/>
      <c r="Y8" s="536">
        <f t="shared" si="0"/>
        <v>0</v>
      </c>
    </row>
    <row r="9" spans="1:25" ht="19.5" customHeight="1">
      <c r="A9" s="326" t="s">
        <v>461</v>
      </c>
      <c r="B9" s="559">
        <f>SUM('[13]Data (64)'!C44:C49,'[13]Data (64)'!C51)</f>
        <v>1112.5658318498406</v>
      </c>
      <c r="C9" s="559">
        <f>SUM('[13]Data (64)'!D44:D49,'[13]Data (64)'!D51)</f>
        <v>947.64573942559184</v>
      </c>
      <c r="D9" s="559">
        <f>SUM('[13]Data (64)'!E44:E49,'[13]Data (64)'!E51)</f>
        <v>1055.6213613800676</v>
      </c>
      <c r="E9" s="554">
        <f t="shared" si="1"/>
        <v>3115.8329326555004</v>
      </c>
      <c r="F9" s="559">
        <f>SUM('[13]Data (64)'!G44:G49,'[13]Data (64)'!G51)</f>
        <v>1011.6802673666454</v>
      </c>
      <c r="G9" s="559">
        <f>SUM('[13]Data (64)'!H44:H49,'[13]Data (64)'!H51)</f>
        <v>1000.5143910858746</v>
      </c>
      <c r="H9" s="559">
        <f>SUM('[13]Data (64)'!I44:I49,'[13]Data (64)'!I51)</f>
        <v>1021.9878283136186</v>
      </c>
      <c r="I9" s="555">
        <f t="shared" si="2"/>
        <v>3034.1824867661385</v>
      </c>
      <c r="J9" s="561">
        <f>SUM('[13]Data (64)'!K44:K49,'[13]Data (64)'!K51)</f>
        <v>523.45887094108059</v>
      </c>
      <c r="K9" s="561">
        <f>SUM('[13]Data (64)'!L44:L49,'[13]Data (64)'!L51)</f>
        <v>1015.3631004000001</v>
      </c>
      <c r="L9" s="561">
        <f>SUM('[13]Data (64)'!M44:M49,'[13]Data (64)'!M51)</f>
        <v>1020.455763597902</v>
      </c>
      <c r="M9" s="555">
        <f t="shared" si="3"/>
        <v>2559.2777349389826</v>
      </c>
      <c r="N9" s="561">
        <f>SUM('[13]Data (64)'!O44:O49,'[13]Data (64)'!O51)</f>
        <v>935.97081444389141</v>
      </c>
      <c r="O9" s="561">
        <f>SUM('[13]Data (64)'!P44:P49,'[13]Data (64)'!P51)</f>
        <v>742.52018748366345</v>
      </c>
      <c r="P9" s="561">
        <f>SUM('[13]Data (64)'!Q44:Q49,'[13]Data (64)'!Q51)</f>
        <v>1088.2174280408449</v>
      </c>
      <c r="Q9" s="555">
        <f t="shared" si="4"/>
        <v>2766.7084299683997</v>
      </c>
      <c r="R9" s="558">
        <f t="shared" si="5"/>
        <v>11476.00158432902</v>
      </c>
      <c r="S9" s="326" t="s">
        <v>637</v>
      </c>
      <c r="W9" s="1387"/>
      <c r="Y9" s="536">
        <f t="shared" si="0"/>
        <v>0</v>
      </c>
    </row>
    <row r="10" spans="1:25" ht="19.5" customHeight="1">
      <c r="A10" s="326" t="s">
        <v>462</v>
      </c>
      <c r="B10" s="533">
        <f>+'[13]Data (64)'!C76</f>
        <v>2412.0152910761644</v>
      </c>
      <c r="C10" s="533">
        <f>+'[13]Data (64)'!D76</f>
        <v>2206.8405249887765</v>
      </c>
      <c r="D10" s="533">
        <f>+'[13]Data (64)'!E76</f>
        <v>2415.761850591372</v>
      </c>
      <c r="E10" s="554">
        <f t="shared" si="1"/>
        <v>7034.6176666563133</v>
      </c>
      <c r="F10" s="533">
        <f>+'[13]Data (64)'!G76</f>
        <v>2338.0689914729674</v>
      </c>
      <c r="G10" s="533">
        <f>+'[13]Data (64)'!H76</f>
        <v>2457.9014503614549</v>
      </c>
      <c r="H10" s="533">
        <f>+'[13]Data (64)'!I76</f>
        <v>2372.4473951171594</v>
      </c>
      <c r="I10" s="555">
        <f t="shared" si="2"/>
        <v>7168.4178369515821</v>
      </c>
      <c r="J10" s="557">
        <f>+'[13]Data (64)'!K76</f>
        <v>1809.9585695718836</v>
      </c>
      <c r="K10" s="557">
        <f>+'[13]Data (64)'!L76</f>
        <v>2466.5946756398653</v>
      </c>
      <c r="L10" s="557">
        <f>+'[13]Data (64)'!M76</f>
        <v>2052.1875726509688</v>
      </c>
      <c r="M10" s="555">
        <f t="shared" si="3"/>
        <v>6328.7408178627174</v>
      </c>
      <c r="N10" s="557">
        <f>+'[13]Data (64)'!O76</f>
        <v>1202.275289268084</v>
      </c>
      <c r="O10" s="557">
        <f>+'[13]Data (64)'!P76</f>
        <v>2309.5308341265209</v>
      </c>
      <c r="P10" s="557">
        <f>+'[13]Data (64)'!Q76</f>
        <v>2361.4001422767733</v>
      </c>
      <c r="Q10" s="555">
        <f t="shared" si="4"/>
        <v>5873.2062656713779</v>
      </c>
      <c r="R10" s="558">
        <f t="shared" si="5"/>
        <v>26404.982587141993</v>
      </c>
      <c r="W10" s="546"/>
      <c r="Y10" s="536">
        <f t="shared" si="0"/>
        <v>0</v>
      </c>
    </row>
    <row r="11" spans="1:25" ht="20.25" customHeight="1">
      <c r="A11" s="562" t="s">
        <v>382</v>
      </c>
      <c r="B11" s="563">
        <f>+'[13]Data (64)'!C121</f>
        <v>21</v>
      </c>
      <c r="C11" s="563">
        <f>+'[13]Data (64)'!D121</f>
        <v>21</v>
      </c>
      <c r="D11" s="563">
        <f>+'[13]Data (64)'!E121</f>
        <v>21</v>
      </c>
      <c r="E11" s="564">
        <f t="shared" si="1"/>
        <v>63</v>
      </c>
      <c r="F11" s="563">
        <f>+'[13]Data (64)'!G121</f>
        <v>21</v>
      </c>
      <c r="G11" s="563">
        <f>+'[13]Data (64)'!H121</f>
        <v>21</v>
      </c>
      <c r="H11" s="563">
        <f>+'[13]Data (64)'!I121</f>
        <v>21</v>
      </c>
      <c r="I11" s="565">
        <f t="shared" si="2"/>
        <v>63</v>
      </c>
      <c r="J11" s="566">
        <f>+'[13]Data (64)'!K121</f>
        <v>21</v>
      </c>
      <c r="K11" s="566">
        <f>+'[13]Data (64)'!L121</f>
        <v>21</v>
      </c>
      <c r="L11" s="566">
        <f>+'[13]Data (64)'!M121</f>
        <v>21</v>
      </c>
      <c r="M11" s="565">
        <f t="shared" si="3"/>
        <v>63</v>
      </c>
      <c r="N11" s="566">
        <f>+'[13]Data (64)'!O121</f>
        <v>21</v>
      </c>
      <c r="O11" s="566">
        <f>+'[13]Data (64)'!P121</f>
        <v>21</v>
      </c>
      <c r="P11" s="566">
        <f>+'[13]Data (64)'!Q121</f>
        <v>21</v>
      </c>
      <c r="Q11" s="565">
        <f t="shared" si="4"/>
        <v>63</v>
      </c>
      <c r="R11" s="558">
        <f t="shared" si="5"/>
        <v>252</v>
      </c>
      <c r="W11" s="546"/>
      <c r="Y11" s="536">
        <f t="shared" si="0"/>
        <v>0</v>
      </c>
    </row>
    <row r="12" spans="1:25" ht="19.5" customHeight="1">
      <c r="A12" s="326" t="s">
        <v>463</v>
      </c>
      <c r="E12" s="554">
        <f t="shared" si="1"/>
        <v>0</v>
      </c>
      <c r="I12" s="555">
        <f t="shared" ref="I12:I14" si="6">SUM(F12:H12)</f>
        <v>0</v>
      </c>
      <c r="J12" s="557"/>
      <c r="K12" s="557"/>
      <c r="L12" s="557"/>
      <c r="M12" s="555">
        <f t="shared" ref="M12:M14" si="7">SUM(J12:L12)</f>
        <v>0</v>
      </c>
      <c r="N12" s="557"/>
      <c r="O12" s="557"/>
      <c r="P12" s="557"/>
      <c r="Q12" s="555">
        <f t="shared" ref="Q12:Q14" si="8">SUM(N12:P12)</f>
        <v>0</v>
      </c>
      <c r="R12" s="558">
        <f t="shared" si="5"/>
        <v>0</v>
      </c>
      <c r="W12" s="546"/>
      <c r="Y12" s="536">
        <f t="shared" si="0"/>
        <v>0</v>
      </c>
    </row>
    <row r="13" spans="1:25" ht="19.5" customHeight="1">
      <c r="A13" s="326" t="s">
        <v>464</v>
      </c>
      <c r="B13" s="559"/>
      <c r="C13" s="559"/>
      <c r="D13" s="559"/>
      <c r="E13" s="554">
        <f t="shared" si="1"/>
        <v>0</v>
      </c>
      <c r="F13" s="559"/>
      <c r="G13" s="559"/>
      <c r="H13" s="559"/>
      <c r="I13" s="555">
        <f t="shared" si="6"/>
        <v>0</v>
      </c>
      <c r="J13" s="561"/>
      <c r="K13" s="561"/>
      <c r="L13" s="561"/>
      <c r="M13" s="555">
        <f t="shared" si="7"/>
        <v>0</v>
      </c>
      <c r="N13" s="561"/>
      <c r="O13" s="561"/>
      <c r="P13" s="561"/>
      <c r="Q13" s="555">
        <f t="shared" si="8"/>
        <v>0</v>
      </c>
      <c r="R13" s="558">
        <f t="shared" si="5"/>
        <v>0</v>
      </c>
      <c r="S13" s="536"/>
      <c r="W13" s="546"/>
      <c r="Y13" s="536">
        <f t="shared" si="0"/>
        <v>0</v>
      </c>
    </row>
    <row r="14" spans="1:25" ht="19.5" customHeight="1">
      <c r="A14" s="326" t="s">
        <v>465</v>
      </c>
      <c r="B14" s="533">
        <f>+'[13]Data (64)'!C12+'[13]Data (64)'!C31+'[13]Data (64)'!C50</f>
        <v>162.61800313315294</v>
      </c>
      <c r="C14" s="533">
        <f>+'[13]Data (64)'!D12+'[13]Data (64)'!D31+'[13]Data (64)'!D50</f>
        <v>148.99084361806649</v>
      </c>
      <c r="D14" s="533">
        <f>+'[13]Data (64)'!E12+'[13]Data (64)'!E31+'[13]Data (64)'!E50</f>
        <v>174.48017655068412</v>
      </c>
      <c r="E14" s="554">
        <f t="shared" si="1"/>
        <v>486.08902330190352</v>
      </c>
      <c r="F14" s="533">
        <f>+'[13]Data (64)'!G12+'[13]Data (64)'!G31+'[13]Data (64)'!G50</f>
        <v>169.11982090985853</v>
      </c>
      <c r="G14" s="533">
        <f>+'[13]Data (64)'!H12+'[13]Data (64)'!H31+'[13]Data (64)'!H50</f>
        <v>145.48620705478746</v>
      </c>
      <c r="H14" s="533">
        <f>+'[13]Data (64)'!I12+'[13]Data (64)'!I31+'[13]Data (64)'!I50</f>
        <v>161.90347235089902</v>
      </c>
      <c r="I14" s="555">
        <f t="shared" si="6"/>
        <v>476.50950031554498</v>
      </c>
      <c r="J14" s="557">
        <f>+'[13]Data (64)'!K12+'[13]Data (64)'!K31+'[13]Data (64)'!K50</f>
        <v>172.78305885797664</v>
      </c>
      <c r="K14" s="557">
        <f>+'[13]Data (64)'!L12+'[13]Data (64)'!L31+'[13]Data (64)'!L50</f>
        <v>169.39302782716689</v>
      </c>
      <c r="L14" s="557">
        <f>+'[13]Data (64)'!M12+'[13]Data (64)'!M31+'[13]Data (64)'!M50</f>
        <v>168.18788769802057</v>
      </c>
      <c r="M14" s="555">
        <f t="shared" si="7"/>
        <v>510.36397438316413</v>
      </c>
      <c r="N14" s="557">
        <f>+'[13]Data (64)'!O12+'[13]Data (64)'!O31+'[13]Data (64)'!O50</f>
        <v>179.39560363694827</v>
      </c>
      <c r="O14" s="557">
        <f>+'[13]Data (64)'!P12+'[13]Data (64)'!P31+'[13]Data (64)'!P50</f>
        <v>184.12892109354217</v>
      </c>
      <c r="P14" s="557">
        <f>+'[13]Data (64)'!Q12+'[13]Data (64)'!Q31+'[13]Data (64)'!Q50</f>
        <v>195.67066460831393</v>
      </c>
      <c r="Q14" s="555">
        <f t="shared" si="8"/>
        <v>559.19518933880431</v>
      </c>
      <c r="R14" s="558">
        <f t="shared" si="5"/>
        <v>2032.157687339417</v>
      </c>
      <c r="S14" s="536"/>
      <c r="U14" s="536"/>
      <c r="W14" s="546"/>
      <c r="Y14" s="536">
        <f t="shared" si="0"/>
        <v>0</v>
      </c>
    </row>
    <row r="15" spans="1:25" ht="19.5" customHeight="1">
      <c r="A15" s="567" t="s">
        <v>466</v>
      </c>
      <c r="B15" s="568">
        <f>SUM(B7:B14)</f>
        <v>8001.6722447686234</v>
      </c>
      <c r="C15" s="568">
        <f t="shared" ref="C15:R15" si="9">SUM(C7:C14)</f>
        <v>7507.9860896512582</v>
      </c>
      <c r="D15" s="568">
        <f t="shared" si="9"/>
        <v>7962.9611194855215</v>
      </c>
      <c r="E15" s="569">
        <f t="shared" si="9"/>
        <v>23472.619453905398</v>
      </c>
      <c r="F15" s="568">
        <f t="shared" si="9"/>
        <v>7787.6460222203204</v>
      </c>
      <c r="G15" s="568">
        <f t="shared" si="9"/>
        <v>7917.1411618623242</v>
      </c>
      <c r="H15" s="568">
        <f t="shared" si="9"/>
        <v>7839.556527471831</v>
      </c>
      <c r="I15" s="570">
        <f t="shared" si="9"/>
        <v>23544.343711554473</v>
      </c>
      <c r="J15" s="571">
        <f t="shared" si="9"/>
        <v>6691.7566996874111</v>
      </c>
      <c r="K15" s="571">
        <f t="shared" si="9"/>
        <v>8014.8764016142895</v>
      </c>
      <c r="L15" s="571">
        <f t="shared" si="9"/>
        <v>7550.2729918971345</v>
      </c>
      <c r="M15" s="570">
        <f t="shared" si="9"/>
        <v>22256.906093198832</v>
      </c>
      <c r="N15" s="571">
        <f t="shared" si="9"/>
        <v>6642.5544396856922</v>
      </c>
      <c r="O15" s="571">
        <f t="shared" si="9"/>
        <v>7605.4141853609754</v>
      </c>
      <c r="P15" s="571">
        <f t="shared" si="9"/>
        <v>8023.1593333362634</v>
      </c>
      <c r="Q15" s="570">
        <f t="shared" si="9"/>
        <v>22271.127958382931</v>
      </c>
      <c r="R15" s="572">
        <f t="shared" si="9"/>
        <v>91544.997217041659</v>
      </c>
      <c r="S15" s="573"/>
      <c r="U15" s="536"/>
      <c r="W15" s="546"/>
      <c r="Y15" s="536">
        <f t="shared" si="0"/>
        <v>0</v>
      </c>
    </row>
    <row r="16" spans="1:25" ht="19.5" customHeight="1">
      <c r="A16" s="326" t="s">
        <v>467</v>
      </c>
      <c r="E16" s="554"/>
      <c r="I16" s="555"/>
      <c r="J16" s="557"/>
      <c r="K16" s="557"/>
      <c r="L16" s="557"/>
      <c r="M16" s="555"/>
      <c r="N16" s="557"/>
      <c r="O16" s="557"/>
      <c r="P16" s="557"/>
      <c r="Q16" s="555"/>
      <c r="R16" s="558"/>
      <c r="U16" s="536"/>
      <c r="W16" s="546"/>
      <c r="Y16" s="536">
        <f t="shared" si="0"/>
        <v>0</v>
      </c>
    </row>
    <row r="17" spans="1:27" ht="19.5" customHeight="1">
      <c r="A17" s="326" t="s">
        <v>468</v>
      </c>
      <c r="B17" s="533">
        <f>+'[13]Data (64)'!C106</f>
        <v>850.71630054246953</v>
      </c>
      <c r="C17" s="533">
        <f>+'[13]Data (64)'!D106</f>
        <v>1054.1234624654658</v>
      </c>
      <c r="D17" s="533">
        <f>+'[13]Data (64)'!E106</f>
        <v>765.14181458944722</v>
      </c>
      <c r="E17" s="554">
        <f>+'[13]Data (64)'!F106</f>
        <v>2669.9815775973825</v>
      </c>
      <c r="F17" s="533">
        <f>+'[13]Data (64)'!G106</f>
        <v>826.69683224845369</v>
      </c>
      <c r="G17" s="533">
        <f>+'[13]Data (64)'!H106</f>
        <v>695.36641182481844</v>
      </c>
      <c r="H17" s="533">
        <f>+'[13]Data (64)'!I106</f>
        <v>814.5361523951957</v>
      </c>
      <c r="I17" s="555">
        <f>+'[13]Data (64)'!J106</f>
        <v>2336.5993964684676</v>
      </c>
      <c r="J17" s="557">
        <f>+'[13]Data (64)'!K106</f>
        <v>1092.2529474108871</v>
      </c>
      <c r="K17" s="557">
        <f>+'[13]Data (64)'!L106</f>
        <v>631.21191304783065</v>
      </c>
      <c r="L17" s="557">
        <f>+'[13]Data (64)'!M106</f>
        <v>1090.2321116549199</v>
      </c>
      <c r="M17" s="555">
        <f>+'[13]Data (64)'!N106</f>
        <v>2813.6969721136375</v>
      </c>
      <c r="N17" s="557">
        <f>+'[13]Data (64)'!O106</f>
        <v>1122.7637461852298</v>
      </c>
      <c r="O17" s="557">
        <f>+'[13]Data (64)'!P106</f>
        <v>510.26485695390517</v>
      </c>
      <c r="P17" s="557">
        <f>+'[13]Data (64)'!Q106</f>
        <v>821.81384814067997</v>
      </c>
      <c r="Q17" s="555">
        <f>+'[13]Data (64)'!R106</f>
        <v>2454.8424512798147</v>
      </c>
      <c r="R17" s="558">
        <f>+'[13]Data (64)'!S106</f>
        <v>10275.120397459305</v>
      </c>
      <c r="S17" s="574"/>
      <c r="W17" s="546"/>
      <c r="Y17" s="536">
        <f t="shared" si="0"/>
        <v>0</v>
      </c>
    </row>
    <row r="18" spans="1:27" ht="19.5" customHeight="1">
      <c r="A18" s="326" t="s">
        <v>469</v>
      </c>
      <c r="B18" s="533">
        <f>+'[13]Data (64)'!C117+'[13]Data (64)'!C206</f>
        <v>5631.6500888755063</v>
      </c>
      <c r="C18" s="533">
        <f>+'[13]Data (64)'!D117+'[13]Data (64)'!D206</f>
        <v>5119.9967884038288</v>
      </c>
      <c r="D18" s="533">
        <f>+'[13]Data (64)'!E117+'[13]Data (64)'!E206</f>
        <v>5684.9143924496066</v>
      </c>
      <c r="E18" s="554">
        <f t="shared" ref="E18:E24" si="10">SUM(B18:D18)</f>
        <v>16436.56126972894</v>
      </c>
      <c r="F18" s="533">
        <f>+'[13]Data (64)'!G117+'[13]Data (64)'!G206</f>
        <v>5592.5948416275724</v>
      </c>
      <c r="G18" s="533">
        <f>+'[13]Data (64)'!H117+'[13]Data (64)'!H206</f>
        <v>5838.7637734090276</v>
      </c>
      <c r="H18" s="533">
        <f>+'[13]Data (64)'!I117+'[13]Data (64)'!I206</f>
        <v>5625.2793036014154</v>
      </c>
      <c r="I18" s="555">
        <f t="shared" ref="I18:I24" si="11">SUM(F18:H18)</f>
        <v>17056.637918638015</v>
      </c>
      <c r="J18" s="575">
        <f>+'[13]Data (64)'!K117+'[13]Data (64)'!K206</f>
        <v>4330.6220023019505</v>
      </c>
      <c r="K18" s="575">
        <f>+'[13]Data (64)'!L117+'[13]Data (64)'!L206</f>
        <v>5900.5160345516042</v>
      </c>
      <c r="L18" s="575">
        <f>+'[13]Data (64)'!M117+'[13]Data (64)'!M206</f>
        <v>5154.7216860046829</v>
      </c>
      <c r="M18" s="555">
        <f t="shared" ref="M18:M24" si="12">SUM(J18:L18)</f>
        <v>15385.859722858237</v>
      </c>
      <c r="N18" s="575">
        <f>+'[13]Data (64)'!O117+'[13]Data (64)'!O206</f>
        <v>4139.0905364250975</v>
      </c>
      <c r="O18" s="575">
        <f>+'[13]Data (64)'!P117+'[13]Data (64)'!P206</f>
        <v>5413.8339158065774</v>
      </c>
      <c r="P18" s="575">
        <f>+'[13]Data (64)'!Q117+'[13]Data (64)'!Q206</f>
        <v>5510.4803371372736</v>
      </c>
      <c r="Q18" s="555">
        <f t="shared" ref="Q18:Q24" si="13">SUM(N18:P18)</f>
        <v>15063.404789368949</v>
      </c>
      <c r="R18" s="558">
        <f t="shared" ref="R18:R23" si="14">+E18+I18+M18+Q18</f>
        <v>63942.46370059414</v>
      </c>
      <c r="S18" s="536"/>
      <c r="W18" s="546"/>
      <c r="Y18" s="536">
        <f t="shared" si="0"/>
        <v>0</v>
      </c>
    </row>
    <row r="19" spans="1:27" ht="19.5" customHeight="1">
      <c r="A19" s="576" t="s">
        <v>470</v>
      </c>
      <c r="B19" s="563">
        <f>+'[13]Data (64)'!C123</f>
        <v>514.32514666999998</v>
      </c>
      <c r="C19" s="563">
        <f>+'[13]Data (64)'!D123</f>
        <v>495.14408816000002</v>
      </c>
      <c r="D19" s="563">
        <f>+'[13]Data (64)'!E123</f>
        <v>393.65570402999998</v>
      </c>
      <c r="E19" s="564">
        <f t="shared" si="10"/>
        <v>1403.1249388599999</v>
      </c>
      <c r="F19" s="563">
        <f>+'[13]Data (64)'!G123</f>
        <v>256.82621899484928</v>
      </c>
      <c r="G19" s="563">
        <f>+'[13]Data (64)'!H123</f>
        <v>244.08178603008281</v>
      </c>
      <c r="H19" s="563">
        <f>+'[13]Data (64)'!I123</f>
        <v>240.78664401014112</v>
      </c>
      <c r="I19" s="565">
        <f t="shared" si="11"/>
        <v>741.69464903507321</v>
      </c>
      <c r="J19" s="566">
        <f>+'[13]Data (64)'!K123</f>
        <v>239.03747784823506</v>
      </c>
      <c r="K19" s="566">
        <f>+'[13]Data (64)'!L123</f>
        <v>237.53875789953537</v>
      </c>
      <c r="L19" s="566">
        <f>+'[13]Data (64)'!M123</f>
        <v>223.5587169273237</v>
      </c>
      <c r="M19" s="565">
        <f t="shared" si="12"/>
        <v>700.13495267509415</v>
      </c>
      <c r="N19" s="566">
        <f>+'[13]Data (64)'!O123</f>
        <v>215.85840846002711</v>
      </c>
      <c r="O19" s="566">
        <f>+'[13]Data (64)'!P123</f>
        <v>272.22078666818805</v>
      </c>
      <c r="P19" s="566">
        <f>+'[13]Data (64)'!Q123</f>
        <v>255.62487361158486</v>
      </c>
      <c r="Q19" s="565">
        <f t="shared" si="13"/>
        <v>743.70406873980005</v>
      </c>
      <c r="R19" s="558">
        <f t="shared" si="14"/>
        <v>3588.6586093099677</v>
      </c>
      <c r="W19" s="546"/>
      <c r="Y19" s="536">
        <f t="shared" si="0"/>
        <v>0</v>
      </c>
    </row>
    <row r="20" spans="1:27" ht="19.5" customHeight="1">
      <c r="A20" s="326" t="s">
        <v>471</v>
      </c>
      <c r="B20" s="533">
        <f>+'[13]Data (64)'!C124</f>
        <v>-606.15851076937224</v>
      </c>
      <c r="C20" s="533">
        <f>+'[13]Data (64)'!D124</f>
        <v>-551.08708450004701</v>
      </c>
      <c r="D20" s="533">
        <f>+'[13]Data (64)'!E124</f>
        <v>-611.89157486641579</v>
      </c>
      <c r="E20" s="554">
        <f t="shared" si="10"/>
        <v>-1769.137170135835</v>
      </c>
      <c r="F20" s="533">
        <f>+'[13]Data (64)'!G124</f>
        <v>-601.95482798796127</v>
      </c>
      <c r="G20" s="533">
        <f>+'[13]Data (64)'!H124</f>
        <v>-628.45103970770072</v>
      </c>
      <c r="H20" s="533">
        <f>+'[13]Data (64)'!I124</f>
        <v>-605.47279598716261</v>
      </c>
      <c r="I20" s="555">
        <f t="shared" si="11"/>
        <v>-1835.8786636828245</v>
      </c>
      <c r="J20" s="557">
        <f>+'[13]Data (64)'!K124</f>
        <v>-466.12331060940971</v>
      </c>
      <c r="K20" s="557">
        <f>+'[13]Data (64)'!L124</f>
        <v>-635.09769886800007</v>
      </c>
      <c r="L20" s="557">
        <f>+'[13]Data (64)'!M124</f>
        <v>-554.82467328560233</v>
      </c>
      <c r="M20" s="555">
        <f t="shared" si="12"/>
        <v>-1656.0456827630121</v>
      </c>
      <c r="N20" s="557">
        <f>+'[13]Data (64)'!O124</f>
        <v>-445.50796230310715</v>
      </c>
      <c r="O20" s="557">
        <f>+'[13]Data (64)'!P124</f>
        <v>-582.71402735770687</v>
      </c>
      <c r="P20" s="557">
        <f>+'[13]Data (64)'!Q124</f>
        <v>-593.11649375751506</v>
      </c>
      <c r="Q20" s="555">
        <f t="shared" si="13"/>
        <v>-1621.3384834183289</v>
      </c>
      <c r="R20" s="558">
        <f t="shared" si="14"/>
        <v>-6882.4000000000005</v>
      </c>
      <c r="S20" s="536" t="s">
        <v>472</v>
      </c>
      <c r="W20" s="546"/>
      <c r="Y20" s="536">
        <f t="shared" si="0"/>
        <v>0</v>
      </c>
    </row>
    <row r="21" spans="1:27" ht="19.5" customHeight="1">
      <c r="A21" s="326" t="s">
        <v>473</v>
      </c>
      <c r="B21" s="533">
        <f>+'[13]Data (64)'!C125</f>
        <v>-39.308098328957115</v>
      </c>
      <c r="C21" s="533">
        <f>+'[13]Data (64)'!D125</f>
        <v>-35.504088813251585</v>
      </c>
      <c r="D21" s="533">
        <f>+'[13]Data (64)'!E125</f>
        <v>-39.308098328957115</v>
      </c>
      <c r="E21" s="554">
        <f t="shared" si="10"/>
        <v>-114.12028547116581</v>
      </c>
      <c r="F21" s="533">
        <f>+'[13]Data (64)'!G125</f>
        <v>-38.040095157055269</v>
      </c>
      <c r="G21" s="533">
        <f>+'[13]Data (64)'!H125</f>
        <v>-39.308098328957115</v>
      </c>
      <c r="H21" s="533">
        <f>+'[13]Data (64)'!I125</f>
        <v>-38.040095157055269</v>
      </c>
      <c r="I21" s="555">
        <f t="shared" si="11"/>
        <v>-115.38828864306765</v>
      </c>
      <c r="J21" s="557">
        <f>+'[13]Data (64)'!K125</f>
        <v>-39.308098328957115</v>
      </c>
      <c r="K21" s="557">
        <f>+'[13]Data (64)'!L125</f>
        <v>-39.308098328957115</v>
      </c>
      <c r="L21" s="557">
        <f>+'[13]Data (64)'!M125</f>
        <v>-38.040095157055269</v>
      </c>
      <c r="M21" s="555">
        <f t="shared" si="12"/>
        <v>-116.65629181496951</v>
      </c>
      <c r="N21" s="557">
        <f>+'[13]Data (64)'!O125</f>
        <v>-39.308098328957115</v>
      </c>
      <c r="O21" s="557">
        <f>+'[13]Data (64)'!P125</f>
        <v>-38.040095157055269</v>
      </c>
      <c r="P21" s="557">
        <f>+'[13]Data (64)'!Q125</f>
        <v>-39.308098328957115</v>
      </c>
      <c r="Q21" s="555">
        <f t="shared" si="13"/>
        <v>-116.65629181496949</v>
      </c>
      <c r="R21" s="558">
        <f t="shared" si="14"/>
        <v>-462.82115774417247</v>
      </c>
      <c r="W21" s="546"/>
      <c r="Y21" s="536">
        <f t="shared" si="0"/>
        <v>0</v>
      </c>
    </row>
    <row r="22" spans="1:27" s="577" customFormat="1" ht="19.5" customHeight="1">
      <c r="A22" s="577" t="s">
        <v>474</v>
      </c>
      <c r="B22" s="578">
        <f>+'[13]Data (64)'!C126</f>
        <v>395.00708397333329</v>
      </c>
      <c r="C22" s="578">
        <f>+'[13]Data (64)'!D126</f>
        <v>395.00708397333329</v>
      </c>
      <c r="D22" s="578">
        <f>+'[13]Data (64)'!E126</f>
        <v>395.00708397333329</v>
      </c>
      <c r="E22" s="579">
        <f t="shared" si="10"/>
        <v>1185.0212519199999</v>
      </c>
      <c r="F22" s="578">
        <f>+'[13]Data (64)'!G126</f>
        <v>395.00708397333329</v>
      </c>
      <c r="G22" s="578">
        <f>+'[13]Data (64)'!H126</f>
        <v>395.00708397333329</v>
      </c>
      <c r="H22" s="578">
        <f>+'[13]Data (64)'!I126</f>
        <v>395.00708397333329</v>
      </c>
      <c r="I22" s="580">
        <f t="shared" si="11"/>
        <v>1185.0212519199999</v>
      </c>
      <c r="J22" s="581">
        <f>+'[13]Data (64)'!K126</f>
        <v>395.00708397333329</v>
      </c>
      <c r="K22" s="581">
        <f>+'[13]Data (64)'!L126</f>
        <v>395.00708397333329</v>
      </c>
      <c r="L22" s="581">
        <f>+'[13]Data (64)'!M126</f>
        <v>395.00708397333329</v>
      </c>
      <c r="M22" s="580">
        <f t="shared" si="12"/>
        <v>1185.0212519199999</v>
      </c>
      <c r="N22" s="581">
        <f>+'[13]Data (64)'!O126</f>
        <v>395.00708397333329</v>
      </c>
      <c r="O22" s="581">
        <f>+'[13]Data (64)'!P126</f>
        <v>395.00708397333329</v>
      </c>
      <c r="P22" s="581">
        <f>+'[13]Data (64)'!Q126</f>
        <v>395.00708397333329</v>
      </c>
      <c r="Q22" s="580">
        <f t="shared" si="13"/>
        <v>1185.0212519199999</v>
      </c>
      <c r="R22" s="582">
        <f t="shared" si="14"/>
        <v>4740.0850076799998</v>
      </c>
      <c r="S22" s="583" t="s">
        <v>475</v>
      </c>
      <c r="U22" s="583"/>
      <c r="W22" s="584"/>
      <c r="Y22" s="583">
        <f t="shared" si="0"/>
        <v>0</v>
      </c>
    </row>
    <row r="23" spans="1:27" ht="19.5" customHeight="1">
      <c r="A23" s="326" t="s">
        <v>476</v>
      </c>
      <c r="B23" s="533">
        <f>+'[13]Data (64)'!C127</f>
        <v>880.1957963430591</v>
      </c>
      <c r="C23" s="533">
        <f>+'[13]Data (64)'!D127</f>
        <v>828.52152650646553</v>
      </c>
      <c r="D23" s="533">
        <f>+'[13]Data (64)'!E127</f>
        <v>893.06288894883915</v>
      </c>
      <c r="E23" s="554">
        <f t="shared" si="10"/>
        <v>2601.7802117983638</v>
      </c>
      <c r="F23" s="533">
        <f>+'[13]Data (64)'!G127</f>
        <v>887.27822215483434</v>
      </c>
      <c r="G23" s="533">
        <f>+'[13]Data (64)'!H127</f>
        <v>918.44552396957988</v>
      </c>
      <c r="H23" s="533">
        <f>+'[13]Data (64)'!I127</f>
        <v>900.80566892904858</v>
      </c>
      <c r="I23" s="555">
        <f t="shared" si="11"/>
        <v>2706.5294150534628</v>
      </c>
      <c r="J23" s="557">
        <f>+'[13]Data (64)'!K127</f>
        <v>767.68430367797043</v>
      </c>
      <c r="K23" s="557">
        <f>+'[13]Data (64)'!L127</f>
        <v>944.13243608857044</v>
      </c>
      <c r="L23" s="557">
        <f>+'[13]Data (64)'!M127</f>
        <v>873.20159069618478</v>
      </c>
      <c r="M23" s="555">
        <f t="shared" si="12"/>
        <v>2585.0183304627258</v>
      </c>
      <c r="N23" s="557">
        <f>+'[13]Data (64)'!O127</f>
        <v>795.02548034706319</v>
      </c>
      <c r="O23" s="557">
        <f>+'[13]Data (64)'!P127</f>
        <v>949.04746974368447</v>
      </c>
      <c r="P23" s="557">
        <f>+'[13]Data (64)'!Q127</f>
        <v>981.87116859952164</v>
      </c>
      <c r="Q23" s="555">
        <f t="shared" si="13"/>
        <v>2725.9441186902695</v>
      </c>
      <c r="R23" s="558">
        <f t="shared" si="14"/>
        <v>10619.272076004821</v>
      </c>
      <c r="S23" s="536">
        <f>+R23+R59</f>
        <v>10619.272076004821</v>
      </c>
      <c r="T23" s="585" t="s">
        <v>477</v>
      </c>
      <c r="U23" s="586">
        <f>+[14]ค่าใช้จ่ายทำการ62!$Q$49</f>
        <v>13154.813037822038</v>
      </c>
      <c r="W23" s="546" t="s">
        <v>478</v>
      </c>
      <c r="X23" s="326" t="s">
        <v>479</v>
      </c>
      <c r="Y23" s="536" t="s">
        <v>480</v>
      </c>
      <c r="Z23" s="326" t="s">
        <v>481</v>
      </c>
      <c r="AA23" s="326" t="s">
        <v>482</v>
      </c>
    </row>
    <row r="24" spans="1:27" ht="19.5" customHeight="1">
      <c r="A24" s="587"/>
      <c r="B24" s="588"/>
      <c r="C24" s="588"/>
      <c r="D24" s="588"/>
      <c r="E24" s="554">
        <f t="shared" si="10"/>
        <v>0</v>
      </c>
      <c r="F24" s="588"/>
      <c r="G24" s="588"/>
      <c r="H24" s="588"/>
      <c r="I24" s="555">
        <f t="shared" si="11"/>
        <v>0</v>
      </c>
      <c r="J24" s="589"/>
      <c r="K24" s="589"/>
      <c r="L24" s="589"/>
      <c r="M24" s="555">
        <f t="shared" si="12"/>
        <v>0</v>
      </c>
      <c r="N24" s="589"/>
      <c r="O24" s="589"/>
      <c r="P24" s="589"/>
      <c r="Q24" s="555">
        <f t="shared" si="13"/>
        <v>0</v>
      </c>
      <c r="R24" s="590"/>
      <c r="T24" s="591" t="s">
        <v>483</v>
      </c>
      <c r="U24" s="592"/>
      <c r="W24" s="546">
        <f>428.5+55</f>
        <v>483.5</v>
      </c>
      <c r="X24" s="326">
        <f>W24*36.2/1000</f>
        <v>17.502700000000001</v>
      </c>
      <c r="Y24" s="536">
        <f>+(X24+2.17+0.217+3.2566)*1.07</f>
        <v>24.766540999999997</v>
      </c>
      <c r="Z24" s="536">
        <f>Y24-18.13</f>
        <v>6.6365409999999976</v>
      </c>
      <c r="AA24" s="326">
        <f>Z24*11.8*12</f>
        <v>939.73420559999977</v>
      </c>
    </row>
    <row r="25" spans="1:27" ht="19.5" customHeight="1">
      <c r="A25" s="593" t="s">
        <v>484</v>
      </c>
      <c r="B25" s="594">
        <f>SUM(B17:B24)</f>
        <v>7626.4278073060395</v>
      </c>
      <c r="C25" s="594">
        <f t="shared" ref="C25:R25" si="15">SUM(C17:C24)</f>
        <v>7306.201776195795</v>
      </c>
      <c r="D25" s="594">
        <f t="shared" si="15"/>
        <v>7480.5822107958529</v>
      </c>
      <c r="E25" s="595">
        <f t="shared" si="15"/>
        <v>22413.211794297684</v>
      </c>
      <c r="F25" s="594">
        <f t="shared" si="15"/>
        <v>7318.4082758540262</v>
      </c>
      <c r="G25" s="594">
        <f t="shared" si="15"/>
        <v>7423.9054411701836</v>
      </c>
      <c r="H25" s="594">
        <f t="shared" si="15"/>
        <v>7332.9019617649165</v>
      </c>
      <c r="I25" s="596">
        <f t="shared" si="15"/>
        <v>22075.215678789129</v>
      </c>
      <c r="J25" s="597">
        <f t="shared" si="15"/>
        <v>6319.1724062740086</v>
      </c>
      <c r="K25" s="597">
        <f t="shared" si="15"/>
        <v>7434.0004283639155</v>
      </c>
      <c r="L25" s="597">
        <f t="shared" si="15"/>
        <v>7143.8564208137877</v>
      </c>
      <c r="M25" s="596">
        <f t="shared" si="15"/>
        <v>20897.029255451711</v>
      </c>
      <c r="N25" s="597">
        <f t="shared" si="15"/>
        <v>6182.9291947586871</v>
      </c>
      <c r="O25" s="597">
        <f t="shared" si="15"/>
        <v>6919.6199906309266</v>
      </c>
      <c r="P25" s="597">
        <f t="shared" si="15"/>
        <v>7332.3727193759205</v>
      </c>
      <c r="Q25" s="596">
        <f t="shared" si="15"/>
        <v>20434.921904765539</v>
      </c>
      <c r="R25" s="598">
        <f t="shared" si="15"/>
        <v>85820.378633304063</v>
      </c>
      <c r="T25" s="591" t="s">
        <v>485</v>
      </c>
      <c r="U25" s="599">
        <f>+'[13]Data (64)'!S234+'[13]Data (64)'!S241</f>
        <v>677.91676381000002</v>
      </c>
      <c r="W25" s="546"/>
      <c r="Y25" s="536">
        <f t="shared" si="0"/>
        <v>0</v>
      </c>
    </row>
    <row r="26" spans="1:27" ht="19.5" customHeight="1" thickBot="1">
      <c r="A26" s="326" t="s">
        <v>486</v>
      </c>
      <c r="B26" s="533">
        <f>+'[13]Data (64)'!C132</f>
        <v>1309.8192388099999</v>
      </c>
      <c r="C26" s="533">
        <f>+'[13]Data (64)'!D132</f>
        <v>1309.8192388099999</v>
      </c>
      <c r="D26" s="533">
        <f>+'[13]Data (64)'!E132</f>
        <v>1309.8192388099999</v>
      </c>
      <c r="E26" s="554">
        <f>+B26</f>
        <v>1309.8192388099999</v>
      </c>
      <c r="F26" s="533">
        <f>+'[13]Data (64)'!G132</f>
        <v>1309.8192388099999</v>
      </c>
      <c r="G26" s="533">
        <f>+'[13]Data (64)'!H132</f>
        <v>1309.8192388099999</v>
      </c>
      <c r="H26" s="533">
        <f>+'[13]Data (64)'!I132</f>
        <v>1309.8192388099999</v>
      </c>
      <c r="I26" s="555">
        <f>+F26</f>
        <v>1309.8192388099999</v>
      </c>
      <c r="J26" s="557">
        <f>+'[13]Data (64)'!K132</f>
        <v>1309.8192388099999</v>
      </c>
      <c r="K26" s="557">
        <f>+'[13]Data (64)'!L132</f>
        <v>1309.8192388099999</v>
      </c>
      <c r="L26" s="557">
        <f>+'[13]Data (64)'!M132</f>
        <v>1309.8192388099999</v>
      </c>
      <c r="M26" s="555">
        <f>+J26</f>
        <v>1309.8192388099999</v>
      </c>
      <c r="N26" s="557">
        <f>+'[13]Data (64)'!O132</f>
        <v>1309.8192388099999</v>
      </c>
      <c r="O26" s="557">
        <f>+'[13]Data (64)'!P132</f>
        <v>1309.8192388099999</v>
      </c>
      <c r="P26" s="557">
        <f>+'[13]Data (64)'!Q132</f>
        <v>1309.8192388099999</v>
      </c>
      <c r="Q26" s="555">
        <f>+N26</f>
        <v>1309.8192388099999</v>
      </c>
      <c r="R26" s="558">
        <f>+E26</f>
        <v>1309.8192388099999</v>
      </c>
      <c r="T26" s="600"/>
      <c r="U26" s="601">
        <f>SUM(U23:U25)</f>
        <v>13832.729801632038</v>
      </c>
      <c r="W26" s="546"/>
      <c r="Y26" s="536"/>
    </row>
    <row r="27" spans="1:27" ht="19.5" customHeight="1" thickTop="1">
      <c r="A27" s="326" t="s">
        <v>487</v>
      </c>
      <c r="B27" s="533">
        <f>+'[13]Data (64)'!C133</f>
        <v>1309.8192388099999</v>
      </c>
      <c r="C27" s="533">
        <f>+'[13]Data (64)'!D133</f>
        <v>1309.8192388099999</v>
      </c>
      <c r="D27" s="533">
        <f>+'[13]Data (64)'!E133</f>
        <v>1309.8192388099999</v>
      </c>
      <c r="E27" s="554">
        <f>+D27</f>
        <v>1309.8192388099999</v>
      </c>
      <c r="F27" s="533">
        <f>+'[13]Data (64)'!G133</f>
        <v>1309.8192388099999</v>
      </c>
      <c r="G27" s="533">
        <f>+'[13]Data (64)'!H133</f>
        <v>1309.8192388099999</v>
      </c>
      <c r="H27" s="533">
        <f>+'[13]Data (64)'!I133</f>
        <v>1309.8192388099999</v>
      </c>
      <c r="I27" s="555">
        <f>+H27</f>
        <v>1309.8192388099999</v>
      </c>
      <c r="J27" s="557">
        <f>+'[13]Data (64)'!K133</f>
        <v>1309.8192388099999</v>
      </c>
      <c r="K27" s="557">
        <f>+'[13]Data (64)'!L133</f>
        <v>1309.8192388099999</v>
      </c>
      <c r="L27" s="557">
        <f>+'[13]Data (64)'!M133</f>
        <v>1309.8192388099999</v>
      </c>
      <c r="M27" s="555">
        <f>+L27</f>
        <v>1309.8192388099999</v>
      </c>
      <c r="N27" s="557">
        <f>+'[13]Data (64)'!O133</f>
        <v>1309.8192388099999</v>
      </c>
      <c r="O27" s="557">
        <f>+'[13]Data (64)'!P133</f>
        <v>1309.8192388099999</v>
      </c>
      <c r="P27" s="557">
        <f>+'[13]Data (64)'!Q133</f>
        <v>1309.8192388099999</v>
      </c>
      <c r="Q27" s="555">
        <f>+P27</f>
        <v>1309.8192388099999</v>
      </c>
      <c r="R27" s="558">
        <f>+Q27</f>
        <v>1309.8192388099999</v>
      </c>
      <c r="T27" s="602" t="s">
        <v>488</v>
      </c>
      <c r="U27" s="603">
        <f>+S23-U26</f>
        <v>-3213.4577256272169</v>
      </c>
      <c r="V27" s="326" t="s">
        <v>489</v>
      </c>
      <c r="W27" s="546"/>
      <c r="Y27" s="536"/>
    </row>
    <row r="28" spans="1:27" ht="19.5" customHeight="1">
      <c r="A28" s="567" t="s">
        <v>490</v>
      </c>
      <c r="B28" s="946">
        <f>+B25+B26-B27</f>
        <v>7626.4278073060395</v>
      </c>
      <c r="C28" s="568">
        <f t="shared" ref="C28:R28" si="16">+C25+C26-C27</f>
        <v>7306.2017761957959</v>
      </c>
      <c r="D28" s="568">
        <f t="shared" si="16"/>
        <v>7480.5822107958538</v>
      </c>
      <c r="E28" s="569">
        <f t="shared" si="16"/>
        <v>22413.211794297684</v>
      </c>
      <c r="F28" s="568">
        <f t="shared" si="16"/>
        <v>7318.4082758540262</v>
      </c>
      <c r="G28" s="568">
        <f t="shared" si="16"/>
        <v>7423.9054411701836</v>
      </c>
      <c r="H28" s="568">
        <f t="shared" si="16"/>
        <v>7332.9019617649174</v>
      </c>
      <c r="I28" s="570">
        <f t="shared" si="16"/>
        <v>22075.215678789129</v>
      </c>
      <c r="J28" s="571">
        <f t="shared" si="16"/>
        <v>6319.1724062740086</v>
      </c>
      <c r="K28" s="571">
        <f t="shared" si="16"/>
        <v>7434.0004283639155</v>
      </c>
      <c r="L28" s="571">
        <f t="shared" si="16"/>
        <v>7143.8564208137886</v>
      </c>
      <c r="M28" s="570">
        <f t="shared" si="16"/>
        <v>20897.029255451711</v>
      </c>
      <c r="N28" s="571">
        <f t="shared" si="16"/>
        <v>6182.9291947586871</v>
      </c>
      <c r="O28" s="571">
        <f t="shared" si="16"/>
        <v>6919.6199906309266</v>
      </c>
      <c r="P28" s="571">
        <f t="shared" si="16"/>
        <v>7332.3727193759205</v>
      </c>
      <c r="Q28" s="570">
        <f t="shared" si="16"/>
        <v>20434.921904765539</v>
      </c>
      <c r="R28" s="572">
        <f t="shared" si="16"/>
        <v>85820.378633304063</v>
      </c>
      <c r="W28" s="546"/>
      <c r="Y28" s="536"/>
    </row>
    <row r="29" spans="1:27" ht="19.5" customHeight="1">
      <c r="A29" s="604" t="s">
        <v>491</v>
      </c>
      <c r="B29" s="605">
        <f>+B15-B28</f>
        <v>375.24443746258385</v>
      </c>
      <c r="C29" s="605">
        <f t="shared" ref="C29:R29" si="17">+C15-C28</f>
        <v>201.78431345546232</v>
      </c>
      <c r="D29" s="605">
        <f t="shared" si="17"/>
        <v>482.3789086896677</v>
      </c>
      <c r="E29" s="606">
        <f t="shared" si="17"/>
        <v>1059.4076596077139</v>
      </c>
      <c r="F29" s="605">
        <f t="shared" si="17"/>
        <v>469.23774636629423</v>
      </c>
      <c r="G29" s="605">
        <f t="shared" si="17"/>
        <v>493.2357206921406</v>
      </c>
      <c r="H29" s="605">
        <f t="shared" si="17"/>
        <v>506.65456570691367</v>
      </c>
      <c r="I29" s="607">
        <f t="shared" si="17"/>
        <v>1469.128032765344</v>
      </c>
      <c r="J29" s="608">
        <f t="shared" si="17"/>
        <v>372.58429341340252</v>
      </c>
      <c r="K29" s="608">
        <f t="shared" si="17"/>
        <v>580.87597325037405</v>
      </c>
      <c r="L29" s="608">
        <f t="shared" si="17"/>
        <v>406.41657108334584</v>
      </c>
      <c r="M29" s="607">
        <f t="shared" si="17"/>
        <v>1359.8768377471206</v>
      </c>
      <c r="N29" s="608">
        <f t="shared" si="17"/>
        <v>459.62524492700504</v>
      </c>
      <c r="O29" s="608">
        <f t="shared" si="17"/>
        <v>685.79419473004873</v>
      </c>
      <c r="P29" s="608">
        <f t="shared" si="17"/>
        <v>690.78661396034295</v>
      </c>
      <c r="Q29" s="607">
        <f t="shared" si="17"/>
        <v>1836.2060536173922</v>
      </c>
      <c r="R29" s="572">
        <f t="shared" si="17"/>
        <v>5724.6185837375961</v>
      </c>
      <c r="U29" s="536"/>
      <c r="V29" s="609"/>
      <c r="W29" s="536"/>
      <c r="Y29" s="536"/>
    </row>
    <row r="30" spans="1:27" ht="19.5" hidden="1" customHeight="1">
      <c r="A30" s="326" t="s">
        <v>492</v>
      </c>
      <c r="E30" s="554"/>
      <c r="I30" s="555"/>
      <c r="J30" s="557"/>
      <c r="K30" s="557"/>
      <c r="L30" s="557"/>
      <c r="M30" s="555"/>
      <c r="N30" s="557"/>
      <c r="O30" s="557"/>
      <c r="P30" s="557"/>
      <c r="Q30" s="555"/>
      <c r="R30" s="558"/>
      <c r="W30" s="546"/>
      <c r="Y30" s="536"/>
    </row>
    <row r="31" spans="1:27" ht="19.5" customHeight="1">
      <c r="A31" s="326" t="s">
        <v>493</v>
      </c>
      <c r="B31" s="947">
        <f>+'[13]Data (64)'!C135</f>
        <v>119.85103211219598</v>
      </c>
      <c r="C31" s="533">
        <f>+'[13]Data (64)'!D135</f>
        <v>121.33678870862818</v>
      </c>
      <c r="D31" s="533">
        <f>+'[13]Data (64)'!E135</f>
        <v>122.97112096470357</v>
      </c>
      <c r="E31" s="554">
        <f t="shared" ref="E31:E34" si="18">SUM(B31:D31)</f>
        <v>364.15894178552776</v>
      </c>
      <c r="F31" s="533">
        <f>+'[13]Data (64)'!G135</f>
        <v>138.45050357864332</v>
      </c>
      <c r="G31" s="533">
        <f>+'[13]Data (64)'!H135</f>
        <v>125.1220287781496</v>
      </c>
      <c r="H31" s="533">
        <f>+'[13]Data (64)'!I135</f>
        <v>127.4567891439716</v>
      </c>
      <c r="I31" s="555">
        <f t="shared" ref="I31:I34" si="19">SUM(F31:H31)</f>
        <v>391.02932150076452</v>
      </c>
      <c r="J31" s="557">
        <f>+'[13]Data (64)'!K135</f>
        <v>130.18067623743059</v>
      </c>
      <c r="K31" s="557">
        <f>+'[13]Data (64)'!L135</f>
        <v>133.44934074958141</v>
      </c>
      <c r="L31" s="557">
        <f>+'[13]Data (64)'!M135</f>
        <v>137.53517138976989</v>
      </c>
      <c r="M31" s="555">
        <f t="shared" ref="M31:M34" si="20">SUM(J31:L31)</f>
        <v>401.16518837678188</v>
      </c>
      <c r="N31" s="557">
        <f>+'[13]Data (64)'!O135</f>
        <v>151.15460685706486</v>
      </c>
      <c r="O31" s="557">
        <f>+'[13]Data (64)'!P135</f>
        <v>158.50910200940419</v>
      </c>
      <c r="P31" s="557">
        <f>+'[13]Data (64)'!Q135</f>
        <v>168.31509554585656</v>
      </c>
      <c r="Q31" s="555">
        <f t="shared" ref="Q31:Q34" si="21">SUM(N31:P31)</f>
        <v>477.97880441232564</v>
      </c>
      <c r="R31" s="558">
        <f>+E31+I31+M31+Q31</f>
        <v>1634.3322560754</v>
      </c>
      <c r="U31" s="610" t="s">
        <v>494</v>
      </c>
      <c r="V31" s="611">
        <f>'[13]Data (64)'!V147</f>
        <v>1396.7574880635746</v>
      </c>
      <c r="W31" s="612"/>
      <c r="Y31" s="536"/>
    </row>
    <row r="32" spans="1:27" ht="19.5" customHeight="1">
      <c r="A32" s="326" t="s">
        <v>358</v>
      </c>
      <c r="B32" s="947">
        <f>+'[13]Data (64)'!C139</f>
        <v>116.39645733863121</v>
      </c>
      <c r="C32" s="533">
        <f>+'[13]Data (64)'!D139</f>
        <v>116.39645733863121</v>
      </c>
      <c r="D32" s="533">
        <f>+'[13]Data (64)'!E139</f>
        <v>116.39645733863121</v>
      </c>
      <c r="E32" s="554">
        <f t="shared" si="18"/>
        <v>349.18937201589364</v>
      </c>
      <c r="F32" s="533">
        <f>+'[13]Data (64)'!G139</f>
        <v>116.39645733863121</v>
      </c>
      <c r="G32" s="533">
        <f>+'[13]Data (64)'!H139</f>
        <v>116.39645733863121</v>
      </c>
      <c r="H32" s="533">
        <f>+'[13]Data (64)'!I139</f>
        <v>116.39645733863121</v>
      </c>
      <c r="I32" s="555">
        <f t="shared" si="19"/>
        <v>349.18937201589364</v>
      </c>
      <c r="J32" s="557">
        <f>+'[13]Data (64)'!K139</f>
        <v>116.39645733863121</v>
      </c>
      <c r="K32" s="557">
        <f>+'[13]Data (64)'!L139</f>
        <v>116.39645733863121</v>
      </c>
      <c r="L32" s="557">
        <f>+'[13]Data (64)'!M139</f>
        <v>116.39645733863121</v>
      </c>
      <c r="M32" s="555">
        <f t="shared" si="20"/>
        <v>349.18937201589364</v>
      </c>
      <c r="N32" s="557">
        <f>+'[13]Data (64)'!O139</f>
        <v>116.39645733863121</v>
      </c>
      <c r="O32" s="557">
        <f>+'[13]Data (64)'!P139</f>
        <v>116.39645733863121</v>
      </c>
      <c r="P32" s="557">
        <f>+'[13]Data (64)'!Q139</f>
        <v>116.39645733863121</v>
      </c>
      <c r="Q32" s="555">
        <f t="shared" si="21"/>
        <v>349.18937201589364</v>
      </c>
      <c r="R32" s="558">
        <f>+E32+I32+M32+Q32</f>
        <v>1396.7574880635746</v>
      </c>
      <c r="S32" s="536"/>
      <c r="T32" s="536"/>
      <c r="U32" s="613" t="s">
        <v>495</v>
      </c>
      <c r="V32" s="614">
        <f>+R32-V31</f>
        <v>0</v>
      </c>
      <c r="W32" s="546"/>
      <c r="X32" s="536"/>
      <c r="Y32" s="536"/>
    </row>
    <row r="33" spans="1:25" ht="19.5" hidden="1" customHeight="1">
      <c r="A33" s="326" t="s">
        <v>496</v>
      </c>
      <c r="B33" s="947"/>
      <c r="E33" s="554">
        <f t="shared" si="18"/>
        <v>0</v>
      </c>
      <c r="I33" s="555">
        <f t="shared" si="19"/>
        <v>0</v>
      </c>
      <c r="J33" s="557"/>
      <c r="K33" s="557"/>
      <c r="L33" s="557"/>
      <c r="M33" s="555">
        <f t="shared" si="20"/>
        <v>0</v>
      </c>
      <c r="N33" s="557"/>
      <c r="O33" s="557"/>
      <c r="P33" s="557"/>
      <c r="Q33" s="555">
        <f t="shared" si="21"/>
        <v>0</v>
      </c>
      <c r="R33" s="558">
        <f>+E33+I33+M33+Q33</f>
        <v>0</v>
      </c>
      <c r="U33" s="536"/>
      <c r="V33" s="609"/>
      <c r="W33" s="546"/>
      <c r="Y33" s="536"/>
    </row>
    <row r="34" spans="1:25" s="577" customFormat="1" ht="19.5" customHeight="1">
      <c r="A34" s="577" t="s">
        <v>497</v>
      </c>
      <c r="B34" s="947">
        <f>+'[13]Data (64)'!C140</f>
        <v>88.512279260000014</v>
      </c>
      <c r="C34" s="578">
        <f>+'[13]Data (64)'!D140</f>
        <v>88.512279260000014</v>
      </c>
      <c r="D34" s="578">
        <f>+'[13]Data (64)'!E140</f>
        <v>88.512279260000014</v>
      </c>
      <c r="E34" s="579">
        <f t="shared" si="18"/>
        <v>265.53683778000004</v>
      </c>
      <c r="F34" s="578">
        <f>+'[13]Data (64)'!G140</f>
        <v>88.512279260000014</v>
      </c>
      <c r="G34" s="578">
        <f>+'[13]Data (64)'!H140</f>
        <v>88.512279260000014</v>
      </c>
      <c r="H34" s="578">
        <f>+'[13]Data (64)'!I140</f>
        <v>88.512279260000014</v>
      </c>
      <c r="I34" s="580">
        <f t="shared" si="19"/>
        <v>265.53683778000004</v>
      </c>
      <c r="J34" s="615">
        <f>+'[13]Data (64)'!K140</f>
        <v>88.512279260000014</v>
      </c>
      <c r="K34" s="615">
        <f>+'[13]Data (64)'!L140</f>
        <v>88.512279260000014</v>
      </c>
      <c r="L34" s="615">
        <f>+'[13]Data (64)'!M140</f>
        <v>88.512279260000014</v>
      </c>
      <c r="M34" s="580">
        <f t="shared" si="20"/>
        <v>265.53683778000004</v>
      </c>
      <c r="N34" s="615">
        <f>+'[13]Data (64)'!O140</f>
        <v>88.512279260000014</v>
      </c>
      <c r="O34" s="615">
        <f>+'[13]Data (64)'!P140</f>
        <v>88.512279260000014</v>
      </c>
      <c r="P34" s="615">
        <f>+'[13]Data (64)'!Q140</f>
        <v>88.512279260000014</v>
      </c>
      <c r="Q34" s="580">
        <f t="shared" si="21"/>
        <v>265.53683778000004</v>
      </c>
      <c r="R34" s="582">
        <f>+E34+I34+M34+Q34</f>
        <v>1062.1473511200002</v>
      </c>
      <c r="T34" s="583"/>
      <c r="U34" s="583"/>
      <c r="V34" s="583"/>
      <c r="W34" s="584"/>
      <c r="X34" s="583"/>
      <c r="Y34" s="583"/>
    </row>
    <row r="35" spans="1:25" ht="19.5" hidden="1" customHeight="1">
      <c r="A35" s="326" t="s">
        <v>498</v>
      </c>
      <c r="E35" s="554"/>
      <c r="I35" s="555"/>
      <c r="J35" s="557"/>
      <c r="K35" s="557"/>
      <c r="L35" s="557"/>
      <c r="M35" s="555"/>
      <c r="N35" s="557"/>
      <c r="O35" s="557"/>
      <c r="P35" s="557"/>
      <c r="Q35" s="555"/>
      <c r="R35" s="558">
        <f>+E35+I35+M35+Q35</f>
        <v>0</v>
      </c>
      <c r="W35" s="546"/>
      <c r="Y35" s="536"/>
    </row>
    <row r="36" spans="1:25" ht="19.5" customHeight="1">
      <c r="A36" s="567" t="s">
        <v>499</v>
      </c>
      <c r="B36" s="568">
        <f>+B29-SUM(B30:B35)</f>
        <v>50.484668751756658</v>
      </c>
      <c r="C36" s="568">
        <f t="shared" ref="C36:H36" si="22">+C29-SUM(C30:C35)</f>
        <v>-124.46121185179709</v>
      </c>
      <c r="D36" s="568">
        <f t="shared" si="22"/>
        <v>154.49905112633292</v>
      </c>
      <c r="E36" s="569">
        <f t="shared" si="22"/>
        <v>80.522508026292371</v>
      </c>
      <c r="F36" s="568">
        <f t="shared" si="22"/>
        <v>125.87850618901967</v>
      </c>
      <c r="G36" s="568">
        <f t="shared" si="22"/>
        <v>163.20495531535977</v>
      </c>
      <c r="H36" s="568">
        <f t="shared" si="22"/>
        <v>174.28903996431086</v>
      </c>
      <c r="I36" s="570">
        <f t="shared" ref="I36:R36" si="23">+I29-SUM(I30:I35)</f>
        <v>463.37250146868575</v>
      </c>
      <c r="J36" s="571">
        <f t="shared" si="23"/>
        <v>37.494880577340723</v>
      </c>
      <c r="K36" s="571">
        <f t="shared" si="23"/>
        <v>242.5178959021614</v>
      </c>
      <c r="L36" s="571">
        <f t="shared" si="23"/>
        <v>63.972663094944721</v>
      </c>
      <c r="M36" s="570">
        <f t="shared" si="23"/>
        <v>343.98543957444508</v>
      </c>
      <c r="N36" s="571">
        <f t="shared" si="23"/>
        <v>103.56190147130894</v>
      </c>
      <c r="O36" s="571">
        <f t="shared" si="23"/>
        <v>322.37635612201331</v>
      </c>
      <c r="P36" s="571">
        <f t="shared" si="23"/>
        <v>317.56278181585515</v>
      </c>
      <c r="Q36" s="570">
        <f t="shared" si="23"/>
        <v>743.50103940917279</v>
      </c>
      <c r="R36" s="572">
        <f t="shared" si="23"/>
        <v>1631.3814884786216</v>
      </c>
      <c r="U36" s="536"/>
      <c r="V36" s="536"/>
      <c r="W36" s="546"/>
      <c r="Y36" s="536"/>
    </row>
    <row r="37" spans="1:25" ht="19.5" customHeight="1">
      <c r="A37" s="326" t="s">
        <v>359</v>
      </c>
      <c r="B37" s="533">
        <f>+'[13]Data (64)'!C144</f>
        <v>20.735799101111283</v>
      </c>
      <c r="C37" s="533">
        <f>+'[13]Data (64)'!D144</f>
        <v>20.189405503764817</v>
      </c>
      <c r="D37" s="533">
        <f>+'[13]Data (64)'!E144</f>
        <v>21.022897432783857</v>
      </c>
      <c r="E37" s="554">
        <f t="shared" ref="E37:E39" si="24">SUM(B37:D37)</f>
        <v>61.948102037659957</v>
      </c>
      <c r="F37" s="533">
        <f>+'[13]Data (64)'!G144</f>
        <v>20.879297262924968</v>
      </c>
      <c r="G37" s="533">
        <f>+'[13]Data (64)'!H144</f>
        <v>21.499178065626026</v>
      </c>
      <c r="H37" s="533">
        <f>+'[13]Data (64)'!I144</f>
        <v>20.739603232879645</v>
      </c>
      <c r="I37" s="555">
        <f t="shared" ref="I37:I39" si="25">SUM(F37:H37)</f>
        <v>63.118078561430636</v>
      </c>
      <c r="J37" s="557">
        <f>+'[13]Data (64)'!K144</f>
        <v>21.153410704808817</v>
      </c>
      <c r="K37" s="557">
        <f>+'[13]Data (64)'!L144</f>
        <v>21.278797409437026</v>
      </c>
      <c r="L37" s="557">
        <f>+'[13]Data (64)'!M144</f>
        <v>20.576904903296533</v>
      </c>
      <c r="M37" s="555">
        <f t="shared" ref="M37:M39" si="26">SUM(J37:L37)</f>
        <v>63.009113017542376</v>
      </c>
      <c r="N37" s="557">
        <f>+'[13]Data (64)'!O144</f>
        <v>20.745887746607707</v>
      </c>
      <c r="O37" s="557">
        <f>+'[13]Data (64)'!P144</f>
        <v>20.291051016094119</v>
      </c>
      <c r="P37" s="557">
        <f>+'[13]Data (64)'!Q144</f>
        <v>18.995873282545084</v>
      </c>
      <c r="Q37" s="555">
        <f t="shared" ref="Q37:Q41" si="27">SUM(N37:P37)</f>
        <v>60.032812045246907</v>
      </c>
      <c r="R37" s="558">
        <f>+E37+I37+M37+Q37</f>
        <v>248.10810566187988</v>
      </c>
      <c r="U37" s="536"/>
      <c r="V37" s="609"/>
      <c r="W37" s="546"/>
      <c r="Y37" s="536"/>
    </row>
    <row r="38" spans="1:25" s="616" customFormat="1" ht="19.5" hidden="1" customHeight="1">
      <c r="A38" s="616" t="s">
        <v>500</v>
      </c>
      <c r="B38" s="617"/>
      <c r="C38" s="617"/>
      <c r="D38" s="617"/>
      <c r="E38" s="554">
        <f t="shared" si="24"/>
        <v>0</v>
      </c>
      <c r="F38" s="617"/>
      <c r="G38" s="617"/>
      <c r="H38" s="617"/>
      <c r="I38" s="555">
        <f t="shared" si="25"/>
        <v>0</v>
      </c>
      <c r="J38" s="618"/>
      <c r="K38" s="618"/>
      <c r="L38" s="618"/>
      <c r="M38" s="555">
        <f t="shared" si="26"/>
        <v>0</v>
      </c>
      <c r="N38" s="618"/>
      <c r="O38" s="618"/>
      <c r="P38" s="618"/>
      <c r="Q38" s="555">
        <f t="shared" si="27"/>
        <v>0</v>
      </c>
      <c r="R38" s="558">
        <f>+E38+I38+M38+Q38</f>
        <v>0</v>
      </c>
      <c r="V38" s="619"/>
      <c r="W38" s="546"/>
      <c r="Y38" s="536"/>
    </row>
    <row r="39" spans="1:25" ht="19.5" customHeight="1">
      <c r="A39" s="326" t="s">
        <v>501</v>
      </c>
      <c r="B39" s="533">
        <f>+'[13]Data (64)'!C141</f>
        <v>0</v>
      </c>
      <c r="C39" s="533">
        <f>+'[13]Data (64)'!D141</f>
        <v>0</v>
      </c>
      <c r="D39" s="533">
        <f>+'[13]Data (64)'!E141</f>
        <v>0</v>
      </c>
      <c r="E39" s="554">
        <f t="shared" si="24"/>
        <v>0</v>
      </c>
      <c r="F39" s="533">
        <f>+'[13]Data (64)'!G141</f>
        <v>0</v>
      </c>
      <c r="G39" s="533">
        <f>+'[13]Data (64)'!H141</f>
        <v>0</v>
      </c>
      <c r="H39" s="533">
        <f>+'[13]Data (64)'!I141</f>
        <v>0</v>
      </c>
      <c r="I39" s="555">
        <f t="shared" si="25"/>
        <v>0</v>
      </c>
      <c r="J39" s="557">
        <f>+'[13]Data (64)'!K141</f>
        <v>0</v>
      </c>
      <c r="K39" s="557">
        <f>+'[13]Data (64)'!L141</f>
        <v>0</v>
      </c>
      <c r="L39" s="557">
        <f>+'[13]Data (64)'!M141</f>
        <v>0</v>
      </c>
      <c r="M39" s="555">
        <f t="shared" si="26"/>
        <v>0</v>
      </c>
      <c r="N39" s="557">
        <f>+'[13]Data (64)'!O141</f>
        <v>0</v>
      </c>
      <c r="O39" s="557">
        <f>+'[13]Data (64)'!P141</f>
        <v>0</v>
      </c>
      <c r="P39" s="557">
        <f>+'[13]Data (64)'!Q141</f>
        <v>0</v>
      </c>
      <c r="Q39" s="555">
        <f t="shared" si="27"/>
        <v>0</v>
      </c>
      <c r="R39" s="558">
        <f>+E39+I39+M39+Q39</f>
        <v>0</v>
      </c>
      <c r="U39" s="536"/>
      <c r="V39" s="609"/>
      <c r="W39" s="546"/>
      <c r="Y39" s="536"/>
    </row>
    <row r="40" spans="1:25" ht="19.5" customHeight="1">
      <c r="A40" s="567" t="s">
        <v>502</v>
      </c>
      <c r="B40" s="945">
        <f>SUM(B36:B39)</f>
        <v>71.220467852867941</v>
      </c>
      <c r="C40" s="568">
        <f t="shared" ref="C40:H40" si="28">SUM(C36:C39)</f>
        <v>-104.27180634803227</v>
      </c>
      <c r="D40" s="568">
        <f t="shared" si="28"/>
        <v>175.52194855911677</v>
      </c>
      <c r="E40" s="569">
        <f t="shared" si="28"/>
        <v>142.47061006395234</v>
      </c>
      <c r="F40" s="568">
        <f t="shared" si="28"/>
        <v>146.75780345194465</v>
      </c>
      <c r="G40" s="568">
        <f t="shared" si="28"/>
        <v>184.70413338098581</v>
      </c>
      <c r="H40" s="568">
        <f t="shared" si="28"/>
        <v>195.02864319719049</v>
      </c>
      <c r="I40" s="570">
        <f t="shared" ref="I40:R40" si="29">SUM(I36:I39)</f>
        <v>526.49058003011635</v>
      </c>
      <c r="J40" s="571">
        <f t="shared" si="29"/>
        <v>58.648291282149543</v>
      </c>
      <c r="K40" s="571">
        <f t="shared" si="29"/>
        <v>263.7966933115984</v>
      </c>
      <c r="L40" s="571">
        <f t="shared" si="29"/>
        <v>84.549567998241258</v>
      </c>
      <c r="M40" s="570">
        <f t="shared" si="29"/>
        <v>406.99455259198749</v>
      </c>
      <c r="N40" s="571">
        <f t="shared" si="29"/>
        <v>124.30778921791665</v>
      </c>
      <c r="O40" s="571">
        <f t="shared" si="29"/>
        <v>342.66740713810742</v>
      </c>
      <c r="P40" s="571">
        <f t="shared" si="29"/>
        <v>336.55865509840021</v>
      </c>
      <c r="Q40" s="570">
        <f t="shared" si="29"/>
        <v>803.53385145441973</v>
      </c>
      <c r="R40" s="572">
        <f t="shared" si="29"/>
        <v>1879.4895941405014</v>
      </c>
      <c r="S40" s="620"/>
      <c r="U40" s="536"/>
      <c r="V40" s="609"/>
      <c r="W40" s="546"/>
      <c r="Y40" s="536"/>
    </row>
    <row r="41" spans="1:25" ht="19.5" customHeight="1">
      <c r="A41" s="326" t="s">
        <v>503</v>
      </c>
      <c r="B41" s="533">
        <f>+'[13]Data (64)'!C142</f>
        <v>0</v>
      </c>
      <c r="C41" s="533">
        <f>+'[13]Data (64)'!D142</f>
        <v>0</v>
      </c>
      <c r="D41" s="533">
        <f>+'[13]Data (64)'!E142</f>
        <v>0</v>
      </c>
      <c r="E41" s="554">
        <f t="shared" ref="E41" si="30">SUM(B41:D41)</f>
        <v>0</v>
      </c>
      <c r="F41" s="533">
        <f>+'[13]Data (64)'!G142</f>
        <v>0</v>
      </c>
      <c r="G41" s="533">
        <f>+'[13]Data (64)'!H142</f>
        <v>0</v>
      </c>
      <c r="H41" s="533">
        <f>+'[13]Data (64)'!I142</f>
        <v>0</v>
      </c>
      <c r="I41" s="555">
        <f t="shared" ref="I41" si="31">SUM(F41:H41)</f>
        <v>0</v>
      </c>
      <c r="J41" s="557">
        <f>+'[13]Data (64)'!K142</f>
        <v>0</v>
      </c>
      <c r="K41" s="557">
        <f>+'[13]Data (64)'!L142</f>
        <v>0</v>
      </c>
      <c r="L41" s="557">
        <f>+'[13]Data (64)'!M142</f>
        <v>0</v>
      </c>
      <c r="M41" s="555">
        <f t="shared" ref="M41" si="32">SUM(J41:L41)</f>
        <v>0</v>
      </c>
      <c r="N41" s="557">
        <f>+'[13]Data (64)'!O142</f>
        <v>0</v>
      </c>
      <c r="O41" s="557">
        <f>+'[13]Data (64)'!P142</f>
        <v>0</v>
      </c>
      <c r="P41" s="557">
        <f>+'[13]Data (64)'!Q142</f>
        <v>0</v>
      </c>
      <c r="Q41" s="555">
        <f t="shared" si="27"/>
        <v>0</v>
      </c>
      <c r="R41" s="558">
        <f>+E41+I41+M41+Q41</f>
        <v>0</v>
      </c>
      <c r="U41" s="536"/>
      <c r="W41" s="546"/>
      <c r="Y41" s="536"/>
    </row>
    <row r="42" spans="1:25" s="616" customFormat="1" ht="19.5" hidden="1" customHeight="1">
      <c r="A42" s="616" t="s">
        <v>504</v>
      </c>
      <c r="B42" s="617"/>
      <c r="C42" s="617"/>
      <c r="D42" s="617"/>
      <c r="E42" s="554"/>
      <c r="F42" s="617"/>
      <c r="G42" s="617"/>
      <c r="H42" s="617"/>
      <c r="I42" s="555"/>
      <c r="J42" s="618"/>
      <c r="K42" s="618"/>
      <c r="L42" s="618"/>
      <c r="M42" s="555"/>
      <c r="N42" s="618"/>
      <c r="O42" s="618"/>
      <c r="P42" s="618"/>
      <c r="Q42" s="555"/>
      <c r="R42" s="558">
        <f>+E42+I42+M42+Q42</f>
        <v>0</v>
      </c>
      <c r="V42" s="619"/>
      <c r="W42" s="546"/>
      <c r="Y42" s="536"/>
    </row>
    <row r="43" spans="1:25" ht="19.5" customHeight="1" thickBot="1">
      <c r="A43" s="621" t="s">
        <v>505</v>
      </c>
      <c r="B43" s="622">
        <f>+B40-B41-B42</f>
        <v>71.220467852867941</v>
      </c>
      <c r="C43" s="622">
        <f t="shared" ref="C43:Q43" si="33">+C40-C41-C42</f>
        <v>-104.27180634803227</v>
      </c>
      <c r="D43" s="622">
        <f t="shared" si="33"/>
        <v>175.52194855911677</v>
      </c>
      <c r="E43" s="623">
        <f t="shared" si="33"/>
        <v>142.47061006395234</v>
      </c>
      <c r="F43" s="622">
        <f t="shared" si="33"/>
        <v>146.75780345194465</v>
      </c>
      <c r="G43" s="622">
        <f t="shared" si="33"/>
        <v>184.70413338098581</v>
      </c>
      <c r="H43" s="622">
        <f t="shared" si="33"/>
        <v>195.02864319719049</v>
      </c>
      <c r="I43" s="624">
        <f t="shared" si="33"/>
        <v>526.49058003011635</v>
      </c>
      <c r="J43" s="625">
        <f t="shared" si="33"/>
        <v>58.648291282149543</v>
      </c>
      <c r="K43" s="625">
        <f t="shared" si="33"/>
        <v>263.7966933115984</v>
      </c>
      <c r="L43" s="625">
        <f t="shared" si="33"/>
        <v>84.549567998241258</v>
      </c>
      <c r="M43" s="624">
        <f t="shared" si="33"/>
        <v>406.99455259198749</v>
      </c>
      <c r="N43" s="625">
        <f t="shared" si="33"/>
        <v>124.30778921791665</v>
      </c>
      <c r="O43" s="625">
        <f t="shared" si="33"/>
        <v>342.66740713810742</v>
      </c>
      <c r="P43" s="625">
        <f t="shared" si="33"/>
        <v>336.55865509840021</v>
      </c>
      <c r="Q43" s="624">
        <f t="shared" si="33"/>
        <v>803.53385145441973</v>
      </c>
      <c r="R43" s="626">
        <f>+R40-R41-R42</f>
        <v>1879.4895941405014</v>
      </c>
      <c r="S43" s="620"/>
      <c r="T43" s="536"/>
      <c r="U43" s="536"/>
      <c r="V43" s="536"/>
      <c r="W43" s="627"/>
      <c r="Y43" s="536"/>
    </row>
    <row r="44" spans="1:25" s="628" customFormat="1" ht="19.5" customHeight="1" thickTop="1">
      <c r="A44" s="628" t="s">
        <v>506</v>
      </c>
      <c r="B44" s="629">
        <f>+B15-(B28-B22)-(B57+B49)+B52-B58</f>
        <v>547.67069865175677</v>
      </c>
      <c r="C44" s="629">
        <f t="shared" ref="C44:D44" si="34">+C15-(C28-C22)-(C57+C49)+C52-C58</f>
        <v>372.72481804820308</v>
      </c>
      <c r="D44" s="629">
        <f t="shared" si="34"/>
        <v>651.68508102633302</v>
      </c>
      <c r="E44" s="630">
        <f>SUM(B44:D44)</f>
        <v>1572.080597726293</v>
      </c>
      <c r="F44" s="629">
        <f>+F15-(F28-F22)-(F57+F49)+F52-F58</f>
        <v>623.06453608901973</v>
      </c>
      <c r="G44" s="629">
        <f t="shared" ref="G44:H44" si="35">+G15-(G28-G22)-(G57+G49)+G52-G58</f>
        <v>660.39098521535982</v>
      </c>
      <c r="H44" s="629">
        <f t="shared" si="35"/>
        <v>671.47506986431097</v>
      </c>
      <c r="I44" s="631">
        <f>SUM(F44:H44)</f>
        <v>1954.9305911686906</v>
      </c>
      <c r="J44" s="632">
        <f>+J15-(J28-J22)-(J57+J49)+J52-J58</f>
        <v>534.68091047734083</v>
      </c>
      <c r="K44" s="632">
        <f t="shared" ref="K44:L44" si="36">+K15-(K28-K22)-(K57+K49)+K52-K58</f>
        <v>739.70392580216151</v>
      </c>
      <c r="L44" s="632">
        <f t="shared" si="36"/>
        <v>561.15869299494477</v>
      </c>
      <c r="M44" s="631">
        <f>SUM(J44:L44)</f>
        <v>1835.5435292744473</v>
      </c>
      <c r="N44" s="632">
        <f>+N15-(N28-N22)-(N57+N49)+N52-N58</f>
        <v>600.74793137130905</v>
      </c>
      <c r="O44" s="632">
        <f t="shared" ref="O44:P44" si="37">+O15-(O28-O22)-(O57+O49)+O52-O58</f>
        <v>819.56238602201336</v>
      </c>
      <c r="P44" s="632">
        <f t="shared" si="37"/>
        <v>814.74881171585525</v>
      </c>
      <c r="Q44" s="631">
        <f>SUM(N44:P44)</f>
        <v>2235.0591291091778</v>
      </c>
      <c r="R44" s="633">
        <f>+E44+I44+M44+Q44</f>
        <v>7597.6138472786088</v>
      </c>
      <c r="S44" s="620"/>
      <c r="Y44" s="536"/>
    </row>
    <row r="45" spans="1:25">
      <c r="A45" s="326"/>
      <c r="B45" s="948">
        <f>B28+SUM(B31:B34)</f>
        <v>7951.1875760168668</v>
      </c>
      <c r="C45" s="948">
        <f>C28+SUM(C31:C34)</f>
        <v>7632.4473015030553</v>
      </c>
      <c r="D45" s="948">
        <f t="shared" ref="D45:R45" si="38">D28+SUM(D31:D34)</f>
        <v>7808.4620683591884</v>
      </c>
      <c r="E45" s="948">
        <f t="shared" si="38"/>
        <v>23392.096945879104</v>
      </c>
      <c r="F45" s="948">
        <f t="shared" si="38"/>
        <v>7661.7675160313011</v>
      </c>
      <c r="G45" s="948">
        <f t="shared" si="38"/>
        <v>7753.9362065469641</v>
      </c>
      <c r="H45" s="948">
        <f t="shared" si="38"/>
        <v>7665.2674875075199</v>
      </c>
      <c r="I45" s="948">
        <f t="shared" si="38"/>
        <v>23080.971210085787</v>
      </c>
      <c r="J45" s="948">
        <f t="shared" si="38"/>
        <v>6654.2618191100701</v>
      </c>
      <c r="K45" s="948">
        <f t="shared" si="38"/>
        <v>7772.3585057121281</v>
      </c>
      <c r="L45" s="948">
        <f t="shared" si="38"/>
        <v>7486.3003288021901</v>
      </c>
      <c r="M45" s="948">
        <f t="shared" si="38"/>
        <v>21912.920653624387</v>
      </c>
      <c r="N45" s="948">
        <f t="shared" si="38"/>
        <v>6538.9925382143829</v>
      </c>
      <c r="O45" s="948">
        <f t="shared" si="38"/>
        <v>7283.0378292389623</v>
      </c>
      <c r="P45" s="948">
        <f t="shared" si="38"/>
        <v>7705.596551520408</v>
      </c>
      <c r="Q45" s="948">
        <f t="shared" si="38"/>
        <v>21527.626918973758</v>
      </c>
      <c r="R45" s="948">
        <f t="shared" si="38"/>
        <v>89913.615728563032</v>
      </c>
      <c r="S45" s="620"/>
      <c r="T45" s="635" t="s">
        <v>507</v>
      </c>
    </row>
    <row r="46" spans="1:25">
      <c r="A46" s="326" t="s">
        <v>358</v>
      </c>
      <c r="B46" s="533">
        <v>1062.88944993</v>
      </c>
      <c r="C46" s="533">
        <v>577.31245358000001</v>
      </c>
      <c r="D46" s="533">
        <v>163.47424297000003</v>
      </c>
      <c r="F46" s="533">
        <v>-443.18912188999997</v>
      </c>
      <c r="G46" s="533">
        <v>-64.333327730000008</v>
      </c>
      <c r="H46" s="533">
        <v>31.649078549999999</v>
      </c>
      <c r="I46" s="634"/>
      <c r="J46" s="534"/>
      <c r="K46" s="534"/>
      <c r="L46" s="534"/>
      <c r="M46" s="534"/>
      <c r="N46" s="534"/>
      <c r="O46" s="534"/>
      <c r="P46" s="534"/>
      <c r="Q46" s="534"/>
    </row>
    <row r="47" spans="1:25">
      <c r="A47" s="326" t="s">
        <v>357</v>
      </c>
      <c r="B47" s="533">
        <f>+'[13]Data (64)'!C147</f>
        <v>116.39645733863121</v>
      </c>
      <c r="C47" s="533">
        <f>+'[13]Data (64)'!D147</f>
        <v>116.39645733863121</v>
      </c>
      <c r="D47" s="533">
        <f>+'[13]Data (64)'!E147</f>
        <v>116.39645733863121</v>
      </c>
      <c r="E47" s="533">
        <f>SUM(B47:D47)</f>
        <v>349.18937201589364</v>
      </c>
      <c r="F47" s="533">
        <f>+'[13]Data (64)'!G147</f>
        <v>116.39645733863121</v>
      </c>
      <c r="G47" s="533">
        <f>+'[13]Data (64)'!H147</f>
        <v>116.39645733863121</v>
      </c>
      <c r="H47" s="533">
        <f>+'[13]Data (64)'!I147</f>
        <v>116.39645733863121</v>
      </c>
      <c r="I47" s="534">
        <f>SUM(F47:H47)</f>
        <v>349.18937201589364</v>
      </c>
      <c r="J47" s="534">
        <f>+'[13]Data (64)'!K147</f>
        <v>116.39645733863121</v>
      </c>
      <c r="K47" s="534">
        <f>+'[13]Data (64)'!L147</f>
        <v>116.39645733863121</v>
      </c>
      <c r="L47" s="534">
        <f>+'[13]Data (64)'!M147</f>
        <v>116.39645733863121</v>
      </c>
      <c r="M47" s="534">
        <f>SUM(J47:L47)</f>
        <v>349.18937201589364</v>
      </c>
      <c r="N47" s="534">
        <f>+'[13]Data (64)'!O147</f>
        <v>116.39645733863121</v>
      </c>
      <c r="O47" s="534">
        <f>+'[13]Data (64)'!P147</f>
        <v>116.39645733863121</v>
      </c>
      <c r="P47" s="534">
        <f>+'[13]Data (64)'!Q147</f>
        <v>116.39645733863121</v>
      </c>
      <c r="Q47" s="534">
        <f>SUM(N47:P47)</f>
        <v>349.18937201589364</v>
      </c>
      <c r="R47" s="535">
        <f>+E47+I47+M47+Q47</f>
        <v>1396.7574880635746</v>
      </c>
    </row>
    <row r="48" spans="1:25" hidden="1">
      <c r="A48" s="326" t="s">
        <v>356</v>
      </c>
      <c r="B48" s="533">
        <f>+'[13]Data (64)'!C148</f>
        <v>0</v>
      </c>
      <c r="C48" s="533">
        <f>+'[13]Data (64)'!D148</f>
        <v>0</v>
      </c>
      <c r="D48" s="533">
        <f>+'[13]Data (64)'!E148</f>
        <v>0</v>
      </c>
      <c r="E48" s="533">
        <f>SUM(B48:D48)</f>
        <v>0</v>
      </c>
      <c r="F48" s="533">
        <f>+'[13]Data (64)'!G148</f>
        <v>0</v>
      </c>
      <c r="G48" s="533">
        <f>+'[13]Data (64)'!H148</f>
        <v>0</v>
      </c>
      <c r="H48" s="533">
        <f>+'[13]Data (64)'!I148</f>
        <v>0</v>
      </c>
      <c r="I48" s="534">
        <f>SUM(F48:H48)</f>
        <v>0</v>
      </c>
      <c r="J48" s="534">
        <f>+'[13]Data (64)'!K148</f>
        <v>0</v>
      </c>
      <c r="K48" s="534">
        <f>+'[13]Data (64)'!L148</f>
        <v>0</v>
      </c>
      <c r="L48" s="534">
        <f>+'[13]Data (64)'!M148</f>
        <v>0</v>
      </c>
      <c r="M48" s="534">
        <f>SUM(J48:L48)</f>
        <v>0</v>
      </c>
      <c r="N48" s="534">
        <f>+'[13]Data (64)'!O148</f>
        <v>0</v>
      </c>
      <c r="O48" s="534">
        <f>+'[13]Data (64)'!P148</f>
        <v>0</v>
      </c>
      <c r="P48" s="534">
        <f>+'[13]Data (64)'!Q148</f>
        <v>0</v>
      </c>
      <c r="Q48" s="534">
        <f>SUM(N48:P48)</f>
        <v>0</v>
      </c>
      <c r="R48" s="535">
        <f>+E48+I48+M48+Q48</f>
        <v>0</v>
      </c>
    </row>
    <row r="49" spans="1:18" ht="22" thickBot="1">
      <c r="A49" s="326"/>
      <c r="B49" s="636">
        <f t="shared" ref="B49:I49" si="39">SUM(B47:B48)</f>
        <v>116.39645733863121</v>
      </c>
      <c r="C49" s="636">
        <f t="shared" si="39"/>
        <v>116.39645733863121</v>
      </c>
      <c r="D49" s="636">
        <f t="shared" si="39"/>
        <v>116.39645733863121</v>
      </c>
      <c r="E49" s="636">
        <f t="shared" si="39"/>
        <v>349.18937201589364</v>
      </c>
      <c r="F49" s="636">
        <f t="shared" si="39"/>
        <v>116.39645733863121</v>
      </c>
      <c r="G49" s="636">
        <f t="shared" si="39"/>
        <v>116.39645733863121</v>
      </c>
      <c r="H49" s="636">
        <f t="shared" si="39"/>
        <v>116.39645733863121</v>
      </c>
      <c r="I49" s="637">
        <f t="shared" si="39"/>
        <v>349.18937201589364</v>
      </c>
      <c r="J49" s="637">
        <f t="shared" ref="J49:R49" si="40">SUM(J47:J48)</f>
        <v>116.39645733863121</v>
      </c>
      <c r="K49" s="637">
        <f t="shared" si="40"/>
        <v>116.39645733863121</v>
      </c>
      <c r="L49" s="637">
        <f t="shared" si="40"/>
        <v>116.39645733863121</v>
      </c>
      <c r="M49" s="637">
        <f t="shared" si="40"/>
        <v>349.18937201589364</v>
      </c>
      <c r="N49" s="637">
        <f t="shared" si="40"/>
        <v>116.39645733863121</v>
      </c>
      <c r="O49" s="637">
        <f t="shared" si="40"/>
        <v>116.39645733863121</v>
      </c>
      <c r="P49" s="637">
        <f t="shared" si="40"/>
        <v>116.39645733863121</v>
      </c>
      <c r="Q49" s="637">
        <f t="shared" si="40"/>
        <v>349.18937201589364</v>
      </c>
      <c r="R49" s="638">
        <f t="shared" si="40"/>
        <v>1396.7574880635746</v>
      </c>
    </row>
    <row r="50" spans="1:18" s="642" customFormat="1" thickTop="1">
      <c r="A50" s="316" t="s">
        <v>344</v>
      </c>
      <c r="B50" s="639">
        <f t="shared" ref="B50:R50" si="41">+B32-B49</f>
        <v>0</v>
      </c>
      <c r="C50" s="639">
        <f t="shared" si="41"/>
        <v>0</v>
      </c>
      <c r="D50" s="639">
        <f t="shared" si="41"/>
        <v>0</v>
      </c>
      <c r="E50" s="639">
        <f t="shared" si="41"/>
        <v>0</v>
      </c>
      <c r="F50" s="639">
        <f t="shared" si="41"/>
        <v>0</v>
      </c>
      <c r="G50" s="639">
        <f t="shared" si="41"/>
        <v>0</v>
      </c>
      <c r="H50" s="639">
        <f t="shared" si="41"/>
        <v>0</v>
      </c>
      <c r="I50" s="640">
        <f t="shared" si="41"/>
        <v>0</v>
      </c>
      <c r="J50" s="640">
        <f t="shared" si="41"/>
        <v>0</v>
      </c>
      <c r="K50" s="640">
        <f t="shared" si="41"/>
        <v>0</v>
      </c>
      <c r="L50" s="640">
        <f t="shared" si="41"/>
        <v>0</v>
      </c>
      <c r="M50" s="640">
        <f t="shared" si="41"/>
        <v>0</v>
      </c>
      <c r="N50" s="640">
        <f t="shared" si="41"/>
        <v>0</v>
      </c>
      <c r="O50" s="640">
        <f t="shared" si="41"/>
        <v>0</v>
      </c>
      <c r="P50" s="640">
        <f t="shared" si="41"/>
        <v>0</v>
      </c>
      <c r="Q50" s="640">
        <f t="shared" si="41"/>
        <v>0</v>
      </c>
      <c r="R50" s="641">
        <f t="shared" si="41"/>
        <v>0</v>
      </c>
    </row>
    <row r="51" spans="1:18">
      <c r="A51" s="313" t="s">
        <v>354</v>
      </c>
      <c r="I51" s="534"/>
      <c r="J51" s="534"/>
      <c r="K51" s="534"/>
      <c r="L51" s="534"/>
      <c r="M51" s="534"/>
      <c r="N51" s="534"/>
      <c r="O51" s="534"/>
      <c r="P51" s="534"/>
      <c r="Q51" s="534"/>
    </row>
    <row r="52" spans="1:18">
      <c r="A52" s="313" t="s">
        <v>508</v>
      </c>
      <c r="B52" s="533">
        <f>+'[13]Data (64)'!C152</f>
        <v>13.666666666666666</v>
      </c>
      <c r="C52" s="533">
        <f>+'[13]Data (64)'!D152</f>
        <v>13.666666666666666</v>
      </c>
      <c r="D52" s="533">
        <f>+'[13]Data (64)'!E152</f>
        <v>13.666666666666666</v>
      </c>
      <c r="E52" s="533">
        <f>SUM(B52:D52)</f>
        <v>41</v>
      </c>
      <c r="F52" s="533">
        <f>+'[13]Data (64)'!G152</f>
        <v>13.666666666666666</v>
      </c>
      <c r="G52" s="533">
        <f>+'[13]Data (64)'!H152</f>
        <v>13.666666666666666</v>
      </c>
      <c r="H52" s="533">
        <f>+'[13]Data (64)'!I152</f>
        <v>13.666666666666666</v>
      </c>
      <c r="I52" s="534">
        <f>SUM(F52:H52)</f>
        <v>41</v>
      </c>
      <c r="J52" s="534">
        <f>+'[13]Data (64)'!K152</f>
        <v>13.666666666666666</v>
      </c>
      <c r="K52" s="534">
        <f>+'[13]Data (64)'!L152</f>
        <v>13.666666666666666</v>
      </c>
      <c r="L52" s="534">
        <f>+'[13]Data (64)'!M152</f>
        <v>13.666666666666666</v>
      </c>
      <c r="M52" s="534">
        <f>SUM(J52:L52)</f>
        <v>41</v>
      </c>
      <c r="N52" s="534">
        <f>+'[13]Data (64)'!O152</f>
        <v>13.666666666666666</v>
      </c>
      <c r="O52" s="534">
        <f>+'[13]Data (64)'!P152</f>
        <v>13.666666666666666</v>
      </c>
      <c r="P52" s="534">
        <f>+'[13]Data (64)'!Q152</f>
        <v>13.666666666666666</v>
      </c>
      <c r="Q52" s="534">
        <f>SUM(N52:P52)</f>
        <v>41</v>
      </c>
      <c r="R52" s="535">
        <f>+E52+I52+M52+Q52</f>
        <v>164</v>
      </c>
    </row>
    <row r="53" spans="1:18">
      <c r="A53" s="313" t="s">
        <v>352</v>
      </c>
      <c r="B53" s="533">
        <f>+'[13]Data (64)'!C153</f>
        <v>7.0691324344446169</v>
      </c>
      <c r="C53" s="533">
        <f>+'[13]Data (64)'!D153</f>
        <v>6.5227388370981503</v>
      </c>
      <c r="D53" s="533">
        <f>+'[13]Data (64)'!E153</f>
        <v>7.3562307661171911</v>
      </c>
      <c r="E53" s="533">
        <f>SUM(B53:D53)</f>
        <v>20.948102037659957</v>
      </c>
      <c r="F53" s="533">
        <f>+'[13]Data (64)'!G153</f>
        <v>7.2126305962583013</v>
      </c>
      <c r="G53" s="533">
        <f>+'[13]Data (64)'!H153</f>
        <v>7.8325113989593582</v>
      </c>
      <c r="H53" s="533">
        <f>+'[13]Data (64)'!I153</f>
        <v>7.0729365662129782</v>
      </c>
      <c r="I53" s="534">
        <f>SUM(F53:H53)</f>
        <v>22.118078561430636</v>
      </c>
      <c r="J53" s="534">
        <f>+'[13]Data (64)'!K153</f>
        <v>7.4867440381421506</v>
      </c>
      <c r="K53" s="534">
        <f>+'[13]Data (64)'!L153</f>
        <v>7.6121307427703577</v>
      </c>
      <c r="L53" s="534">
        <f>+'[13]Data (64)'!M153</f>
        <v>6.9102382366298665</v>
      </c>
      <c r="M53" s="534">
        <f>SUM(J53:L53)</f>
        <v>22.009113017542376</v>
      </c>
      <c r="N53" s="534">
        <f>+'[13]Data (64)'!O153</f>
        <v>7.0792210799410391</v>
      </c>
      <c r="O53" s="534">
        <f>+'[13]Data (64)'!P153</f>
        <v>6.6243843494274524</v>
      </c>
      <c r="P53" s="534">
        <f>+'[13]Data (64)'!Q153</f>
        <v>5.3292066158784195</v>
      </c>
      <c r="Q53" s="534">
        <f>SUM(N53:P53)</f>
        <v>19.03281204524691</v>
      </c>
      <c r="R53" s="535">
        <f>+E53+I53+M53+Q53</f>
        <v>84.108105661879875</v>
      </c>
    </row>
    <row r="54" spans="1:18" ht="22" thickBot="1">
      <c r="A54" s="326"/>
      <c r="B54" s="636">
        <f t="shared" ref="B54:I54" si="42">SUM(B52:B53)</f>
        <v>20.735799101111283</v>
      </c>
      <c r="C54" s="636">
        <f t="shared" si="42"/>
        <v>20.189405503764817</v>
      </c>
      <c r="D54" s="636">
        <f t="shared" si="42"/>
        <v>21.022897432783857</v>
      </c>
      <c r="E54" s="636">
        <f t="shared" si="42"/>
        <v>61.948102037659957</v>
      </c>
      <c r="F54" s="636">
        <f t="shared" si="42"/>
        <v>20.879297262924968</v>
      </c>
      <c r="G54" s="636">
        <f t="shared" si="42"/>
        <v>21.499178065626026</v>
      </c>
      <c r="H54" s="636">
        <f t="shared" si="42"/>
        <v>20.739603232879645</v>
      </c>
      <c r="I54" s="637">
        <f t="shared" si="42"/>
        <v>63.118078561430636</v>
      </c>
      <c r="J54" s="637">
        <f t="shared" ref="J54:R54" si="43">SUM(J52:J53)</f>
        <v>21.153410704808817</v>
      </c>
      <c r="K54" s="637">
        <f t="shared" si="43"/>
        <v>21.278797409437026</v>
      </c>
      <c r="L54" s="637">
        <f t="shared" si="43"/>
        <v>20.576904903296533</v>
      </c>
      <c r="M54" s="637">
        <f t="shared" si="43"/>
        <v>63.009113017542376</v>
      </c>
      <c r="N54" s="637">
        <f t="shared" si="43"/>
        <v>20.745887746607707</v>
      </c>
      <c r="O54" s="637">
        <f t="shared" si="43"/>
        <v>20.291051016094119</v>
      </c>
      <c r="P54" s="637">
        <f t="shared" si="43"/>
        <v>18.995873282545084</v>
      </c>
      <c r="Q54" s="637">
        <f t="shared" si="43"/>
        <v>60.032812045246914</v>
      </c>
      <c r="R54" s="638">
        <f t="shared" si="43"/>
        <v>248.10810566187988</v>
      </c>
    </row>
    <row r="55" spans="1:18" s="642" customFormat="1" thickTop="1">
      <c r="A55" s="316" t="s">
        <v>344</v>
      </c>
      <c r="B55" s="639">
        <f>+B54-'[13]Data (64)'!C154</f>
        <v>0</v>
      </c>
      <c r="C55" s="639">
        <f>+C54-'[13]Data (64)'!D154</f>
        <v>0</v>
      </c>
      <c r="D55" s="639">
        <f>+D54-'[13]Data (64)'!E154</f>
        <v>0</v>
      </c>
      <c r="E55" s="639">
        <f>+E54-'[13]Data (64)'!F154</f>
        <v>0</v>
      </c>
      <c r="F55" s="639">
        <f>+F54-'[13]Data (64)'!G154</f>
        <v>0</v>
      </c>
      <c r="G55" s="639">
        <f>+G54-'[13]Data (64)'!H154</f>
        <v>0</v>
      </c>
      <c r="H55" s="639">
        <f>+H54-'[13]Data (64)'!I154</f>
        <v>0</v>
      </c>
      <c r="I55" s="640">
        <f>+I54-'[13]Data (64)'!J154</f>
        <v>0</v>
      </c>
      <c r="J55" s="640">
        <f>+J54-'[13]Data (64)'!K154</f>
        <v>0</v>
      </c>
      <c r="K55" s="640">
        <f>+K54-'[13]Data (64)'!L154</f>
        <v>0</v>
      </c>
      <c r="L55" s="640">
        <f>+L54-'[13]Data (64)'!M154</f>
        <v>0</v>
      </c>
      <c r="M55" s="640">
        <f>+M54-'[13]Data (64)'!N154</f>
        <v>0</v>
      </c>
      <c r="N55" s="640">
        <f>+N54-'[13]Data (64)'!O154</f>
        <v>0</v>
      </c>
      <c r="O55" s="640">
        <f>+O54-'[13]Data (64)'!P154</f>
        <v>0</v>
      </c>
      <c r="P55" s="640">
        <f>+P54-'[13]Data (64)'!Q154</f>
        <v>0</v>
      </c>
      <c r="Q55" s="640">
        <f>+Q54-'[13]Data (64)'!R154</f>
        <v>0</v>
      </c>
      <c r="R55" s="641">
        <f>+R54-'[13]Data (64)'!S154</f>
        <v>0</v>
      </c>
    </row>
    <row r="56" spans="1:18">
      <c r="A56" s="326" t="s">
        <v>350</v>
      </c>
      <c r="I56" s="534"/>
      <c r="J56" s="534"/>
      <c r="K56" s="534"/>
      <c r="L56" s="534"/>
      <c r="M56" s="534"/>
      <c r="N56" s="534"/>
      <c r="O56" s="534"/>
      <c r="P56" s="534"/>
      <c r="Q56" s="534"/>
    </row>
    <row r="57" spans="1:18">
      <c r="A57" s="326" t="s">
        <v>349</v>
      </c>
      <c r="B57" s="533">
        <f>+'[13]Data (64)'!C157</f>
        <v>119.85103211219598</v>
      </c>
      <c r="C57" s="533">
        <f>+'[13]Data (64)'!D157</f>
        <v>121.33678870862818</v>
      </c>
      <c r="D57" s="533">
        <f>+'[13]Data (64)'!E157</f>
        <v>122.97112096470357</v>
      </c>
      <c r="E57" s="533">
        <f>SUM(B57:D57)</f>
        <v>364.15894178552776</v>
      </c>
      <c r="F57" s="533">
        <f>+'[13]Data (64)'!G157</f>
        <v>138.45050357864332</v>
      </c>
      <c r="G57" s="533">
        <f>+'[13]Data (64)'!H157</f>
        <v>125.1220287781496</v>
      </c>
      <c r="H57" s="533">
        <f>+'[13]Data (64)'!I157</f>
        <v>127.4567891439716</v>
      </c>
      <c r="I57" s="534">
        <f>SUM(F57:H57)</f>
        <v>391.02932150076452</v>
      </c>
      <c r="J57" s="534">
        <f>+'[13]Data (64)'!K157</f>
        <v>130.18067623743059</v>
      </c>
      <c r="K57" s="534">
        <f>+'[13]Data (64)'!L157</f>
        <v>133.44934074958141</v>
      </c>
      <c r="L57" s="534">
        <f>+'[13]Data (64)'!M157</f>
        <v>137.53517138976989</v>
      </c>
      <c r="M57" s="534">
        <f>SUM(J57:L57)</f>
        <v>401.16518837678188</v>
      </c>
      <c r="N57" s="534">
        <f>+'[13]Data (64)'!O157</f>
        <v>151.15460685706486</v>
      </c>
      <c r="O57" s="534">
        <f>+'[13]Data (64)'!P157</f>
        <v>158.50910200940419</v>
      </c>
      <c r="P57" s="534">
        <f>+'[13]Data (64)'!Q157</f>
        <v>168.31509554585656</v>
      </c>
      <c r="Q57" s="534">
        <f>SUM(N57:P57)</f>
        <v>477.97880441232564</v>
      </c>
      <c r="R57" s="535">
        <f>+E57+I57+M57+Q57</f>
        <v>1634.3322560754</v>
      </c>
    </row>
    <row r="58" spans="1:18">
      <c r="A58" s="326" t="s">
        <v>509</v>
      </c>
      <c r="B58" s="533">
        <f>+'[13]Data (64)'!C158</f>
        <v>0</v>
      </c>
      <c r="C58" s="533">
        <f>+'[13]Data (64)'!D158</f>
        <v>0</v>
      </c>
      <c r="D58" s="533">
        <f>+'[13]Data (64)'!E158</f>
        <v>0</v>
      </c>
      <c r="E58" s="533">
        <f t="shared" ref="E58" si="44">SUM(B58:D58)</f>
        <v>0</v>
      </c>
      <c r="F58" s="533">
        <f>+'[13]Data (64)'!G158</f>
        <v>0</v>
      </c>
      <c r="G58" s="533">
        <f>+'[13]Data (64)'!H158</f>
        <v>0</v>
      </c>
      <c r="H58" s="533">
        <f>+'[13]Data (64)'!I158</f>
        <v>0</v>
      </c>
      <c r="I58" s="534">
        <f t="shared" ref="I58" si="45">SUM(F58:H58)</f>
        <v>0</v>
      </c>
      <c r="J58" s="534">
        <f>+'[13]Data (64)'!K158</f>
        <v>0</v>
      </c>
      <c r="K58" s="534">
        <f>+'[13]Data (64)'!L158</f>
        <v>0</v>
      </c>
      <c r="L58" s="534">
        <f>+'[13]Data (64)'!M158</f>
        <v>0</v>
      </c>
      <c r="M58" s="534">
        <f t="shared" ref="M58" si="46">SUM(J58:L58)</f>
        <v>0</v>
      </c>
      <c r="N58" s="534">
        <f>+'[13]Data (64)'!O158</f>
        <v>0</v>
      </c>
      <c r="O58" s="534">
        <f>+'[13]Data (64)'!P158</f>
        <v>0</v>
      </c>
      <c r="P58" s="534">
        <f>+'[13]Data (64)'!Q158</f>
        <v>0</v>
      </c>
      <c r="Q58" s="534">
        <f t="shared" ref="Q58" si="47">SUM(N58:P58)</f>
        <v>0</v>
      </c>
      <c r="R58" s="535">
        <f>+E58+I58+M58+Q58</f>
        <v>0</v>
      </c>
    </row>
    <row r="59" spans="1:18">
      <c r="A59" s="326" t="s">
        <v>345</v>
      </c>
      <c r="B59" s="533">
        <f>'[13]Data (64)'!C159</f>
        <v>0</v>
      </c>
      <c r="C59" s="533">
        <f>'[13]Data (64)'!D159</f>
        <v>0</v>
      </c>
      <c r="D59" s="533">
        <f>'[13]Data (64)'!E159</f>
        <v>0</v>
      </c>
      <c r="E59" s="533">
        <f>'[13]Data (64)'!F159</f>
        <v>0</v>
      </c>
      <c r="F59" s="533">
        <f>'[13]Data (64)'!G159</f>
        <v>0</v>
      </c>
      <c r="G59" s="533">
        <f>'[13]Data (64)'!H159</f>
        <v>0</v>
      </c>
      <c r="H59" s="533">
        <f>'[13]Data (64)'!I159</f>
        <v>0</v>
      </c>
      <c r="I59" s="533">
        <f>'[13]Data (64)'!J159</f>
        <v>0</v>
      </c>
      <c r="J59" s="533">
        <f>'[13]Data (64)'!K159</f>
        <v>0</v>
      </c>
      <c r="K59" s="533">
        <f>'[13]Data (64)'!L159</f>
        <v>0</v>
      </c>
      <c r="L59" s="533">
        <f>'[13]Data (64)'!M159</f>
        <v>0</v>
      </c>
      <c r="M59" s="533">
        <f>'[13]Data (64)'!N159</f>
        <v>0</v>
      </c>
      <c r="N59" s="533">
        <f>'[13]Data (64)'!O159</f>
        <v>0</v>
      </c>
      <c r="O59" s="533">
        <f>'[13]Data (64)'!P159</f>
        <v>0</v>
      </c>
      <c r="P59" s="533">
        <f>'[13]Data (64)'!Q159</f>
        <v>0</v>
      </c>
      <c r="Q59" s="533">
        <f>'[13]Data (64)'!R159</f>
        <v>0</v>
      </c>
      <c r="R59" s="643">
        <f>'[13]Data (64)'!S159</f>
        <v>0</v>
      </c>
    </row>
    <row r="60" spans="1:18" s="642" customFormat="1" ht="22" thickBot="1">
      <c r="A60" s="326"/>
      <c r="B60" s="636">
        <f>SUM(B57:B59)</f>
        <v>119.85103211219598</v>
      </c>
      <c r="C60" s="636">
        <f t="shared" ref="C60:R60" si="48">SUM(C57:C59)</f>
        <v>121.33678870862818</v>
      </c>
      <c r="D60" s="636">
        <f t="shared" si="48"/>
        <v>122.97112096470357</v>
      </c>
      <c r="E60" s="636">
        <f t="shared" si="48"/>
        <v>364.15894178552776</v>
      </c>
      <c r="F60" s="636">
        <f t="shared" si="48"/>
        <v>138.45050357864332</v>
      </c>
      <c r="G60" s="636">
        <f t="shared" si="48"/>
        <v>125.1220287781496</v>
      </c>
      <c r="H60" s="636">
        <f t="shared" si="48"/>
        <v>127.4567891439716</v>
      </c>
      <c r="I60" s="636">
        <f t="shared" si="48"/>
        <v>391.02932150076452</v>
      </c>
      <c r="J60" s="636">
        <f t="shared" si="48"/>
        <v>130.18067623743059</v>
      </c>
      <c r="K60" s="636">
        <f t="shared" si="48"/>
        <v>133.44934074958141</v>
      </c>
      <c r="L60" s="636">
        <f t="shared" si="48"/>
        <v>137.53517138976989</v>
      </c>
      <c r="M60" s="636">
        <f t="shared" si="48"/>
        <v>401.16518837678188</v>
      </c>
      <c r="N60" s="636">
        <f t="shared" si="48"/>
        <v>151.15460685706486</v>
      </c>
      <c r="O60" s="636">
        <f t="shared" si="48"/>
        <v>158.50910200940419</v>
      </c>
      <c r="P60" s="636">
        <f t="shared" si="48"/>
        <v>168.31509554585656</v>
      </c>
      <c r="Q60" s="636">
        <f t="shared" si="48"/>
        <v>477.97880441232564</v>
      </c>
      <c r="R60" s="644">
        <f t="shared" si="48"/>
        <v>1634.3322560754</v>
      </c>
    </row>
    <row r="61" spans="1:18" ht="22" thickTop="1">
      <c r="A61" s="316" t="s">
        <v>344</v>
      </c>
      <c r="B61" s="645">
        <f>+B60-B31</f>
        <v>0</v>
      </c>
      <c r="C61" s="645">
        <f t="shared" ref="C61:R61" si="49">+C60-C31</f>
        <v>0</v>
      </c>
      <c r="D61" s="645">
        <f t="shared" si="49"/>
        <v>0</v>
      </c>
      <c r="E61" s="645">
        <f t="shared" si="49"/>
        <v>0</v>
      </c>
      <c r="F61" s="645">
        <f t="shared" si="49"/>
        <v>0</v>
      </c>
      <c r="G61" s="645">
        <f t="shared" si="49"/>
        <v>0</v>
      </c>
      <c r="H61" s="645">
        <f t="shared" si="49"/>
        <v>0</v>
      </c>
      <c r="I61" s="645">
        <f t="shared" si="49"/>
        <v>0</v>
      </c>
      <c r="J61" s="645">
        <f t="shared" si="49"/>
        <v>0</v>
      </c>
      <c r="K61" s="645">
        <f t="shared" si="49"/>
        <v>0</v>
      </c>
      <c r="L61" s="645">
        <f t="shared" si="49"/>
        <v>0</v>
      </c>
      <c r="M61" s="645">
        <f t="shared" si="49"/>
        <v>0</v>
      </c>
      <c r="N61" s="645">
        <f t="shared" si="49"/>
        <v>0</v>
      </c>
      <c r="O61" s="645">
        <f t="shared" si="49"/>
        <v>0</v>
      </c>
      <c r="P61" s="645">
        <f t="shared" si="49"/>
        <v>0</v>
      </c>
      <c r="Q61" s="645">
        <f t="shared" si="49"/>
        <v>0</v>
      </c>
      <c r="R61" s="646">
        <f t="shared" si="49"/>
        <v>0</v>
      </c>
    </row>
    <row r="62" spans="1:18">
      <c r="B62" s="647">
        <f>+B43/B15</f>
        <v>8.9006979634076912E-3</v>
      </c>
      <c r="C62" s="647">
        <f>+C43/C15</f>
        <v>-1.3888119277652477E-2</v>
      </c>
      <c r="D62" s="647">
        <f>+D43/D15</f>
        <v>2.2042296317334908E-2</v>
      </c>
      <c r="E62" s="647">
        <f>+E43/E15</f>
        <v>6.0696510819225136E-3</v>
      </c>
    </row>
    <row r="63" spans="1:18">
      <c r="A63" s="649" t="s">
        <v>510</v>
      </c>
    </row>
    <row r="64" spans="1:18">
      <c r="A64" s="538" t="s">
        <v>511</v>
      </c>
      <c r="B64" s="533">
        <f>+'[13]Data (64)'!C190</f>
        <v>37.153650566999993</v>
      </c>
      <c r="C64" s="533">
        <f>+'[13]Data (64)'!D190</f>
        <v>33.217588912199993</v>
      </c>
      <c r="D64" s="533">
        <f>+'[13]Data (64)'!E190</f>
        <v>36.307905572399996</v>
      </c>
      <c r="E64" s="563">
        <f>+'[13]Data (64)'!F190</f>
        <v>106.67914505159999</v>
      </c>
      <c r="F64" s="533">
        <f>+'[13]Data (64)'!G190</f>
        <v>36.118385819999993</v>
      </c>
      <c r="G64" s="533">
        <f>+'[13]Data (64)'!H190</f>
        <v>37.32233201399999</v>
      </c>
      <c r="H64" s="533">
        <f>+'[13]Data (64)'!I190</f>
        <v>37.016206425</v>
      </c>
      <c r="I64" s="650">
        <f>+'[13]Data (64)'!J190</f>
        <v>110.45692425899998</v>
      </c>
      <c r="J64" s="534">
        <f>+'[13]Data (64)'!K190</f>
        <v>6.3960901124999996</v>
      </c>
      <c r="K64" s="534">
        <f>+'[13]Data (64)'!L190</f>
        <v>39.627645123000001</v>
      </c>
      <c r="L64" s="534">
        <f>+'[13]Data (64)'!M190</f>
        <v>39.192741224999999</v>
      </c>
      <c r="M64" s="650">
        <f>+'[13]Data (64)'!N190</f>
        <v>85.21647646049999</v>
      </c>
      <c r="N64" s="534">
        <f>+'[13]Data (64)'!O190</f>
        <v>41.48314104</v>
      </c>
      <c r="O64" s="534">
        <f>+'[13]Data (64)'!P190</f>
        <v>41.369276024999998</v>
      </c>
      <c r="P64" s="534">
        <f>+'[13]Data (64)'!Q190</f>
        <v>42.242207551499995</v>
      </c>
      <c r="Q64" s="650">
        <f>+'[13]Data (64)'!R190</f>
        <v>125.0946246165</v>
      </c>
      <c r="R64" s="651">
        <f>+'[13]Data (64)'!S190</f>
        <v>427.44717038759995</v>
      </c>
    </row>
    <row r="65" spans="1:18">
      <c r="A65" s="538" t="s">
        <v>512</v>
      </c>
      <c r="B65" s="533">
        <f>+'[13]Data (64)'!C191</f>
        <v>0</v>
      </c>
      <c r="C65" s="533">
        <f>+'[13]Data (64)'!D191</f>
        <v>0</v>
      </c>
      <c r="D65" s="533">
        <f>+'[13]Data (64)'!E191</f>
        <v>0</v>
      </c>
      <c r="E65" s="563">
        <f>+'[13]Data (64)'!F191</f>
        <v>0</v>
      </c>
      <c r="F65" s="533">
        <f>+'[13]Data (64)'!G191</f>
        <v>0</v>
      </c>
      <c r="G65" s="533">
        <f>+'[13]Data (64)'!H191</f>
        <v>0</v>
      </c>
      <c r="H65" s="533">
        <f>+'[13]Data (64)'!I191</f>
        <v>0</v>
      </c>
      <c r="I65" s="650">
        <f>+'[13]Data (64)'!J191</f>
        <v>0</v>
      </c>
      <c r="J65" s="534">
        <f>+'[13]Data (64)'!K191</f>
        <v>0</v>
      </c>
      <c r="K65" s="534">
        <f>+'[13]Data (64)'!L191</f>
        <v>0</v>
      </c>
      <c r="L65" s="534">
        <f>+'[13]Data (64)'!M191</f>
        <v>0</v>
      </c>
      <c r="M65" s="650">
        <f>+'[13]Data (64)'!N191</f>
        <v>0</v>
      </c>
      <c r="N65" s="534">
        <f>+'[13]Data (64)'!O191</f>
        <v>0</v>
      </c>
      <c r="O65" s="534">
        <f>+'[13]Data (64)'!P191</f>
        <v>0</v>
      </c>
      <c r="P65" s="534">
        <f>+'[13]Data (64)'!Q191</f>
        <v>0</v>
      </c>
      <c r="Q65" s="650">
        <f>+'[13]Data (64)'!R191</f>
        <v>0</v>
      </c>
      <c r="R65" s="651">
        <f>+'[13]Data (64)'!S191</f>
        <v>0</v>
      </c>
    </row>
    <row r="67" spans="1:18" ht="23">
      <c r="A67" s="652" t="s">
        <v>513</v>
      </c>
    </row>
    <row r="68" spans="1:18" ht="22" thickBot="1">
      <c r="A68" s="653" t="s">
        <v>514</v>
      </c>
      <c r="B68" s="654">
        <f>+B17</f>
        <v>850.71630054246953</v>
      </c>
      <c r="C68" s="654">
        <f t="shared" ref="C68:R68" si="50">+C17</f>
        <v>1054.1234624654658</v>
      </c>
      <c r="D68" s="654">
        <f t="shared" si="50"/>
        <v>765.14181458944722</v>
      </c>
      <c r="E68" s="655">
        <f t="shared" si="50"/>
        <v>2669.9815775973825</v>
      </c>
      <c r="F68" s="654">
        <f t="shared" si="50"/>
        <v>826.69683224845369</v>
      </c>
      <c r="G68" s="654">
        <f t="shared" si="50"/>
        <v>695.36641182481844</v>
      </c>
      <c r="H68" s="654">
        <f t="shared" si="50"/>
        <v>814.5361523951957</v>
      </c>
      <c r="I68" s="656">
        <f t="shared" si="50"/>
        <v>2336.5993964684676</v>
      </c>
      <c r="J68" s="657">
        <f t="shared" si="50"/>
        <v>1092.2529474108871</v>
      </c>
      <c r="K68" s="657">
        <f t="shared" si="50"/>
        <v>631.21191304783065</v>
      </c>
      <c r="L68" s="657">
        <f t="shared" si="50"/>
        <v>1090.2321116549199</v>
      </c>
      <c r="M68" s="656">
        <f t="shared" si="50"/>
        <v>2813.6969721136375</v>
      </c>
      <c r="N68" s="657">
        <f t="shared" si="50"/>
        <v>1122.7637461852298</v>
      </c>
      <c r="O68" s="657">
        <f t="shared" si="50"/>
        <v>510.26485695390517</v>
      </c>
      <c r="P68" s="657">
        <f t="shared" si="50"/>
        <v>821.81384814067997</v>
      </c>
      <c r="Q68" s="656">
        <f t="shared" si="50"/>
        <v>2454.8424512798147</v>
      </c>
      <c r="R68" s="658">
        <f t="shared" si="50"/>
        <v>10275.120397459305</v>
      </c>
    </row>
    <row r="69" spans="1:18">
      <c r="A69" s="659" t="s">
        <v>515</v>
      </c>
      <c r="B69" s="660">
        <f>+'[13]Data (64)'!C205</f>
        <v>532.12851464007713</v>
      </c>
      <c r="C69" s="660">
        <f>+'[13]Data (64)'!D205</f>
        <v>763.22255711174796</v>
      </c>
      <c r="D69" s="660">
        <f>+'[13]Data (64)'!E205</f>
        <v>445.33658980260503</v>
      </c>
      <c r="E69" s="660">
        <f>+'[13]Data (64)'!F205</f>
        <v>1740.6876615544302</v>
      </c>
      <c r="F69" s="660">
        <f>+'[13]Data (64)'!G205</f>
        <v>520.70375115239131</v>
      </c>
      <c r="G69" s="660">
        <f>+'[13]Data (64)'!H205</f>
        <v>391.52353196959808</v>
      </c>
      <c r="H69" s="660">
        <f>+'[13]Data (64)'!I205</f>
        <v>511.65602828696018</v>
      </c>
      <c r="I69" s="660">
        <f>+'[13]Data (64)'!J205</f>
        <v>1423.8833114089496</v>
      </c>
      <c r="J69" s="660">
        <f>+'[13]Data (64)'!K205</f>
        <v>794.43816416615743</v>
      </c>
      <c r="K69" s="660">
        <f>+'[13]Data (64)'!L205</f>
        <v>299.724722502318</v>
      </c>
      <c r="L69" s="660">
        <f>+'[13]Data (64)'!M205</f>
        <v>778.8033908808186</v>
      </c>
      <c r="M69" s="660">
        <f>+'[13]Data (64)'!N205</f>
        <v>1872.9662775492941</v>
      </c>
      <c r="N69" s="660">
        <f>+'[13]Data (64)'!O205</f>
        <v>806.31898514427144</v>
      </c>
      <c r="O69" s="660">
        <f>+'[13]Data (64)'!P205</f>
        <v>161.76661309236246</v>
      </c>
      <c r="P69" s="660">
        <f>+'[13]Data (64)'!Q205</f>
        <v>488.0702408621101</v>
      </c>
      <c r="Q69" s="660">
        <f>+'[13]Data (64)'!R205</f>
        <v>1456.1558390987441</v>
      </c>
      <c r="R69" s="660">
        <f>+'[13]Data (64)'!S205</f>
        <v>6493.6930896114181</v>
      </c>
    </row>
    <row r="70" spans="1:18">
      <c r="A70" s="537" t="s">
        <v>516</v>
      </c>
      <c r="B70" s="661">
        <f>+'[13]Data (64)'!C106-B69</f>
        <v>318.5877859023924</v>
      </c>
      <c r="C70" s="661">
        <f>+'[13]Data (64)'!D106-C69</f>
        <v>290.9009053537178</v>
      </c>
      <c r="D70" s="661">
        <f>+'[13]Data (64)'!E106-D69</f>
        <v>319.80522478684219</v>
      </c>
      <c r="E70" s="662">
        <f>+'[13]Data (64)'!F106-E69</f>
        <v>929.29391604295233</v>
      </c>
      <c r="F70" s="661">
        <f>+'[13]Data (64)'!G106-F69</f>
        <v>305.99308109606238</v>
      </c>
      <c r="G70" s="661">
        <f>+'[13]Data (64)'!H106-G69</f>
        <v>303.84287985522036</v>
      </c>
      <c r="H70" s="661">
        <f>+'[13]Data (64)'!I106-H69</f>
        <v>302.88012410823552</v>
      </c>
      <c r="I70" s="663">
        <f>+'[13]Data (64)'!J106-I69</f>
        <v>912.71608505951804</v>
      </c>
      <c r="J70" s="664">
        <f>+'[13]Data (64)'!K106-J69</f>
        <v>297.81478324472971</v>
      </c>
      <c r="K70" s="664">
        <f>+'[13]Data (64)'!L106-K69</f>
        <v>331.48719054551265</v>
      </c>
      <c r="L70" s="664">
        <f>+'[13]Data (64)'!M106-L69</f>
        <v>311.42872077410129</v>
      </c>
      <c r="M70" s="663">
        <f>+'[13]Data (64)'!N106-M69</f>
        <v>940.73069456434337</v>
      </c>
      <c r="N70" s="664">
        <f>+'[13]Data (64)'!O106-N69</f>
        <v>316.44476104095838</v>
      </c>
      <c r="O70" s="664">
        <f>+'[13]Data (64)'!P106-O69</f>
        <v>348.49824386154273</v>
      </c>
      <c r="P70" s="664">
        <f>+'[13]Data (64)'!Q106-P69</f>
        <v>333.74360727856987</v>
      </c>
      <c r="Q70" s="663">
        <f>+'[13]Data (64)'!R106-Q69</f>
        <v>998.68661218107059</v>
      </c>
      <c r="R70" s="665">
        <f>+'[13]Data (64)'!S106-R69</f>
        <v>3781.4273078478864</v>
      </c>
    </row>
    <row r="71" spans="1:18">
      <c r="A71" s="666" t="s">
        <v>344</v>
      </c>
      <c r="B71" s="667">
        <f>SUM(B69:B70)-B68</f>
        <v>0</v>
      </c>
      <c r="C71" s="667">
        <f t="shared" ref="C71:R71" si="51">SUM(C69:C70)-C68</f>
        <v>0</v>
      </c>
      <c r="D71" s="667">
        <f t="shared" si="51"/>
        <v>0</v>
      </c>
      <c r="E71" s="668">
        <f t="shared" si="51"/>
        <v>0</v>
      </c>
      <c r="F71" s="667">
        <f t="shared" si="51"/>
        <v>0</v>
      </c>
      <c r="G71" s="667">
        <f t="shared" si="51"/>
        <v>0</v>
      </c>
      <c r="H71" s="667">
        <f t="shared" si="51"/>
        <v>0</v>
      </c>
      <c r="I71" s="669">
        <f t="shared" si="51"/>
        <v>0</v>
      </c>
      <c r="J71" s="670">
        <f t="shared" si="51"/>
        <v>0</v>
      </c>
      <c r="K71" s="670">
        <f t="shared" si="51"/>
        <v>0</v>
      </c>
      <c r="L71" s="670">
        <f t="shared" si="51"/>
        <v>0</v>
      </c>
      <c r="M71" s="669">
        <f t="shared" si="51"/>
        <v>0</v>
      </c>
      <c r="N71" s="670">
        <f t="shared" si="51"/>
        <v>0</v>
      </c>
      <c r="O71" s="670">
        <f t="shared" si="51"/>
        <v>0</v>
      </c>
      <c r="P71" s="670">
        <f t="shared" si="51"/>
        <v>0</v>
      </c>
      <c r="Q71" s="669">
        <f t="shared" si="51"/>
        <v>0</v>
      </c>
      <c r="R71" s="671">
        <f t="shared" si="51"/>
        <v>0</v>
      </c>
    </row>
    <row r="72" spans="1:18">
      <c r="A72" s="659" t="s">
        <v>517</v>
      </c>
      <c r="B72" s="660">
        <f>+'[13]Data (64)'!C104-B69</f>
        <v>123.29461390239237</v>
      </c>
      <c r="C72" s="660">
        <f>+'[13]Data (64)'!D104-C69</f>
        <v>108.44408935371769</v>
      </c>
      <c r="D72" s="660">
        <f>+'[13]Data (64)'!E104-D69</f>
        <v>125.98982278684213</v>
      </c>
      <c r="E72" s="660">
        <f>+'[13]Data (64)'!F104-E69</f>
        <v>357.72852604295213</v>
      </c>
      <c r="F72" s="660">
        <f>+'[13]Data (64)'!G104-F69</f>
        <v>119.07772109606242</v>
      </c>
      <c r="G72" s="660">
        <f>+'[13]Data (64)'!H104-G69</f>
        <v>120.37186785522033</v>
      </c>
      <c r="H72" s="660">
        <f>+'[13]Data (64)'!I104-H69</f>
        <v>117.9115641082355</v>
      </c>
      <c r="I72" s="660">
        <f>+'[13]Data (64)'!J104-I69</f>
        <v>357.3611530595183</v>
      </c>
      <c r="J72" s="660">
        <f>+'[13]Data (64)'!K104-J69</f>
        <v>107.44751124472975</v>
      </c>
      <c r="K72" s="660">
        <f>+'[13]Data (64)'!L104-K69</f>
        <v>134.71624854551271</v>
      </c>
      <c r="L72" s="660">
        <f>+'[13]Data (64)'!M104-L69</f>
        <v>115.26606077410133</v>
      </c>
      <c r="M72" s="660">
        <f>+'[13]Data (64)'!N104-M69</f>
        <v>357.4298205643438</v>
      </c>
      <c r="N72" s="660">
        <f>+'[13]Data (64)'!O104-N69</f>
        <v>115.73309904095845</v>
      </c>
      <c r="O72" s="660">
        <f>+'[13]Data (64)'!P104-O69</f>
        <v>146.4951838615427</v>
      </c>
      <c r="P72" s="660">
        <f>+'[13]Data (64)'!Q104-P69</f>
        <v>131.06158527856979</v>
      </c>
      <c r="Q72" s="660">
        <f>+'[13]Data (64)'!R104-Q69</f>
        <v>393.28986818107091</v>
      </c>
      <c r="R72" s="660">
        <f>+'[13]Data (64)'!S104-R69</f>
        <v>1465.8093678478854</v>
      </c>
    </row>
    <row r="73" spans="1:18">
      <c r="B73" s="672">
        <f>+B69-'[15]2021 Monthly'!C$27</f>
        <v>0</v>
      </c>
      <c r="C73" s="672">
        <f>+C69-'[15]2021 Monthly'!D$27</f>
        <v>0</v>
      </c>
      <c r="D73" s="672">
        <f>+D69-'[15]2021 Monthly'!E$27</f>
        <v>0</v>
      </c>
      <c r="E73" s="672" t="e">
        <f>+E69-'[15]2021 Monthly'!#REF!</f>
        <v>#REF!</v>
      </c>
      <c r="F73" s="672">
        <f>+F69-'[15]2021 Monthly'!F$27</f>
        <v>0</v>
      </c>
      <c r="G73" s="672">
        <f>+G69-'[15]2021 Monthly'!G$27</f>
        <v>0</v>
      </c>
      <c r="H73" s="672">
        <f>+H69-'[15]2021 Monthly'!H$27</f>
        <v>0</v>
      </c>
      <c r="I73" s="672" t="e">
        <f>+I69-'[15]2021 Monthly'!#REF!</f>
        <v>#REF!</v>
      </c>
      <c r="J73" s="672">
        <f>+J69-'[15]2021 Monthly'!I$27</f>
        <v>0</v>
      </c>
      <c r="K73" s="672">
        <f>+K69-'[15]2021 Monthly'!J$27</f>
        <v>0</v>
      </c>
      <c r="L73" s="672">
        <f>+L69-'[15]2021 Monthly'!K$27</f>
        <v>0</v>
      </c>
      <c r="M73" s="672" t="e">
        <f>+M69-'[15]2021 Monthly'!#REF!</f>
        <v>#REF!</v>
      </c>
      <c r="N73" s="672">
        <f>+N69-'[15]2021 Monthly'!L$27</f>
        <v>0</v>
      </c>
      <c r="O73" s="672">
        <f>+O69-'[15]2021 Monthly'!M$27</f>
        <v>0</v>
      </c>
      <c r="P73" s="672">
        <f>+P69-'[15]2021 Monthly'!N$27</f>
        <v>0</v>
      </c>
    </row>
    <row r="80" spans="1:18">
      <c r="A80" s="673" t="s">
        <v>518</v>
      </c>
      <c r="B80" s="533">
        <f>'[13]Data (64)'!C260</f>
        <v>81.177534246575334</v>
      </c>
      <c r="C80" s="533">
        <f>'[13]Data (64)'!D260</f>
        <v>73.321643835616428</v>
      </c>
      <c r="D80" s="533">
        <f>'[13]Data (64)'!E260</f>
        <v>81.177534246575334</v>
      </c>
      <c r="E80" s="563">
        <f>SUM(B80:D80)</f>
        <v>235.67671232876708</v>
      </c>
      <c r="F80" s="533">
        <f>'[13]Data (64)'!G260</f>
        <v>78.558904109589037</v>
      </c>
      <c r="G80" s="533">
        <f>'[13]Data (64)'!H260</f>
        <v>81.177534246575334</v>
      </c>
      <c r="H80" s="533">
        <f>'[13]Data (64)'!I260</f>
        <v>78.558904109589037</v>
      </c>
      <c r="I80" s="650">
        <f>SUM(F80:H80)</f>
        <v>238.29534246575341</v>
      </c>
      <c r="J80" s="534">
        <f>'[13]Data (64)'!K260</f>
        <v>74.412739726027382</v>
      </c>
      <c r="K80" s="534">
        <f>'[13]Data (64)'!L260</f>
        <v>74.412739726027382</v>
      </c>
      <c r="L80" s="534">
        <f>'[13]Data (64)'!M260</f>
        <v>72.012328767123279</v>
      </c>
      <c r="M80" s="650">
        <f>SUM(J80:L80)</f>
        <v>220.83780821917804</v>
      </c>
      <c r="N80" s="534">
        <f>'[13]Data (64)'!O260</f>
        <v>74.412739726027382</v>
      </c>
      <c r="O80" s="534">
        <f>'[13]Data (64)'!P260</f>
        <v>72.012328767123279</v>
      </c>
      <c r="P80" s="534">
        <f>'[13]Data (64)'!Q260</f>
        <v>74.412739726027382</v>
      </c>
      <c r="Q80" s="650">
        <f>SUM(N80:P80)</f>
        <v>220.83780821917804</v>
      </c>
      <c r="R80" s="674">
        <f t="shared" ref="R80:R83" si="52">+E80+I80+M80+Q80</f>
        <v>915.64767123287652</v>
      </c>
    </row>
    <row r="81" spans="1:18">
      <c r="A81" s="567" t="s">
        <v>519</v>
      </c>
      <c r="B81" s="568">
        <f>B43-B80</f>
        <v>-9.9570663937073931</v>
      </c>
      <c r="C81" s="568">
        <f t="shared" ref="C81:D81" si="53">C43-C80</f>
        <v>-177.59345018364871</v>
      </c>
      <c r="D81" s="568">
        <f t="shared" si="53"/>
        <v>94.344414312541431</v>
      </c>
      <c r="E81" s="675">
        <f>SUM(B81:D81)</f>
        <v>-93.206102264814689</v>
      </c>
      <c r="F81" s="568">
        <f>F43-F80</f>
        <v>68.198899342355617</v>
      </c>
      <c r="G81" s="568">
        <f t="shared" ref="G81:H81" si="54">G43-G80</f>
        <v>103.52659913441047</v>
      </c>
      <c r="H81" s="568">
        <f t="shared" si="54"/>
        <v>116.46973908760145</v>
      </c>
      <c r="I81" s="676">
        <f>SUM(F81:H81)</f>
        <v>288.19523756436752</v>
      </c>
      <c r="J81" s="677">
        <f>J43-J80</f>
        <v>-15.764448443877839</v>
      </c>
      <c r="K81" s="677">
        <f t="shared" ref="K81:L81" si="55">K43-K80</f>
        <v>189.38395358557102</v>
      </c>
      <c r="L81" s="677">
        <f t="shared" si="55"/>
        <v>12.537239231117979</v>
      </c>
      <c r="M81" s="676">
        <f>SUM(J81:L81)</f>
        <v>186.15674437281118</v>
      </c>
      <c r="N81" s="677">
        <f>N43-N80</f>
        <v>49.895049491889267</v>
      </c>
      <c r="O81" s="677">
        <f t="shared" ref="O81:P81" si="56">O43-O80</f>
        <v>270.65507837098414</v>
      </c>
      <c r="P81" s="677">
        <f t="shared" si="56"/>
        <v>262.14591537237283</v>
      </c>
      <c r="Q81" s="676">
        <f>SUM(N81:P81)</f>
        <v>582.69604323524618</v>
      </c>
      <c r="R81" s="678">
        <f t="shared" si="52"/>
        <v>963.84192290761018</v>
      </c>
    </row>
    <row r="82" spans="1:18">
      <c r="A82" s="673" t="s">
        <v>520</v>
      </c>
      <c r="B82" s="533">
        <f>'[13]Data (64)'!C262</f>
        <v>0</v>
      </c>
      <c r="C82" s="533">
        <f>'[13]Data (64)'!D262</f>
        <v>0</v>
      </c>
      <c r="D82" s="533">
        <f>'[13]Data (64)'!E262</f>
        <v>0</v>
      </c>
      <c r="E82" s="563">
        <f t="shared" ref="E82:E83" si="57">SUM(B82:D82)</f>
        <v>0</v>
      </c>
      <c r="F82" s="533">
        <f>'[13]Data (64)'!G262</f>
        <v>0</v>
      </c>
      <c r="G82" s="533">
        <f>'[13]Data (64)'!H262</f>
        <v>15.703879242390281</v>
      </c>
      <c r="H82" s="533">
        <f>'[13]Data (64)'!I262</f>
        <v>23.293947817520298</v>
      </c>
      <c r="I82" s="650">
        <f t="shared" ref="I82:I83" si="58">SUM(F82:H82)</f>
        <v>38.997827059910577</v>
      </c>
      <c r="J82" s="534">
        <f>'[13]Data (64)'!K262</f>
        <v>-3.1528896887755664</v>
      </c>
      <c r="K82" s="534">
        <f>'[13]Data (64)'!L262</f>
        <v>37.876790717114197</v>
      </c>
      <c r="L82" s="534">
        <f>'[13]Data (64)'!M262</f>
        <v>2.5074478462235987</v>
      </c>
      <c r="M82" s="650">
        <f t="shared" ref="M82:M83" si="59">SUM(J82:L82)</f>
        <v>37.231348874562229</v>
      </c>
      <c r="N82" s="534">
        <f>'[13]Data (64)'!O262</f>
        <v>9.9790098983778535</v>
      </c>
      <c r="O82" s="534">
        <f>'[13]Data (64)'!P262</f>
        <v>54.131015674196817</v>
      </c>
      <c r="P82" s="534">
        <f>'[13]Data (64)'!Q262</f>
        <v>52.429183074474594</v>
      </c>
      <c r="Q82" s="650">
        <f t="shared" ref="Q82:Q83" si="60">SUM(N82:P82)</f>
        <v>116.53920864704926</v>
      </c>
      <c r="R82" s="674">
        <f t="shared" si="52"/>
        <v>192.76838458152207</v>
      </c>
    </row>
    <row r="83" spans="1:18" ht="22" thickBot="1">
      <c r="A83" s="621" t="s">
        <v>521</v>
      </c>
      <c r="B83" s="622">
        <f>B81-B82</f>
        <v>-9.9570663937073931</v>
      </c>
      <c r="C83" s="622">
        <f t="shared" ref="C83:D83" si="61">C81-C82</f>
        <v>-177.59345018364871</v>
      </c>
      <c r="D83" s="622">
        <f t="shared" si="61"/>
        <v>94.344414312541431</v>
      </c>
      <c r="E83" s="679">
        <f t="shared" si="57"/>
        <v>-93.206102264814689</v>
      </c>
      <c r="F83" s="622">
        <f>F81-F82</f>
        <v>68.198899342355617</v>
      </c>
      <c r="G83" s="622">
        <f t="shared" ref="G83:H83" si="62">G81-G82</f>
        <v>87.822719892020189</v>
      </c>
      <c r="H83" s="622">
        <f t="shared" si="62"/>
        <v>93.175791270081163</v>
      </c>
      <c r="I83" s="680">
        <f t="shared" si="58"/>
        <v>249.19741050445697</v>
      </c>
      <c r="J83" s="681">
        <f>J81-J82</f>
        <v>-12.611558755102273</v>
      </c>
      <c r="K83" s="681">
        <f t="shared" ref="K83:L83" si="63">K81-K82</f>
        <v>151.50716286845682</v>
      </c>
      <c r="L83" s="681">
        <f t="shared" si="63"/>
        <v>10.029791384894381</v>
      </c>
      <c r="M83" s="680">
        <f t="shared" si="59"/>
        <v>148.92539549824892</v>
      </c>
      <c r="N83" s="681">
        <f>N81-N82</f>
        <v>39.916039593511414</v>
      </c>
      <c r="O83" s="681">
        <f t="shared" ref="O83:P83" si="64">O81-O82</f>
        <v>216.52406269678733</v>
      </c>
      <c r="P83" s="681">
        <f t="shared" si="64"/>
        <v>209.71673229789823</v>
      </c>
      <c r="Q83" s="680">
        <f t="shared" si="60"/>
        <v>466.15683458819694</v>
      </c>
      <c r="R83" s="682">
        <f t="shared" si="52"/>
        <v>771.07353832608817</v>
      </c>
    </row>
    <row r="84" spans="1:18" ht="22" thickTop="1">
      <c r="A84" s="326" t="s">
        <v>522</v>
      </c>
      <c r="I84" s="534"/>
      <c r="J84" s="534"/>
      <c r="K84" s="534"/>
      <c r="L84" s="534"/>
      <c r="M84" s="534"/>
      <c r="N84" s="683">
        <f>'[13]Data (64)'!O273</f>
        <v>0</v>
      </c>
      <c r="O84" s="534"/>
      <c r="P84" s="534"/>
      <c r="Q84" s="534"/>
    </row>
    <row r="85" spans="1:18">
      <c r="A85" s="326" t="s">
        <v>523</v>
      </c>
      <c r="I85" s="534"/>
      <c r="J85" s="534"/>
      <c r="K85" s="534"/>
      <c r="L85" s="534"/>
      <c r="M85" s="534"/>
      <c r="N85" s="684"/>
      <c r="O85" s="534"/>
      <c r="P85" s="534"/>
      <c r="Q85" s="534"/>
    </row>
    <row r="87" spans="1:18" ht="22" thickBot="1">
      <c r="A87" s="303" t="s">
        <v>524</v>
      </c>
      <c r="B87" s="636">
        <f>'[13]Data (64)'!C253</f>
        <v>233.12770933655867</v>
      </c>
      <c r="C87" s="636">
        <f>'[13]Data (64)'!D253</f>
        <v>207.1999669601926</v>
      </c>
      <c r="D87" s="636">
        <f>'[13]Data (64)'!E253</f>
        <v>-162.31143438716612</v>
      </c>
      <c r="E87" s="636">
        <f>'[13]Data (64)'!F253</f>
        <v>278.01624190958518</v>
      </c>
      <c r="F87" s="636">
        <f>'[13]Data (64)'!G253</f>
        <v>96.5393876906994</v>
      </c>
      <c r="G87" s="636">
        <f>'[13]Data (64)'!H253</f>
        <v>73.683129614337048</v>
      </c>
      <c r="H87" s="636">
        <f>'[13]Data (64)'!I253</f>
        <v>68.219152212206836</v>
      </c>
      <c r="I87" s="685">
        <f>'[13]Data (64)'!J253</f>
        <v>238.44166951724327</v>
      </c>
      <c r="J87" s="685">
        <f>'[13]Data (64)'!K253</f>
        <v>49.955131159007308</v>
      </c>
      <c r="K87" s="685">
        <f>'[13]Data (64)'!L253</f>
        <v>82.958325729896302</v>
      </c>
      <c r="L87" s="685">
        <f>'[13]Data (64)'!M253</f>
        <v>53.737696040729375</v>
      </c>
      <c r="M87" s="685">
        <f>'[13]Data (64)'!N253</f>
        <v>186.65115292963299</v>
      </c>
      <c r="N87" s="685">
        <f>'[13]Data (64)'!O253</f>
        <v>53.429865901569784</v>
      </c>
      <c r="O87" s="685">
        <f>'[13]Data (64)'!P253</f>
        <v>88.458797790174231</v>
      </c>
      <c r="P87" s="685">
        <f>'[13]Data (64)'!Q253</f>
        <v>70.644375365744281</v>
      </c>
      <c r="Q87" s="685">
        <f>'[13]Data (64)'!R253</f>
        <v>212.53303905748828</v>
      </c>
      <c r="R87" s="685">
        <f>'[13]Data (64)'!S253</f>
        <v>915.64210341394971</v>
      </c>
    </row>
    <row r="88" spans="1:18" ht="22" thickTop="1">
      <c r="A88" s="233"/>
      <c r="I88" s="575"/>
      <c r="J88" s="575"/>
      <c r="K88" s="575"/>
      <c r="L88" s="575"/>
      <c r="M88" s="575"/>
      <c r="N88" s="575"/>
      <c r="O88" s="575"/>
      <c r="P88" s="575"/>
      <c r="Q88" s="575"/>
      <c r="R88" s="575"/>
    </row>
    <row r="89" spans="1:18" ht="22" thickBot="1">
      <c r="A89" s="686" t="s">
        <v>525</v>
      </c>
      <c r="B89" s="687">
        <f>'[13]Data (64)'!C255</f>
        <v>-161.90724148369071</v>
      </c>
      <c r="C89" s="687">
        <f>'[13]Data (64)'!D255</f>
        <v>-311.4717733082249</v>
      </c>
      <c r="D89" s="687">
        <f>'[13]Data (64)'!E255</f>
        <v>337.83338294628288</v>
      </c>
      <c r="E89" s="687">
        <f>'[13]Data (64)'!F255</f>
        <v>-135.54563184563284</v>
      </c>
      <c r="F89" s="687">
        <f>'[13]Data (64)'!G255</f>
        <v>50.218415761245254</v>
      </c>
      <c r="G89" s="687">
        <f>'[13]Data (64)'!H255</f>
        <v>111.02100376664876</v>
      </c>
      <c r="H89" s="687">
        <f>'[13]Data (64)'!I255</f>
        <v>126.80949098498365</v>
      </c>
      <c r="I89" s="688">
        <f>'[13]Data (64)'!J255</f>
        <v>288.04891051287308</v>
      </c>
      <c r="J89" s="688">
        <f>'[13]Data (64)'!K255</f>
        <v>8.6931601231422349</v>
      </c>
      <c r="K89" s="688">
        <f>'[13]Data (64)'!L255</f>
        <v>180.8383675817021</v>
      </c>
      <c r="L89" s="688">
        <f>'[13]Data (64)'!M255</f>
        <v>30.811871957511883</v>
      </c>
      <c r="M89" s="688">
        <f>'[13]Data (64)'!N255</f>
        <v>220.3433996623545</v>
      </c>
      <c r="N89" s="688">
        <f>'[13]Data (64)'!O255</f>
        <v>70.877923316346866</v>
      </c>
      <c r="O89" s="688">
        <f>'[13]Data (64)'!P255</f>
        <v>254.20860934793319</v>
      </c>
      <c r="P89" s="688">
        <f>'[13]Data (64)'!Q255</f>
        <v>265.91427973265593</v>
      </c>
      <c r="Q89" s="688">
        <f>'[13]Data (64)'!R255</f>
        <v>591.00081239693145</v>
      </c>
      <c r="R89" s="688">
        <f>'[13]Data (64)'!S255</f>
        <v>963.84749072655165</v>
      </c>
    </row>
    <row r="90" spans="1:18" ht="22" thickTop="1"/>
  </sheetData>
  <mergeCells count="1">
    <mergeCell ref="W7:W9"/>
  </mergeCells>
  <pageMargins left="0.23622047244094491" right="0.27559055118110237" top="0.31496062992125984" bottom="0.39370078740157483" header="0.51181102362204722" footer="0.15748031496062992"/>
  <pageSetup paperSize="9" scale="47" orientation="landscape" r:id="rId1"/>
  <headerFooter alignWithMargins="0">
    <oddFooter>&amp;C&amp;11&amp;Z&amp;F \ &amp;A&amp;R&amp;11&amp;D   &amp;T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transitionEvaluation="1" codeName="Sheet15">
    <tabColor theme="4"/>
    <pageSetUpPr fitToPage="1"/>
  </sheetPr>
  <dimension ref="A1:BK191"/>
  <sheetViews>
    <sheetView showZeros="0" zoomScaleNormal="100" zoomScaleSheetLayoutView="75" workbookViewId="0">
      <pane xSplit="2" ySplit="4" topLeftCell="AN5" activePane="bottomRight" state="frozen"/>
      <selection activeCell="F203" sqref="F203"/>
      <selection pane="topRight" activeCell="F203" sqref="F203"/>
      <selection pane="bottomLeft" activeCell="F203" sqref="F203"/>
      <selection pane="bottomRight" activeCell="BE7" sqref="BE7"/>
    </sheetView>
  </sheetViews>
  <sheetFormatPr defaultColWidth="13.1796875" defaultRowHeight="21.5" outlineLevelCol="2"/>
  <cols>
    <col min="1" max="1" width="17.90625" style="233" customWidth="1"/>
    <col min="2" max="2" width="26.36328125" style="233" customWidth="1"/>
    <col min="3" max="5" width="14.81640625" style="238" customWidth="1" outlineLevel="2"/>
    <col min="6" max="6" width="9.81640625" style="237" customWidth="1" outlineLevel="1"/>
    <col min="7" max="9" width="14.81640625" style="238" customWidth="1" outlineLevel="2"/>
    <col min="10" max="10" width="9.81640625" style="237" customWidth="1" outlineLevel="1"/>
    <col min="11" max="13" width="9.81640625" style="237" customWidth="1" outlineLevel="2"/>
    <col min="14" max="14" width="9.81640625" style="237" customWidth="1" outlineLevel="1"/>
    <col min="15" max="17" width="9.81640625" style="237" customWidth="1" outlineLevel="2"/>
    <col min="18" max="19" width="9.81640625" style="237" customWidth="1" outlineLevel="1"/>
    <col min="20" max="20" width="7.90625" style="234" bestFit="1" customWidth="1"/>
    <col min="21" max="21" width="21" style="236" customWidth="1" outlineLevel="2"/>
    <col min="22" max="22" width="13.453125" style="236" customWidth="1" outlineLevel="2"/>
    <col min="23" max="23" width="12" style="236" customWidth="1" outlineLevel="2"/>
    <col min="24" max="24" width="13.1796875" style="235" customWidth="1" outlineLevel="1"/>
    <col min="25" max="25" width="11.81640625" style="236" customWidth="1" outlineLevel="2"/>
    <col min="26" max="26" width="10.6328125" style="236" customWidth="1" outlineLevel="2"/>
    <col min="27" max="27" width="10" style="236" customWidth="1" outlineLevel="2"/>
    <col min="28" max="28" width="13.1796875" style="235" customWidth="1" outlineLevel="1"/>
    <col min="29" max="31" width="13" style="235" customWidth="1" outlineLevel="2"/>
    <col min="32" max="32" width="13" style="235" customWidth="1" outlineLevel="1"/>
    <col min="33" max="35" width="13" style="235" customWidth="1" outlineLevel="2"/>
    <col min="36" max="36" width="13" style="235" customWidth="1" outlineLevel="1"/>
    <col min="37" max="37" width="13.90625" style="235" customWidth="1" outlineLevel="1"/>
    <col min="38" max="38" width="23.1796875" style="234" customWidth="1"/>
    <col min="39" max="40" width="11" style="234" customWidth="1" outlineLevel="2"/>
    <col min="41" max="41" width="10.90625" style="234" customWidth="1" outlineLevel="2"/>
    <col min="42" max="42" width="8.90625" style="234" customWidth="1" outlineLevel="1"/>
    <col min="43" max="45" width="8.90625" style="234" customWidth="1" outlineLevel="2"/>
    <col min="46" max="46" width="8.90625" style="234" customWidth="1" outlineLevel="1"/>
    <col min="47" max="49" width="8.90625" style="234" customWidth="1" outlineLevel="2"/>
    <col min="50" max="50" width="8.90625" style="234" customWidth="1" outlineLevel="1"/>
    <col min="51" max="53" width="8.90625" style="234" customWidth="1" outlineLevel="2"/>
    <col min="54" max="54" width="8.90625" style="234" customWidth="1" outlineLevel="1"/>
    <col min="55" max="55" width="11.90625" style="234" customWidth="1" outlineLevel="1"/>
    <col min="56" max="56" width="8.36328125" style="233" customWidth="1"/>
    <col min="57" max="57" width="12.1796875" style="233" customWidth="1"/>
    <col min="58" max="58" width="14.81640625" style="233" bestFit="1" customWidth="1"/>
    <col min="59" max="16384" width="13.1796875" style="233"/>
  </cols>
  <sheetData>
    <row r="1" spans="1:63">
      <c r="A1" s="524"/>
      <c r="B1" s="461" t="s">
        <v>452</v>
      </c>
      <c r="D1" s="238">
        <v>5997.5937984800003</v>
      </c>
      <c r="U1" s="520"/>
      <c r="V1" s="520"/>
      <c r="W1" s="520"/>
      <c r="X1" s="519"/>
      <c r="Y1" s="520"/>
      <c r="Z1" s="520"/>
      <c r="AA1" s="520"/>
      <c r="AB1" s="519"/>
      <c r="AC1" s="519"/>
      <c r="AD1" s="519"/>
      <c r="AE1" s="519"/>
      <c r="AF1" s="519"/>
      <c r="AG1" s="519"/>
      <c r="AH1" s="519"/>
      <c r="AI1" s="519"/>
      <c r="AJ1" s="519"/>
      <c r="AK1" s="519"/>
      <c r="BE1" s="523" t="s">
        <v>451</v>
      </c>
      <c r="BF1" s="517"/>
    </row>
    <row r="2" spans="1:63">
      <c r="B2" s="522"/>
      <c r="C2" s="521">
        <f>'[16]data SM(64)'!U2</f>
        <v>31</v>
      </c>
      <c r="D2" s="521">
        <f>'[16]data SM(64)'!V2</f>
        <v>28</v>
      </c>
      <c r="E2" s="521">
        <f>'[16]data SM(64)'!W2</f>
        <v>31</v>
      </c>
      <c r="F2" s="521">
        <f>'[16]data SM(64)'!X2</f>
        <v>90</v>
      </c>
      <c r="G2" s="521">
        <f>'[16]data SM(64)'!Y2</f>
        <v>30</v>
      </c>
      <c r="H2" s="521">
        <f>'[16]data SM(64)'!Z2</f>
        <v>31</v>
      </c>
      <c r="I2" s="521">
        <f>'[16]data SM(64)'!AA2</f>
        <v>30</v>
      </c>
      <c r="J2" s="521">
        <f>'[16]data SM(64)'!AB2</f>
        <v>91</v>
      </c>
      <c r="K2" s="521">
        <f>'[16]data SM(64)'!AC2</f>
        <v>31</v>
      </c>
      <c r="L2" s="521">
        <f>'[16]data SM(64)'!AD2</f>
        <v>31</v>
      </c>
      <c r="M2" s="521">
        <f>'[16]data SM(64)'!AE2</f>
        <v>30</v>
      </c>
      <c r="N2" s="521">
        <f>'[16]data SM(64)'!AF2</f>
        <v>92</v>
      </c>
      <c r="O2" s="521">
        <f>'[16]data SM(64)'!AG2</f>
        <v>31</v>
      </c>
      <c r="P2" s="521">
        <f>'[16]data SM(64)'!AH2</f>
        <v>30</v>
      </c>
      <c r="Q2" s="521">
        <f>'[16]data SM(64)'!AI2</f>
        <v>31</v>
      </c>
      <c r="R2" s="521">
        <f>'[16]data SM(64)'!AJ2</f>
        <v>92</v>
      </c>
      <c r="S2" s="521">
        <f>'[16]data SM(64)'!AK2</f>
        <v>365</v>
      </c>
      <c r="U2" s="520"/>
      <c r="V2" s="520"/>
      <c r="W2" s="520"/>
      <c r="X2" s="519"/>
      <c r="Y2" s="520"/>
      <c r="Z2" s="520"/>
      <c r="AA2" s="520"/>
      <c r="AB2" s="519"/>
      <c r="AC2" s="519"/>
      <c r="AD2" s="519"/>
      <c r="AE2" s="519">
        <v>252.54530776688642</v>
      </c>
      <c r="AF2" s="519">
        <v>712.91744862041924</v>
      </c>
      <c r="AG2" s="519">
        <v>268.64755816023353</v>
      </c>
      <c r="AH2" s="519">
        <v>259.34122726549219</v>
      </c>
      <c r="AI2" s="519">
        <v>266.23078326985512</v>
      </c>
      <c r="AJ2" s="519">
        <v>794.21956869558085</v>
      </c>
      <c r="AK2" s="519">
        <v>2791.2205007020666</v>
      </c>
      <c r="AL2" s="296" t="s">
        <v>19</v>
      </c>
      <c r="AM2" s="234">
        <f>+[17]PP21!B13</f>
        <v>31</v>
      </c>
      <c r="AN2" s="234">
        <f>+[17]PP21!C13</f>
        <v>31</v>
      </c>
      <c r="AO2" s="234">
        <f>+[17]PP21!D13</f>
        <v>31</v>
      </c>
      <c r="AP2" s="234">
        <f>+[17]PP21!E13</f>
        <v>31</v>
      </c>
      <c r="AQ2" s="234">
        <f>+[17]PP21!F13</f>
        <v>31</v>
      </c>
      <c r="AR2" s="234">
        <f>+[17]PP21!G13</f>
        <v>31</v>
      </c>
      <c r="AS2" s="234">
        <f>+[17]PP21!H13</f>
        <v>31</v>
      </c>
      <c r="AT2" s="234">
        <f>+[17]PP21!I13</f>
        <v>31</v>
      </c>
      <c r="AU2" s="234">
        <f>+[17]PP21!J13</f>
        <v>31</v>
      </c>
      <c r="AV2" s="234">
        <f>+[17]PP21!K13</f>
        <v>31</v>
      </c>
      <c r="AW2" s="234">
        <f>+[17]PP21!L13</f>
        <v>31</v>
      </c>
      <c r="AX2" s="234">
        <f>+[17]PP21!M13</f>
        <v>31</v>
      </c>
      <c r="AY2" s="234">
        <f>+[17]PP21!N13</f>
        <v>31</v>
      </c>
      <c r="AZ2" s="234">
        <f>+[17]PP21!O13</f>
        <v>31</v>
      </c>
      <c r="BA2" s="234">
        <f>+[17]PP21!P13</f>
        <v>31</v>
      </c>
      <c r="BB2" s="234">
        <f>+[17]PP21!Q13</f>
        <v>31</v>
      </c>
      <c r="BC2" s="234">
        <f>+[17]PP21!R13</f>
        <v>31</v>
      </c>
      <c r="BE2" s="518">
        <f>1/158.98756/0.0006468</f>
        <v>9.7244902346095703</v>
      </c>
      <c r="BF2" s="517"/>
    </row>
    <row r="3" spans="1:63" ht="23.5">
      <c r="A3" s="1388" t="s">
        <v>316</v>
      </c>
      <c r="B3" s="1388"/>
      <c r="C3" s="269" t="s">
        <v>315</v>
      </c>
      <c r="D3" s="269"/>
      <c r="E3" s="269"/>
      <c r="F3" s="268" t="str">
        <f>+C3</f>
        <v>MMBAHT</v>
      </c>
      <c r="G3" s="269"/>
      <c r="H3" s="269"/>
      <c r="I3" s="269"/>
      <c r="J3" s="268"/>
      <c r="K3" s="268"/>
      <c r="L3" s="268"/>
      <c r="M3" s="268"/>
      <c r="N3" s="268"/>
      <c r="O3" s="268"/>
      <c r="P3" s="268"/>
      <c r="Q3" s="268"/>
      <c r="R3" s="267"/>
      <c r="S3" s="267"/>
      <c r="U3" s="266" t="s">
        <v>314</v>
      </c>
      <c r="V3" s="266"/>
      <c r="W3" s="266"/>
      <c r="X3" s="265" t="str">
        <f>+U3</f>
        <v>VOLUME</v>
      </c>
      <c r="Y3" s="266"/>
      <c r="Z3" s="266"/>
      <c r="AA3" s="266"/>
      <c r="AB3" s="265"/>
      <c r="AC3" s="265"/>
      <c r="AD3" s="265"/>
      <c r="AE3" s="265"/>
      <c r="AF3" s="265"/>
      <c r="AG3" s="265"/>
      <c r="AH3" s="265"/>
      <c r="AI3" s="265"/>
      <c r="AJ3" s="264"/>
      <c r="AK3" s="264"/>
      <c r="AM3" s="263" t="s">
        <v>343</v>
      </c>
      <c r="AN3" s="263"/>
      <c r="AO3" s="263"/>
      <c r="AP3" s="263" t="s">
        <v>343</v>
      </c>
      <c r="AQ3" s="263"/>
      <c r="AR3" s="263"/>
      <c r="AS3" s="263"/>
      <c r="AT3" s="263"/>
      <c r="AU3" s="263"/>
      <c r="AV3" s="263"/>
      <c r="AW3" s="263"/>
      <c r="AX3" s="263"/>
      <c r="AY3" s="263"/>
      <c r="AZ3" s="262"/>
      <c r="BA3" s="262"/>
      <c r="BB3" s="262"/>
      <c r="BC3" s="262"/>
    </row>
    <row r="4" spans="1:63">
      <c r="A4" s="261"/>
      <c r="B4" s="261"/>
      <c r="C4" s="260" t="s">
        <v>311</v>
      </c>
      <c r="D4" s="260" t="s">
        <v>310</v>
      </c>
      <c r="E4" s="260" t="s">
        <v>182</v>
      </c>
      <c r="F4" s="258" t="s">
        <v>309</v>
      </c>
      <c r="G4" s="260" t="s">
        <v>308</v>
      </c>
      <c r="H4" s="260" t="s">
        <v>307</v>
      </c>
      <c r="I4" s="260" t="s">
        <v>306</v>
      </c>
      <c r="J4" s="258" t="s">
        <v>305</v>
      </c>
      <c r="K4" s="259" t="s">
        <v>304</v>
      </c>
      <c r="L4" s="259" t="s">
        <v>303</v>
      </c>
      <c r="M4" s="259" t="s">
        <v>302</v>
      </c>
      <c r="N4" s="258" t="s">
        <v>301</v>
      </c>
      <c r="O4" s="259" t="s">
        <v>300</v>
      </c>
      <c r="P4" s="259" t="s">
        <v>299</v>
      </c>
      <c r="Q4" s="259" t="s">
        <v>298</v>
      </c>
      <c r="R4" s="258" t="s">
        <v>297</v>
      </c>
      <c r="S4" s="257" t="s">
        <v>312</v>
      </c>
      <c r="T4" s="252"/>
      <c r="U4" s="256" t="s">
        <v>311</v>
      </c>
      <c r="V4" s="256" t="s">
        <v>310</v>
      </c>
      <c r="W4" s="256" t="s">
        <v>182</v>
      </c>
      <c r="X4" s="254" t="s">
        <v>309</v>
      </c>
      <c r="Y4" s="256" t="s">
        <v>308</v>
      </c>
      <c r="Z4" s="256" t="s">
        <v>307</v>
      </c>
      <c r="AA4" s="256" t="s">
        <v>306</v>
      </c>
      <c r="AB4" s="254" t="s">
        <v>305</v>
      </c>
      <c r="AC4" s="255" t="s">
        <v>304</v>
      </c>
      <c r="AD4" s="255" t="s">
        <v>303</v>
      </c>
      <c r="AE4" s="255" t="s">
        <v>302</v>
      </c>
      <c r="AF4" s="254" t="s">
        <v>301</v>
      </c>
      <c r="AG4" s="255" t="s">
        <v>300</v>
      </c>
      <c r="AH4" s="255" t="s">
        <v>299</v>
      </c>
      <c r="AI4" s="255" t="s">
        <v>298</v>
      </c>
      <c r="AJ4" s="254" t="s">
        <v>297</v>
      </c>
      <c r="AK4" s="253" t="s">
        <v>312</v>
      </c>
      <c r="AL4" s="252"/>
      <c r="AM4" s="256" t="s">
        <v>311</v>
      </c>
      <c r="AN4" s="251" t="s">
        <v>310</v>
      </c>
      <c r="AO4" s="251" t="s">
        <v>182</v>
      </c>
      <c r="AP4" s="250" t="s">
        <v>309</v>
      </c>
      <c r="AQ4" s="251" t="s">
        <v>308</v>
      </c>
      <c r="AR4" s="251" t="s">
        <v>307</v>
      </c>
      <c r="AS4" s="251" t="s">
        <v>306</v>
      </c>
      <c r="AT4" s="250" t="s">
        <v>305</v>
      </c>
      <c r="AU4" s="251" t="s">
        <v>304</v>
      </c>
      <c r="AV4" s="251" t="s">
        <v>303</v>
      </c>
      <c r="AW4" s="251" t="s">
        <v>302</v>
      </c>
      <c r="AX4" s="250" t="s">
        <v>301</v>
      </c>
      <c r="AY4" s="251" t="s">
        <v>300</v>
      </c>
      <c r="AZ4" s="251" t="s">
        <v>299</v>
      </c>
      <c r="BA4" s="251" t="s">
        <v>298</v>
      </c>
      <c r="BB4" s="250" t="s">
        <v>297</v>
      </c>
      <c r="BC4" s="249" t="s">
        <v>312</v>
      </c>
      <c r="BD4" s="313"/>
    </row>
    <row r="5" spans="1:63">
      <c r="B5" s="234"/>
      <c r="C5" s="516"/>
      <c r="D5" s="516"/>
      <c r="E5" s="516"/>
      <c r="F5" s="514"/>
      <c r="G5" s="516"/>
      <c r="H5" s="516"/>
      <c r="I5" s="516"/>
      <c r="J5" s="514"/>
      <c r="K5" s="515"/>
      <c r="L5" s="515"/>
      <c r="M5" s="515"/>
      <c r="N5" s="514"/>
      <c r="O5" s="515"/>
      <c r="P5" s="515"/>
      <c r="Q5" s="515"/>
      <c r="R5" s="514"/>
      <c r="S5" s="513"/>
      <c r="T5" s="494"/>
      <c r="U5" s="512"/>
      <c r="V5" s="512"/>
      <c r="W5" s="512"/>
      <c r="X5" s="510"/>
      <c r="Y5" s="512"/>
      <c r="Z5" s="512"/>
      <c r="AA5" s="512"/>
      <c r="AB5" s="510"/>
      <c r="AC5" s="511"/>
      <c r="AD5" s="511"/>
      <c r="AE5" s="511"/>
      <c r="AF5" s="510"/>
      <c r="AG5" s="511"/>
      <c r="AH5" s="511"/>
      <c r="AI5" s="511"/>
      <c r="AJ5" s="510"/>
      <c r="AK5" s="509"/>
      <c r="AM5" s="508"/>
      <c r="AN5" s="508"/>
      <c r="AO5" s="507"/>
      <c r="AP5" s="506"/>
      <c r="AQ5" s="507"/>
      <c r="AR5" s="507"/>
      <c r="AS5" s="507"/>
      <c r="AT5" s="506"/>
      <c r="AU5" s="507"/>
      <c r="AV5" s="507"/>
      <c r="AW5" s="507"/>
      <c r="AX5" s="506"/>
      <c r="AY5" s="507"/>
      <c r="AZ5" s="507"/>
      <c r="BA5" s="507"/>
      <c r="BB5" s="506"/>
      <c r="BC5" s="505" t="s">
        <v>450</v>
      </c>
    </row>
    <row r="6" spans="1:63">
      <c r="A6" s="696" t="s">
        <v>342</v>
      </c>
      <c r="B6" s="233" t="s">
        <v>449</v>
      </c>
      <c r="C6" s="237">
        <f t="shared" ref="C6:E10" si="0">+U6*AM6/1000000</f>
        <v>296.98067302012294</v>
      </c>
      <c r="D6" s="237">
        <f t="shared" si="0"/>
        <v>271.51452452274128</v>
      </c>
      <c r="E6" s="237">
        <f t="shared" si="0"/>
        <v>297.30154302494435</v>
      </c>
      <c r="F6" s="246">
        <f t="shared" ref="F6:F12" si="1">SUM(C6:E6)</f>
        <v>865.79674056780846</v>
      </c>
      <c r="G6" s="237">
        <f t="shared" ref="G6:I10" si="2">+Y6*AQ6/1000000</f>
        <v>286.50133686841701</v>
      </c>
      <c r="H6" s="237">
        <f t="shared" si="2"/>
        <v>319.72500804766247</v>
      </c>
      <c r="I6" s="237">
        <f t="shared" si="2"/>
        <v>297.56547648035439</v>
      </c>
      <c r="J6" s="246">
        <f t="shared" ref="J6:J12" si="3">SUM(G6:I6)</f>
        <v>903.79182139643387</v>
      </c>
      <c r="K6" s="237">
        <f t="shared" ref="K6:M10" si="4">+AC6*AU6/1000000</f>
        <v>191.24553880129514</v>
      </c>
      <c r="L6" s="237">
        <f t="shared" si="4"/>
        <v>322.44497758428264</v>
      </c>
      <c r="M6" s="237">
        <f t="shared" si="4"/>
        <v>282.15435308622193</v>
      </c>
      <c r="N6" s="246">
        <f t="shared" ref="N6:N12" si="5">SUM(K6:M6)</f>
        <v>795.84486947179971</v>
      </c>
      <c r="O6" s="237">
        <f t="shared" ref="O6:Q10" si="6">+AG6*AY6/1000000</f>
        <v>260.06265631856957</v>
      </c>
      <c r="P6" s="237">
        <f t="shared" si="6"/>
        <v>311.56476813900548</v>
      </c>
      <c r="Q6" s="237">
        <f t="shared" si="6"/>
        <v>302.52835408772228</v>
      </c>
      <c r="R6" s="246">
        <f t="shared" ref="R6:R12" si="7">SUM(O6:Q6)</f>
        <v>874.15577854529727</v>
      </c>
      <c r="S6" s="245">
        <f t="shared" ref="S6:S12" si="8">+F6+J6+N6+R6</f>
        <v>3439.5892099813395</v>
      </c>
      <c r="U6" s="504">
        <f>+[18]Production_M!U93</f>
        <v>241761.61185003913</v>
      </c>
      <c r="V6" s="244">
        <f>+[18]Production_M!V93</f>
        <v>221547.94210634398</v>
      </c>
      <c r="W6" s="244">
        <f>+[18]Production_M!W93</f>
        <v>237719.98737507185</v>
      </c>
      <c r="X6" s="287">
        <f t="shared" ref="X6:X12" si="9">SUM(U6:W6)</f>
        <v>701029.541331455</v>
      </c>
      <c r="Y6" s="244">
        <f>+[18]Production_M!Y93</f>
        <v>232416.52282291808</v>
      </c>
      <c r="Z6" s="244">
        <f>+[18]Production_M!Z93</f>
        <v>259368.3346898157</v>
      </c>
      <c r="AA6" s="244">
        <f>+[18]Production_M!AA93</f>
        <v>236844.37671268551</v>
      </c>
      <c r="AB6" s="287">
        <f t="shared" ref="AB6:AB12" si="10">SUM(Y6:AA6)</f>
        <v>728629.23422541935</v>
      </c>
      <c r="AC6" s="244">
        <f>+[18]Production_M!AC93</f>
        <v>147995.62262588044</v>
      </c>
      <c r="AD6" s="244">
        <f>+[18]Production_M!AD93</f>
        <v>249663.06175043675</v>
      </c>
      <c r="AE6" s="244">
        <f>+[18]Production_M!AE93</f>
        <v>214769.35532459285</v>
      </c>
      <c r="AF6" s="287">
        <f t="shared" ref="AF6:AF12" si="11">SUM(AC6:AE6)</f>
        <v>612428.03970090998</v>
      </c>
      <c r="AG6" s="244">
        <f>+[18]Production_M!AG93</f>
        <v>194242.03639794115</v>
      </c>
      <c r="AH6" s="244">
        <f>+[18]Production_M!AH93</f>
        <v>227231.31128208313</v>
      </c>
      <c r="AI6" s="244">
        <f>+[18]Production_M!AI93</f>
        <v>222738.12046545444</v>
      </c>
      <c r="AJ6" s="287">
        <f t="shared" ref="AJ6:AJ12" si="12">SUM(AG6:AI6)</f>
        <v>644211.46814547875</v>
      </c>
      <c r="AK6" s="286">
        <f t="shared" ref="AK6:AK12" si="13">+X6+AB6+AF6+AJ6</f>
        <v>2686298.2834032634</v>
      </c>
      <c r="AL6" s="234" t="str">
        <f>$A$6&amp;B6</f>
        <v>NGL : (BBL)ROC</v>
      </c>
      <c r="AM6" s="241">
        <f>[17]PP21!B606</f>
        <v>1228.4029327382848</v>
      </c>
      <c r="AN6" s="241">
        <f>[17]PP21!C606</f>
        <v>1225.5339496334075</v>
      </c>
      <c r="AO6" s="241">
        <f>[17]PP21!D606</f>
        <v>1250.6375518010836</v>
      </c>
      <c r="AP6" s="240">
        <f t="shared" ref="AP6:AP12" si="14">IF(X6=0,0,+F6/X6*1000000)</f>
        <v>1235.0360284723715</v>
      </c>
      <c r="AQ6" s="241">
        <f>[17]PP21!F606</f>
        <v>1232.7064073956008</v>
      </c>
      <c r="AR6" s="241">
        <f>[17]PP21!G606</f>
        <v>1232.7064073956008</v>
      </c>
      <c r="AS6" s="241">
        <f>[17]PP21!H606</f>
        <v>1256.3755180108383</v>
      </c>
      <c r="AT6" s="240">
        <f t="shared" ref="AT6:AT12" si="15">IF(AB6=0,0,+J6/AB6*1000000)</f>
        <v>1240.400163681634</v>
      </c>
      <c r="AU6" s="241">
        <f>[17]PP21!J606</f>
        <v>1292.2378068218043</v>
      </c>
      <c r="AV6" s="241">
        <f>[17]PP21!K606</f>
        <v>1291.5205610455851</v>
      </c>
      <c r="AW6" s="241">
        <f>[17]PP21!L606</f>
        <v>1313.7551801083837</v>
      </c>
      <c r="AX6" s="240">
        <f t="shared" ref="AX6:AX12" si="16">IF(AF6=0,0,+N6/AF6*1000000)</f>
        <v>1299.4912346934091</v>
      </c>
      <c r="AY6" s="241">
        <f>[17]PP21!N606</f>
        <v>1338.8587822760599</v>
      </c>
      <c r="AZ6" s="241">
        <f>[17]PP21!O606</f>
        <v>1371.1348422059293</v>
      </c>
      <c r="BA6" s="241">
        <f>[17]PP21!P606</f>
        <v>1358.2244182339814</v>
      </c>
      <c r="BB6" s="240">
        <f t="shared" ref="BB6:BC12" si="17">IF(AJ6=0,0,+R6/AJ6*1000000)</f>
        <v>1356.9391756743632</v>
      </c>
      <c r="BC6" s="311">
        <f t="shared" si="17"/>
        <v>1280.419688026504</v>
      </c>
    </row>
    <row r="7" spans="1:63">
      <c r="A7" s="294" t="s">
        <v>448</v>
      </c>
      <c r="B7" s="503" t="s">
        <v>447</v>
      </c>
      <c r="C7" s="237">
        <f t="shared" si="0"/>
        <v>0</v>
      </c>
      <c r="D7" s="237">
        <f t="shared" si="0"/>
        <v>0</v>
      </c>
      <c r="E7" s="237">
        <f t="shared" si="0"/>
        <v>0</v>
      </c>
      <c r="F7" s="246">
        <f t="shared" si="1"/>
        <v>0</v>
      </c>
      <c r="G7" s="237">
        <f t="shared" si="2"/>
        <v>0</v>
      </c>
      <c r="H7" s="237">
        <f t="shared" si="2"/>
        <v>0</v>
      </c>
      <c r="I7" s="237">
        <f t="shared" si="2"/>
        <v>0</v>
      </c>
      <c r="J7" s="246">
        <f t="shared" si="3"/>
        <v>0</v>
      </c>
      <c r="K7" s="237">
        <f t="shared" si="4"/>
        <v>0</v>
      </c>
      <c r="L7" s="237">
        <f t="shared" si="4"/>
        <v>0</v>
      </c>
      <c r="M7" s="237">
        <f t="shared" si="4"/>
        <v>0</v>
      </c>
      <c r="N7" s="246">
        <f t="shared" si="5"/>
        <v>0</v>
      </c>
      <c r="O7" s="237">
        <f t="shared" si="6"/>
        <v>0</v>
      </c>
      <c r="P7" s="237">
        <f t="shared" si="6"/>
        <v>0</v>
      </c>
      <c r="Q7" s="237">
        <f t="shared" si="6"/>
        <v>0</v>
      </c>
      <c r="R7" s="246">
        <f t="shared" si="7"/>
        <v>0</v>
      </c>
      <c r="S7" s="245">
        <f t="shared" si="8"/>
        <v>0</v>
      </c>
      <c r="U7" s="244">
        <f>+[18]Production_M!B99</f>
        <v>0</v>
      </c>
      <c r="V7" s="244">
        <f>+[18]Production_M!C99</f>
        <v>0</v>
      </c>
      <c r="W7" s="244">
        <f>+[18]Production_M!D99</f>
        <v>0</v>
      </c>
      <c r="X7" s="287">
        <f t="shared" si="9"/>
        <v>0</v>
      </c>
      <c r="Y7" s="244">
        <f>+[18]Production_M!F99</f>
        <v>0</v>
      </c>
      <c r="Z7" s="244">
        <f>+[18]Production_M!G99</f>
        <v>0</v>
      </c>
      <c r="AA7" s="244">
        <f>+[18]Production_M!H99</f>
        <v>0</v>
      </c>
      <c r="AB7" s="287">
        <f t="shared" si="10"/>
        <v>0</v>
      </c>
      <c r="AC7" s="244">
        <f>+[18]Production_M!J99</f>
        <v>0</v>
      </c>
      <c r="AD7" s="244">
        <f>+[18]Production_M!K99</f>
        <v>0</v>
      </c>
      <c r="AE7" s="244">
        <f>+[18]Production_M!L99</f>
        <v>0</v>
      </c>
      <c r="AF7" s="287">
        <f t="shared" si="11"/>
        <v>0</v>
      </c>
      <c r="AG7" s="244">
        <f>+[18]Production_M!N99</f>
        <v>0</v>
      </c>
      <c r="AH7" s="244">
        <f>+[18]Production_M!O99</f>
        <v>0</v>
      </c>
      <c r="AI7" s="244">
        <f>+[18]Production_M!P99</f>
        <v>0</v>
      </c>
      <c r="AJ7" s="287">
        <f t="shared" si="12"/>
        <v>0</v>
      </c>
      <c r="AK7" s="286">
        <f t="shared" si="13"/>
        <v>0</v>
      </c>
      <c r="AL7" s="234" t="str">
        <f t="shared" ref="AL7:AL12" si="18">$A$6&amp;B7</f>
        <v>NGL : (BBL)Veerasuwan / SPRC</v>
      </c>
      <c r="AM7" s="241">
        <f>[17]PP21!B178*[17]PP21!B$13</f>
        <v>1324.0357029008605</v>
      </c>
      <c r="AN7" s="241">
        <f>[17]PP21!C178*[17]PP21!C$13</f>
        <v>1321.1667197959832</v>
      </c>
      <c r="AO7" s="241">
        <f>[17]PP21!D178*[17]PP21!D$13</f>
        <v>1346.2703219636594</v>
      </c>
      <c r="AP7" s="240">
        <f t="shared" si="14"/>
        <v>0</v>
      </c>
      <c r="AQ7" s="241">
        <f>[17]PP21!F178*[17]PP21!F$13</f>
        <v>1328.3391775581765</v>
      </c>
      <c r="AR7" s="241">
        <f>[17]PP21!G178*[17]PP21!G$13</f>
        <v>1328.3391775581765</v>
      </c>
      <c r="AS7" s="241">
        <f>[17]PP21!H178*[17]PP21!H$13</f>
        <v>1352.008288173414</v>
      </c>
      <c r="AT7" s="240">
        <f t="shared" si="15"/>
        <v>0</v>
      </c>
      <c r="AU7" s="241">
        <f>[17]PP21!J178*[17]PP21!J$13</f>
        <v>1387.87057698438</v>
      </c>
      <c r="AV7" s="241">
        <f>[17]PP21!K178*[17]PP21!K$13</f>
        <v>1387.1533312081606</v>
      </c>
      <c r="AW7" s="241">
        <f>[17]PP21!L178*[17]PP21!L$13</f>
        <v>1409.3879502709594</v>
      </c>
      <c r="AX7" s="240">
        <f t="shared" si="16"/>
        <v>0</v>
      </c>
      <c r="AY7" s="241">
        <f>[17]PP21!N178*[17]PP21!N$13</f>
        <v>1434.4915524386356</v>
      </c>
      <c r="AZ7" s="241">
        <f>[17]PP21!O178*[17]PP21!O$13</f>
        <v>1466.7676123685048</v>
      </c>
      <c r="BA7" s="241">
        <f>[17]PP21!P178*[17]PP21!P$13</f>
        <v>1453.8571883965571</v>
      </c>
      <c r="BB7" s="240">
        <f t="shared" si="17"/>
        <v>0</v>
      </c>
      <c r="BC7" s="311">
        <f t="shared" si="17"/>
        <v>0</v>
      </c>
      <c r="BI7" s="233">
        <f>BI8+BI9</f>
        <v>609506.92576312972</v>
      </c>
    </row>
    <row r="8" spans="1:63">
      <c r="A8" s="294"/>
      <c r="B8" s="233" t="s">
        <v>427</v>
      </c>
      <c r="C8" s="237">
        <f t="shared" si="0"/>
        <v>253.31060082327633</v>
      </c>
      <c r="D8" s="237">
        <f t="shared" si="0"/>
        <v>228.26161388481603</v>
      </c>
      <c r="E8" s="237">
        <f t="shared" si="0"/>
        <v>257.90158806698776</v>
      </c>
      <c r="F8" s="246">
        <f t="shared" si="1"/>
        <v>739.47380277508012</v>
      </c>
      <c r="G8" s="237">
        <f t="shared" si="2"/>
        <v>245.99920548336635</v>
      </c>
      <c r="H8" s="237">
        <f t="shared" si="2"/>
        <v>254.19917899947842</v>
      </c>
      <c r="I8" s="237">
        <f t="shared" si="2"/>
        <v>250.72873448573313</v>
      </c>
      <c r="J8" s="246">
        <f t="shared" si="3"/>
        <v>750.92711896857782</v>
      </c>
      <c r="K8" s="237">
        <f t="shared" si="4"/>
        <v>266.49117710360917</v>
      </c>
      <c r="L8" s="237">
        <f t="shared" si="4"/>
        <v>266.34308074090887</v>
      </c>
      <c r="M8" s="237">
        <f t="shared" si="4"/>
        <v>262.19425933995524</v>
      </c>
      <c r="N8" s="246">
        <f t="shared" si="5"/>
        <v>795.02851718447334</v>
      </c>
      <c r="O8" s="237">
        <f t="shared" si="6"/>
        <v>276.11744067913338</v>
      </c>
      <c r="P8" s="237">
        <f t="shared" si="6"/>
        <v>273.65978419417735</v>
      </c>
      <c r="Q8" s="237">
        <f t="shared" si="6"/>
        <v>280.11604247204309</v>
      </c>
      <c r="R8" s="246">
        <f t="shared" si="7"/>
        <v>829.89326734535382</v>
      </c>
      <c r="S8" s="245">
        <f t="shared" si="8"/>
        <v>3115.322706273485</v>
      </c>
      <c r="U8" s="244">
        <f>+[18]Production_M!U92</f>
        <v>206479.23990713732</v>
      </c>
      <c r="V8" s="244">
        <f>+[18]Production_M!V92</f>
        <v>186497.37798064016</v>
      </c>
      <c r="W8" s="244">
        <f>+[18]Production_M!W92</f>
        <v>206479.23990713732</v>
      </c>
      <c r="X8" s="287">
        <f t="shared" si="9"/>
        <v>599455.85779491486</v>
      </c>
      <c r="Y8" s="244">
        <f>+[18]Production_M!Y92</f>
        <v>199818.61926497155</v>
      </c>
      <c r="Z8" s="244">
        <f>+[18]Production_M!Z92</f>
        <v>206479.23990713718</v>
      </c>
      <c r="AA8" s="244">
        <f>+[18]Production_M!AA92</f>
        <v>199818.6192649717</v>
      </c>
      <c r="AB8" s="287">
        <f t="shared" si="10"/>
        <v>606116.4784370804</v>
      </c>
      <c r="AC8" s="244">
        <f>+[18]Production_M!AC92</f>
        <v>206479.23990713729</v>
      </c>
      <c r="AD8" s="244">
        <f>+[18]Production_M!AD92</f>
        <v>206479.23990713729</v>
      </c>
      <c r="AE8" s="244">
        <f>+[18]Production_M!AE92</f>
        <v>199818.61926497164</v>
      </c>
      <c r="AF8" s="287">
        <f t="shared" si="11"/>
        <v>612777.09907924617</v>
      </c>
      <c r="AG8" s="244">
        <f>+[18]Production_M!AG92</f>
        <v>206479.23990713738</v>
      </c>
      <c r="AH8" s="244">
        <f>+[18]Production_M!AH92</f>
        <v>199818.61926497164</v>
      </c>
      <c r="AI8" s="244">
        <f>+[18]Production_M!AI92</f>
        <v>206479.23990713723</v>
      </c>
      <c r="AJ8" s="287">
        <f t="shared" si="12"/>
        <v>612777.09907924628</v>
      </c>
      <c r="AK8" s="286">
        <f t="shared" si="13"/>
        <v>2431126.5343904877</v>
      </c>
      <c r="AL8" s="234" t="str">
        <f t="shared" si="18"/>
        <v>NGL : (BBL)TOC : GC I4</v>
      </c>
      <c r="AM8" s="241">
        <f>[17]PP21!B605</f>
        <v>1226.8090532355752</v>
      </c>
      <c r="AN8" s="241">
        <f>[17]PP21!C605</f>
        <v>1223.9400701306981</v>
      </c>
      <c r="AO8" s="241">
        <f>[17]PP21!D605</f>
        <v>1249.0436722983741</v>
      </c>
      <c r="AP8" s="240">
        <f t="shared" si="14"/>
        <v>1233.5750717245771</v>
      </c>
      <c r="AQ8" s="241">
        <f>[17]PP21!F605</f>
        <v>1231.1125278928914</v>
      </c>
      <c r="AR8" s="241">
        <f>[17]PP21!G605</f>
        <v>1231.1125278928914</v>
      </c>
      <c r="AS8" s="241">
        <f>[17]PP21!H605</f>
        <v>1254.7816385081287</v>
      </c>
      <c r="AT8" s="240">
        <f t="shared" si="15"/>
        <v>1238.91553139242</v>
      </c>
      <c r="AU8" s="241">
        <f>[17]PP21!J605</f>
        <v>1290.6439273190945</v>
      </c>
      <c r="AV8" s="241">
        <f>[17]PP21!K605</f>
        <v>1289.9266815428755</v>
      </c>
      <c r="AW8" s="241">
        <f>[17]PP21!L605</f>
        <v>1312.1613006056743</v>
      </c>
      <c r="AX8" s="240">
        <f t="shared" si="16"/>
        <v>1297.4187814444708</v>
      </c>
      <c r="AY8" s="241">
        <f>[17]PP21!N605</f>
        <v>1337.2649027733503</v>
      </c>
      <c r="AZ8" s="241">
        <f>[17]PP21!O605</f>
        <v>1369.5409627032195</v>
      </c>
      <c r="BA8" s="241">
        <f>[17]PP21!P605</f>
        <v>1356.6305387312718</v>
      </c>
      <c r="BB8" s="240">
        <f t="shared" si="17"/>
        <v>1354.3150822580419</v>
      </c>
      <c r="BC8" s="311">
        <f t="shared" si="17"/>
        <v>1281.4317404727487</v>
      </c>
      <c r="BE8" s="234"/>
      <c r="BH8" s="233" t="s">
        <v>79</v>
      </c>
      <c r="BI8" s="501">
        <f>AK190</f>
        <v>43868.748</v>
      </c>
      <c r="BK8" s="233" t="s">
        <v>171</v>
      </c>
    </row>
    <row r="9" spans="1:63">
      <c r="A9" s="502"/>
      <c r="B9" s="233" t="s">
        <v>446</v>
      </c>
      <c r="C9" s="237">
        <f t="shared" si="0"/>
        <v>0</v>
      </c>
      <c r="D9" s="237">
        <f t="shared" si="0"/>
        <v>0</v>
      </c>
      <c r="E9" s="237">
        <f t="shared" si="0"/>
        <v>0</v>
      </c>
      <c r="F9" s="246">
        <f t="shared" si="1"/>
        <v>0</v>
      </c>
      <c r="G9" s="237">
        <f t="shared" si="2"/>
        <v>0</v>
      </c>
      <c r="H9" s="237">
        <f t="shared" si="2"/>
        <v>0</v>
      </c>
      <c r="I9" s="237">
        <f t="shared" si="2"/>
        <v>0</v>
      </c>
      <c r="J9" s="246">
        <f t="shared" si="3"/>
        <v>0</v>
      </c>
      <c r="K9" s="237">
        <f t="shared" si="4"/>
        <v>0</v>
      </c>
      <c r="L9" s="237">
        <f t="shared" si="4"/>
        <v>0</v>
      </c>
      <c r="M9" s="237">
        <f t="shared" si="4"/>
        <v>0</v>
      </c>
      <c r="N9" s="246">
        <f t="shared" si="5"/>
        <v>0</v>
      </c>
      <c r="O9" s="237">
        <f t="shared" si="6"/>
        <v>0</v>
      </c>
      <c r="P9" s="237">
        <f t="shared" si="6"/>
        <v>0</v>
      </c>
      <c r="Q9" s="237">
        <f t="shared" si="6"/>
        <v>0</v>
      </c>
      <c r="R9" s="246">
        <f t="shared" si="7"/>
        <v>0</v>
      </c>
      <c r="S9" s="245">
        <f t="shared" si="8"/>
        <v>0</v>
      </c>
      <c r="U9" s="244">
        <f>+[18]Production_M!B91</f>
        <v>0</v>
      </c>
      <c r="V9" s="244">
        <f>+[18]Production_M!C91</f>
        <v>0</v>
      </c>
      <c r="W9" s="244">
        <f>+[18]Production_M!D91</f>
        <v>0</v>
      </c>
      <c r="X9" s="287">
        <f t="shared" si="9"/>
        <v>0</v>
      </c>
      <c r="Y9" s="244">
        <f>+[18]Production_M!F91</f>
        <v>0</v>
      </c>
      <c r="Z9" s="244">
        <f>+[18]Production_M!G91</f>
        <v>0</v>
      </c>
      <c r="AA9" s="244">
        <f>+[18]Production_M!H91</f>
        <v>0</v>
      </c>
      <c r="AB9" s="287">
        <f t="shared" si="10"/>
        <v>0</v>
      </c>
      <c r="AC9" s="244">
        <f>+[18]Production_M!J91</f>
        <v>0</v>
      </c>
      <c r="AD9" s="244">
        <f>+[18]Production_M!K91</f>
        <v>0</v>
      </c>
      <c r="AE9" s="244">
        <f>+[18]Production_M!L91</f>
        <v>0</v>
      </c>
      <c r="AF9" s="287">
        <f t="shared" si="11"/>
        <v>0</v>
      </c>
      <c r="AG9" s="244">
        <f>+[18]Production_M!N91</f>
        <v>0</v>
      </c>
      <c r="AH9" s="244">
        <f>+[18]Production_M!O91</f>
        <v>0</v>
      </c>
      <c r="AI9" s="244">
        <f>+[18]Production_M!P91</f>
        <v>0</v>
      </c>
      <c r="AJ9" s="287">
        <f t="shared" si="12"/>
        <v>0</v>
      </c>
      <c r="AK9" s="286">
        <f t="shared" si="13"/>
        <v>0</v>
      </c>
      <c r="AL9" s="234" t="str">
        <f t="shared" si="18"/>
        <v>NGL : (BBL)SCL</v>
      </c>
      <c r="AM9" s="241">
        <f>[17]PP21!B610</f>
        <v>1294.91371</v>
      </c>
      <c r="AN9" s="241">
        <f>[17]PP21!C610</f>
        <v>1291.8775700000001</v>
      </c>
      <c r="AO9" s="241">
        <f>[17]PP21!D610</f>
        <v>1318.4437949999999</v>
      </c>
      <c r="AP9" s="240">
        <f t="shared" si="14"/>
        <v>0</v>
      </c>
      <c r="AQ9" s="241">
        <f>[17]PP21!F610</f>
        <v>1299.46792</v>
      </c>
      <c r="AR9" s="241">
        <f>[17]PP21!G610</f>
        <v>1299.46792</v>
      </c>
      <c r="AS9" s="241">
        <f>[17]PP21!H610</f>
        <v>1324.516075</v>
      </c>
      <c r="AT9" s="240">
        <f t="shared" si="15"/>
        <v>0</v>
      </c>
      <c r="AU9" s="241">
        <f>[17]PP21!J610</f>
        <v>1362.4678249999999</v>
      </c>
      <c r="AV9" s="241">
        <f>[17]PP21!K610</f>
        <v>1361.7087900000001</v>
      </c>
      <c r="AW9" s="241">
        <f>[17]PP21!L610</f>
        <v>1385.238875</v>
      </c>
      <c r="AX9" s="240">
        <f t="shared" si="16"/>
        <v>0</v>
      </c>
      <c r="AY9" s="241">
        <f>[17]PP21!N610</f>
        <v>1411.8051</v>
      </c>
      <c r="AZ9" s="241">
        <f>[17]PP21!O610</f>
        <v>1445.961675</v>
      </c>
      <c r="BA9" s="241">
        <f>[17]PP21!P610</f>
        <v>1432.299045</v>
      </c>
      <c r="BB9" s="240">
        <f t="shared" si="17"/>
        <v>0</v>
      </c>
      <c r="BC9" s="311">
        <f t="shared" si="17"/>
        <v>0</v>
      </c>
      <c r="BH9" s="233" t="s">
        <v>71</v>
      </c>
      <c r="BI9" s="501">
        <f>AL23</f>
        <v>565638.1777631297</v>
      </c>
      <c r="BK9" s="233" t="s">
        <v>171</v>
      </c>
    </row>
    <row r="10" spans="1:63">
      <c r="A10" s="294" t="s">
        <v>391</v>
      </c>
      <c r="B10" s="233" t="s">
        <v>445</v>
      </c>
      <c r="C10" s="237">
        <f t="shared" si="0"/>
        <v>0</v>
      </c>
      <c r="D10" s="237">
        <f t="shared" si="0"/>
        <v>0</v>
      </c>
      <c r="E10" s="237">
        <f t="shared" si="0"/>
        <v>0</v>
      </c>
      <c r="F10" s="246">
        <f t="shared" si="1"/>
        <v>0</v>
      </c>
      <c r="G10" s="237">
        <f t="shared" si="2"/>
        <v>0</v>
      </c>
      <c r="H10" s="237">
        <f t="shared" si="2"/>
        <v>0</v>
      </c>
      <c r="I10" s="237">
        <f t="shared" si="2"/>
        <v>0</v>
      </c>
      <c r="J10" s="246">
        <f t="shared" si="3"/>
        <v>0</v>
      </c>
      <c r="K10" s="237">
        <f t="shared" si="4"/>
        <v>0</v>
      </c>
      <c r="L10" s="237">
        <f t="shared" si="4"/>
        <v>0</v>
      </c>
      <c r="M10" s="237">
        <f t="shared" si="4"/>
        <v>0</v>
      </c>
      <c r="N10" s="246">
        <f t="shared" si="5"/>
        <v>0</v>
      </c>
      <c r="O10" s="237">
        <f t="shared" si="6"/>
        <v>0</v>
      </c>
      <c r="P10" s="237">
        <f t="shared" si="6"/>
        <v>0</v>
      </c>
      <c r="Q10" s="237">
        <f t="shared" si="6"/>
        <v>0</v>
      </c>
      <c r="R10" s="246">
        <f t="shared" si="7"/>
        <v>0</v>
      </c>
      <c r="S10" s="245">
        <f t="shared" si="8"/>
        <v>0</v>
      </c>
      <c r="U10" s="244">
        <f>+[18]Production_M!B95</f>
        <v>0</v>
      </c>
      <c r="V10" s="244">
        <f>+[18]Production_M!C95</f>
        <v>0</v>
      </c>
      <c r="W10" s="244">
        <f>+[18]Production_M!D95</f>
        <v>0</v>
      </c>
      <c r="X10" s="287">
        <f t="shared" si="9"/>
        <v>0</v>
      </c>
      <c r="Y10" s="244">
        <f>+[18]Production_M!F95</f>
        <v>0</v>
      </c>
      <c r="Z10" s="244">
        <f>+[18]Production_M!G95</f>
        <v>0</v>
      </c>
      <c r="AA10" s="244">
        <f>+[18]Production_M!H95</f>
        <v>0</v>
      </c>
      <c r="AB10" s="287">
        <f t="shared" si="10"/>
        <v>0</v>
      </c>
      <c r="AC10" s="244">
        <f>+[18]Production_M!J95</f>
        <v>0</v>
      </c>
      <c r="AD10" s="244">
        <f>+[18]Production_M!K95</f>
        <v>0</v>
      </c>
      <c r="AE10" s="244">
        <f>+[18]Production_M!L95</f>
        <v>0</v>
      </c>
      <c r="AF10" s="287">
        <f t="shared" si="11"/>
        <v>0</v>
      </c>
      <c r="AG10" s="244">
        <f>+[18]Production_M!N95</f>
        <v>0</v>
      </c>
      <c r="AH10" s="244">
        <f>+[18]Production_M!O95</f>
        <v>0</v>
      </c>
      <c r="AI10" s="244">
        <f>+[18]Production_M!P95</f>
        <v>0</v>
      </c>
      <c r="AJ10" s="287">
        <f t="shared" si="12"/>
        <v>0</v>
      </c>
      <c r="AK10" s="286">
        <f t="shared" si="13"/>
        <v>0</v>
      </c>
      <c r="AL10" s="234" t="str">
        <f t="shared" si="18"/>
        <v>NGL : (BBL)L'AIR LIQUID</v>
      </c>
      <c r="AM10" s="241">
        <f>[17]PP21!B609</f>
        <v>1305.1000000000001</v>
      </c>
      <c r="AN10" s="241">
        <f>[17]PP21!C609</f>
        <v>1302</v>
      </c>
      <c r="AO10" s="241">
        <f>[17]PP21!D609</f>
        <v>1329.125</v>
      </c>
      <c r="AP10" s="240">
        <f t="shared" si="14"/>
        <v>0</v>
      </c>
      <c r="AQ10" s="241">
        <f>[17]PP21!F609</f>
        <v>1309.75</v>
      </c>
      <c r="AR10" s="241">
        <f>[17]PP21!G609</f>
        <v>1309.75</v>
      </c>
      <c r="AS10" s="241">
        <f>[17]PP21!H609</f>
        <v>1335.325</v>
      </c>
      <c r="AT10" s="240">
        <f t="shared" si="15"/>
        <v>0</v>
      </c>
      <c r="AU10" s="241">
        <f>[17]PP21!J609</f>
        <v>1374.075</v>
      </c>
      <c r="AV10" s="241">
        <f>[17]PP21!K609</f>
        <v>1373.3000000000002</v>
      </c>
      <c r="AW10" s="241">
        <f>[17]PP21!L609</f>
        <v>1397.325</v>
      </c>
      <c r="AX10" s="240">
        <f t="shared" si="16"/>
        <v>0</v>
      </c>
      <c r="AY10" s="241">
        <f>[17]PP21!N609</f>
        <v>1424.45</v>
      </c>
      <c r="AZ10" s="241">
        <f>[17]PP21!O609</f>
        <v>1459.325</v>
      </c>
      <c r="BA10" s="241">
        <f>[17]PP21!P609</f>
        <v>1445.375</v>
      </c>
      <c r="BB10" s="240">
        <f t="shared" si="17"/>
        <v>0</v>
      </c>
      <c r="BC10" s="311">
        <f t="shared" si="17"/>
        <v>0</v>
      </c>
      <c r="BE10" s="476" t="s">
        <v>71</v>
      </c>
      <c r="BF10" s="294"/>
      <c r="BH10" s="233" t="s">
        <v>71</v>
      </c>
      <c r="BI10" s="233">
        <f>+AK2</f>
        <v>2791.2205007020666</v>
      </c>
      <c r="BJ10" s="233" t="e">
        <f>+$BJ$24*(BI10/$BI$24)</f>
        <v>#REF!</v>
      </c>
    </row>
    <row r="11" spans="1:63" s="479" customFormat="1">
      <c r="A11" s="480"/>
      <c r="B11" s="500" t="s">
        <v>444</v>
      </c>
      <c r="C11" s="292"/>
      <c r="D11" s="292"/>
      <c r="E11" s="292"/>
      <c r="F11" s="246">
        <f t="shared" si="1"/>
        <v>0</v>
      </c>
      <c r="G11" s="292"/>
      <c r="H11" s="292"/>
      <c r="I11" s="292"/>
      <c r="J11" s="246">
        <f t="shared" si="3"/>
        <v>0</v>
      </c>
      <c r="K11" s="292"/>
      <c r="L11" s="292"/>
      <c r="M11" s="292"/>
      <c r="N11" s="246">
        <f t="shared" si="5"/>
        <v>0</v>
      </c>
      <c r="O11" s="292"/>
      <c r="P11" s="292"/>
      <c r="Q11" s="292"/>
      <c r="R11" s="246">
        <f t="shared" si="7"/>
        <v>0</v>
      </c>
      <c r="S11" s="245">
        <f t="shared" si="8"/>
        <v>0</v>
      </c>
      <c r="T11" s="285"/>
      <c r="U11" s="244"/>
      <c r="V11" s="244"/>
      <c r="W11" s="244"/>
      <c r="X11" s="287">
        <f t="shared" si="9"/>
        <v>0</v>
      </c>
      <c r="Y11" s="244"/>
      <c r="Z11" s="244"/>
      <c r="AA11" s="244"/>
      <c r="AB11" s="287">
        <f t="shared" si="10"/>
        <v>0</v>
      </c>
      <c r="AC11" s="244"/>
      <c r="AD11" s="244"/>
      <c r="AE11" s="244"/>
      <c r="AF11" s="287">
        <f t="shared" si="11"/>
        <v>0</v>
      </c>
      <c r="AG11" s="244"/>
      <c r="AH11" s="244"/>
      <c r="AI11" s="244"/>
      <c r="AJ11" s="287">
        <f t="shared" si="12"/>
        <v>0</v>
      </c>
      <c r="AK11" s="286">
        <f t="shared" si="13"/>
        <v>0</v>
      </c>
      <c r="AL11" s="234" t="str">
        <f t="shared" si="18"/>
        <v>NGL : (BBL)PTT OR</v>
      </c>
      <c r="AM11" s="234">
        <f t="shared" ref="AM11:AO12" si="19">IF(U11=0,0,+C11*1000000/U11)</f>
        <v>0</v>
      </c>
      <c r="AN11" s="234">
        <f t="shared" si="19"/>
        <v>0</v>
      </c>
      <c r="AO11" s="234">
        <f t="shared" si="19"/>
        <v>0</v>
      </c>
      <c r="AP11" s="247">
        <f t="shared" si="14"/>
        <v>0</v>
      </c>
      <c r="AQ11" s="234">
        <f t="shared" ref="AQ11:AS12" si="20">IF(Y11=0,0,+G11*1000000/Y11)</f>
        <v>0</v>
      </c>
      <c r="AR11" s="234">
        <f t="shared" si="20"/>
        <v>0</v>
      </c>
      <c r="AS11" s="234">
        <f t="shared" si="20"/>
        <v>0</v>
      </c>
      <c r="AT11" s="247">
        <f t="shared" si="15"/>
        <v>0</v>
      </c>
      <c r="AU11" s="234">
        <f t="shared" ref="AU11:AW12" si="21">IF(AC11=0,0,+K11*1000000/AC11)</f>
        <v>0</v>
      </c>
      <c r="AV11" s="234">
        <f t="shared" si="21"/>
        <v>0</v>
      </c>
      <c r="AW11" s="234">
        <f t="shared" si="21"/>
        <v>0</v>
      </c>
      <c r="AX11" s="247">
        <f t="shared" si="16"/>
        <v>0</v>
      </c>
      <c r="AY11" s="234">
        <f t="shared" ref="AY11:BA12" si="22">IF(AG11=0,0,+O11*1000000/AG11)</f>
        <v>0</v>
      </c>
      <c r="AZ11" s="234">
        <f t="shared" si="22"/>
        <v>0</v>
      </c>
      <c r="BA11" s="234">
        <f t="shared" si="22"/>
        <v>0</v>
      </c>
      <c r="BB11" s="247">
        <f t="shared" si="17"/>
        <v>0</v>
      </c>
      <c r="BC11" s="282">
        <f t="shared" si="17"/>
        <v>0</v>
      </c>
      <c r="BE11" s="473">
        <f>+AK23*158.984*0.0006468</f>
        <v>565625.512168961</v>
      </c>
      <c r="BF11" s="472" t="s">
        <v>399</v>
      </c>
      <c r="BH11" s="233" t="s">
        <v>50</v>
      </c>
      <c r="BI11" s="233">
        <f>(+AK42-AK31)*1000</f>
        <v>3219700.0000000005</v>
      </c>
      <c r="BJ11" s="233" t="e">
        <f>+$BJ$24*(BI11/$BI$24)</f>
        <v>#REF!</v>
      </c>
      <c r="BK11" s="233" t="s">
        <v>171</v>
      </c>
    </row>
    <row r="12" spans="1:63" s="479" customFormat="1">
      <c r="A12" s="480"/>
      <c r="B12" s="479" t="s">
        <v>443</v>
      </c>
      <c r="C12" s="292">
        <f>+C169</f>
        <v>28.636003133152908</v>
      </c>
      <c r="D12" s="292">
        <f>+D169</f>
        <v>18.759843618066466</v>
      </c>
      <c r="E12" s="292">
        <f>+E169</f>
        <v>41.521176550684082</v>
      </c>
      <c r="F12" s="246">
        <f t="shared" si="1"/>
        <v>88.917023301903455</v>
      </c>
      <c r="G12" s="292">
        <f>+G169</f>
        <v>39.22982090985851</v>
      </c>
      <c r="H12" s="292">
        <f>+H169</f>
        <v>19.68820705478743</v>
      </c>
      <c r="I12" s="292">
        <f>+I169</f>
        <v>33.377472350899012</v>
      </c>
      <c r="J12" s="246">
        <f t="shared" si="3"/>
        <v>92.295500315544956</v>
      </c>
      <c r="K12" s="292">
        <f>+K169</f>
        <v>42.211058857976639</v>
      </c>
      <c r="L12" s="292">
        <f>+L169</f>
        <v>34.388027827166873</v>
      </c>
      <c r="M12" s="292">
        <f>+M169</f>
        <v>31.818887698020589</v>
      </c>
      <c r="N12" s="246">
        <f t="shared" si="5"/>
        <v>108.41797438316409</v>
      </c>
      <c r="O12" s="292">
        <f>+O169</f>
        <v>41.662603636948255</v>
      </c>
      <c r="P12" s="292">
        <f>+P169</f>
        <v>43.667921093542155</v>
      </c>
      <c r="Q12" s="292">
        <f>+Q169</f>
        <v>56.573664608313933</v>
      </c>
      <c r="R12" s="246">
        <f t="shared" si="7"/>
        <v>141.90418933880434</v>
      </c>
      <c r="S12" s="245">
        <f t="shared" si="8"/>
        <v>431.53468733941691</v>
      </c>
      <c r="T12" s="285"/>
      <c r="U12" s="499">
        <f>+U169</f>
        <v>27049.547190433961</v>
      </c>
      <c r="V12" s="499">
        <f>+V169</f>
        <v>17772.576967520694</v>
      </c>
      <c r="W12" s="499">
        <f>+W169</f>
        <v>38350.545224267742</v>
      </c>
      <c r="X12" s="287">
        <f t="shared" si="9"/>
        <v>83172.669382222404</v>
      </c>
      <c r="Y12" s="499">
        <f>+Y169</f>
        <v>36894.405068991357</v>
      </c>
      <c r="Z12" s="499">
        <f>+Z169</f>
        <v>18516.135667062383</v>
      </c>
      <c r="AA12" s="499">
        <f>+AA169</f>
        <v>30653.171714750559</v>
      </c>
      <c r="AB12" s="287">
        <f t="shared" si="10"/>
        <v>86063.712450804291</v>
      </c>
      <c r="AC12" s="499">
        <f>+AC169</f>
        <v>37433.596149408389</v>
      </c>
      <c r="AD12" s="499">
        <f>+AD169</f>
        <v>30516.952413512769</v>
      </c>
      <c r="AE12" s="499">
        <f>+AE169</f>
        <v>27647.56180994512</v>
      </c>
      <c r="AF12" s="287">
        <f t="shared" si="11"/>
        <v>95598.110372866286</v>
      </c>
      <c r="AG12" s="499">
        <f>+AG169</f>
        <v>35367.235685015497</v>
      </c>
      <c r="AH12" s="499">
        <f>+AH169</f>
        <v>36003.645135353734</v>
      </c>
      <c r="AI12" s="499">
        <f>+AI169</f>
        <v>46912.745159894279</v>
      </c>
      <c r="AJ12" s="287">
        <f t="shared" si="12"/>
        <v>118283.62598026352</v>
      </c>
      <c r="AK12" s="286">
        <f t="shared" si="13"/>
        <v>383118.1181861565</v>
      </c>
      <c r="AL12" s="234" t="str">
        <f t="shared" si="18"/>
        <v>NGL : (BBL)EXPORT : KHM</v>
      </c>
      <c r="AM12" s="234">
        <f t="shared" si="19"/>
        <v>1058.6499999999999</v>
      </c>
      <c r="AN12" s="234">
        <f t="shared" si="19"/>
        <v>1055.55</v>
      </c>
      <c r="AO12" s="234">
        <f t="shared" si="19"/>
        <v>1082.675</v>
      </c>
      <c r="AP12" s="247">
        <f t="shared" si="14"/>
        <v>1069.0654028823183</v>
      </c>
      <c r="AQ12" s="234">
        <f t="shared" si="20"/>
        <v>1063.3</v>
      </c>
      <c r="AR12" s="234">
        <f t="shared" si="20"/>
        <v>1063.3</v>
      </c>
      <c r="AS12" s="234">
        <f t="shared" si="20"/>
        <v>1088.8749999999998</v>
      </c>
      <c r="AT12" s="247">
        <f t="shared" si="15"/>
        <v>1072.4090059245686</v>
      </c>
      <c r="AU12" s="234">
        <f t="shared" si="21"/>
        <v>1127.625</v>
      </c>
      <c r="AV12" s="234">
        <f t="shared" si="21"/>
        <v>1126.8500000000001</v>
      </c>
      <c r="AW12" s="234">
        <f t="shared" si="21"/>
        <v>1150.875</v>
      </c>
      <c r="AX12" s="247">
        <f t="shared" si="16"/>
        <v>1134.1016465733037</v>
      </c>
      <c r="AY12" s="234">
        <f t="shared" si="22"/>
        <v>1178</v>
      </c>
      <c r="AZ12" s="234">
        <f t="shared" si="22"/>
        <v>1212.875</v>
      </c>
      <c r="BA12" s="234">
        <f t="shared" si="22"/>
        <v>1205.9337908172292</v>
      </c>
      <c r="BB12" s="247">
        <f t="shared" si="17"/>
        <v>1199.6942785849506</v>
      </c>
      <c r="BC12" s="282">
        <f t="shared" si="17"/>
        <v>1126.3750442878686</v>
      </c>
      <c r="BE12" s="473">
        <f>+BC23/158.984/0.0006468</f>
        <v>12351.717617552024</v>
      </c>
      <c r="BF12" s="472" t="s">
        <v>397</v>
      </c>
      <c r="BH12" s="479" t="s">
        <v>442</v>
      </c>
      <c r="BI12" s="479" t="e">
        <f>+AK61</f>
        <v>#REF!</v>
      </c>
      <c r="BJ12" s="233" t="e">
        <f>+$BJ$24*(BI12/$BI$24)</f>
        <v>#REF!</v>
      </c>
      <c r="BK12" s="233" t="s">
        <v>171</v>
      </c>
    </row>
    <row r="13" spans="1:63" ht="3" customHeight="1">
      <c r="BH13" s="479" t="s">
        <v>421</v>
      </c>
      <c r="BI13" s="479">
        <f>+AK76</f>
        <v>2237275.3468336873</v>
      </c>
      <c r="BJ13" s="233" t="e">
        <f>+$BJ$24*(BI13/$BI$24)</f>
        <v>#REF!</v>
      </c>
      <c r="BK13" s="479"/>
    </row>
    <row r="14" spans="1:63" ht="3" customHeight="1"/>
    <row r="15" spans="1:63" ht="3" customHeight="1"/>
    <row r="16" spans="1:63" ht="3" customHeight="1"/>
    <row r="17" spans="1:63" ht="3" customHeight="1"/>
    <row r="18" spans="1:63" ht="3" customHeight="1"/>
    <row r="19" spans="1:63" ht="3" customHeight="1"/>
    <row r="20" spans="1:63" ht="3" customHeight="1"/>
    <row r="21" spans="1:63" ht="3" customHeight="1"/>
    <row r="22" spans="1:63" ht="3" customHeight="1">
      <c r="U22" s="235"/>
      <c r="V22" s="235"/>
      <c r="W22" s="235"/>
      <c r="Y22" s="235"/>
      <c r="Z22" s="235"/>
      <c r="AA22" s="235"/>
    </row>
    <row r="23" spans="1:63" s="294" customFormat="1">
      <c r="A23" s="475"/>
      <c r="B23" s="423" t="s">
        <v>390</v>
      </c>
      <c r="C23" s="498">
        <f>SUM(C6:C22)</f>
        <v>578.92727697655221</v>
      </c>
      <c r="D23" s="498">
        <f>SUM(D6:D22)</f>
        <v>518.53598202562375</v>
      </c>
      <c r="E23" s="498">
        <f>SUM(E6:E22)</f>
        <v>596.72430764261628</v>
      </c>
      <c r="F23" s="496">
        <f>SUM(C23:E23)</f>
        <v>1694.1875666447922</v>
      </c>
      <c r="G23" s="498">
        <f>SUM(G6:G22)</f>
        <v>571.73036326164186</v>
      </c>
      <c r="H23" s="498">
        <f>SUM(H6:H22)</f>
        <v>593.61239410192832</v>
      </c>
      <c r="I23" s="498">
        <f>SUM(I6:I22)</f>
        <v>581.67168331698656</v>
      </c>
      <c r="J23" s="496">
        <f>SUM(G23:I23)</f>
        <v>1747.0144406805566</v>
      </c>
      <c r="K23" s="497">
        <f>SUM(K6:K22)</f>
        <v>499.94777476288095</v>
      </c>
      <c r="L23" s="497">
        <f>SUM(L6:L22)</f>
        <v>623.17608615235838</v>
      </c>
      <c r="M23" s="497">
        <f>SUM(M6:M22)</f>
        <v>576.16750012419777</v>
      </c>
      <c r="N23" s="496">
        <f>SUM(K23:M23)</f>
        <v>1699.2913610394371</v>
      </c>
      <c r="O23" s="497">
        <f>SUM(O6:O22)</f>
        <v>577.84270063465124</v>
      </c>
      <c r="P23" s="497">
        <f>SUM(P6:P22)</f>
        <v>628.89247342672502</v>
      </c>
      <c r="Q23" s="497">
        <f>SUM(Q6:Q22)</f>
        <v>639.21806116807932</v>
      </c>
      <c r="R23" s="496">
        <f>SUM(O23:Q23)</f>
        <v>1845.9532352294555</v>
      </c>
      <c r="S23" s="495">
        <f>SUM(S6:S22)</f>
        <v>6986.4466035942423</v>
      </c>
      <c r="T23" s="494"/>
      <c r="U23" s="415">
        <f>SUM(U6:U22)</f>
        <v>475290.3989476104</v>
      </c>
      <c r="V23" s="415">
        <f>SUM(V6:V22)</f>
        <v>425817.89705450484</v>
      </c>
      <c r="W23" s="415">
        <f>SUM(W6:W22)</f>
        <v>482549.77250647696</v>
      </c>
      <c r="X23" s="446">
        <f>SUM(U23:W23)</f>
        <v>1383658.0685085922</v>
      </c>
      <c r="Y23" s="415">
        <f>SUM(Y6:Y22)</f>
        <v>469129.54715688096</v>
      </c>
      <c r="Z23" s="415">
        <f>SUM(Z6:Z22)</f>
        <v>484363.71026401524</v>
      </c>
      <c r="AA23" s="415">
        <f>SUM(AA6:AA22)</f>
        <v>467316.16769240779</v>
      </c>
      <c r="AB23" s="446">
        <f>SUM(Y23:AA23)</f>
        <v>1420809.4251133041</v>
      </c>
      <c r="AC23" s="415">
        <f>SUM(AC6:AC22)</f>
        <v>391908.45868242614</v>
      </c>
      <c r="AD23" s="415">
        <f>SUM(AD6:AD22)</f>
        <v>486659.25407108676</v>
      </c>
      <c r="AE23" s="415">
        <f>SUM(AE6:AE22)</f>
        <v>442235.53639950958</v>
      </c>
      <c r="AF23" s="446">
        <f>SUM(AC23:AE23)</f>
        <v>1320803.2491530224</v>
      </c>
      <c r="AG23" s="415">
        <f>SUM(AG6:AG22)</f>
        <v>436088.51199009403</v>
      </c>
      <c r="AH23" s="419">
        <f>SUM(AH6:AH22)</f>
        <v>463053.57568240847</v>
      </c>
      <c r="AI23" s="419">
        <f>SUM(AI6:AI22)</f>
        <v>476130.10553248593</v>
      </c>
      <c r="AJ23" s="418">
        <f>SUM(AG23:AI23)</f>
        <v>1375272.1932049885</v>
      </c>
      <c r="AK23" s="417">
        <f>SUM(AK6:AK22)</f>
        <v>5500542.9359799074</v>
      </c>
      <c r="AL23" s="493">
        <f>AK23/BE2</f>
        <v>565638.1777631297</v>
      </c>
      <c r="AM23" s="474">
        <f>+C23/U23*1000000</f>
        <v>1218.049592961303</v>
      </c>
      <c r="AN23" s="474">
        <f>+D23/V23*1000000</f>
        <v>1217.7411649732774</v>
      </c>
      <c r="AO23" s="446">
        <f>+E23/W23*1000000</f>
        <v>1236.6067536268642</v>
      </c>
      <c r="AP23" s="446">
        <f>IF(X23=0,0,+F23/X23*1000000)</f>
        <v>1224.426471542143</v>
      </c>
      <c r="AQ23" s="446">
        <f>+G23/Y23*1000000</f>
        <v>1218.7046557322262</v>
      </c>
      <c r="AR23" s="446">
        <f>+H23/Z23*1000000</f>
        <v>1225.5509269642935</v>
      </c>
      <c r="AS23" s="446">
        <f>+I23/AA23*1000000</f>
        <v>1244.7069533015788</v>
      </c>
      <c r="AT23" s="446">
        <f>IF(AB23=0,0,+J23/AB23*1000000)</f>
        <v>1229.5909710348656</v>
      </c>
      <c r="AU23" s="446">
        <f>+K23/AC23*1000000</f>
        <v>1275.6748768415889</v>
      </c>
      <c r="AV23" s="446">
        <f>+L23/AD23*1000000</f>
        <v>1280.5183111987642</v>
      </c>
      <c r="AW23" s="446">
        <f>+M23/AE23*1000000</f>
        <v>1302.8521064026295</v>
      </c>
      <c r="AX23" s="446">
        <f>IF(AF23=0,0,+N23/AF23*1000000)</f>
        <v>1286.5590405907344</v>
      </c>
      <c r="AY23" s="446">
        <f>+O23/AG23*1000000</f>
        <v>1325.0582960731083</v>
      </c>
      <c r="AZ23" s="446">
        <f>+P23/AH23*1000000</f>
        <v>1358.1419223464964</v>
      </c>
      <c r="BA23" s="446">
        <f>+Q23/AI23*1000000</f>
        <v>1342.5281319970345</v>
      </c>
      <c r="BB23" s="446">
        <f>IF(AJ23=0,0,+R23/AJ23*1000000)</f>
        <v>1342.2457345898731</v>
      </c>
      <c r="BC23" s="413">
        <f>IF(AK23=0,0,+S23/AK23*1000000)</f>
        <v>1270.1376363949107</v>
      </c>
      <c r="BE23" s="473">
        <f>+BE12/BC2</f>
        <v>398.44250379200076</v>
      </c>
      <c r="BF23" s="472" t="s">
        <v>393</v>
      </c>
      <c r="BH23" s="233"/>
      <c r="BI23" s="233">
        <f>AK31*1000</f>
        <v>132000</v>
      </c>
      <c r="BJ23" s="233"/>
      <c r="BK23" s="233" t="s">
        <v>171</v>
      </c>
    </row>
    <row r="24" spans="1:63" s="294" customFormat="1" ht="20.5">
      <c r="B24" s="471"/>
      <c r="C24" s="470"/>
      <c r="D24" s="470"/>
      <c r="E24" s="470"/>
      <c r="F24" s="468"/>
      <c r="G24" s="470"/>
      <c r="H24" s="470"/>
      <c r="I24" s="470"/>
      <c r="J24" s="468"/>
      <c r="K24" s="469"/>
      <c r="L24" s="469"/>
      <c r="M24" s="469"/>
      <c r="N24" s="468"/>
      <c r="O24" s="469"/>
      <c r="P24" s="469"/>
      <c r="Q24" s="469"/>
      <c r="R24" s="468"/>
      <c r="S24" s="467"/>
      <c r="T24" s="416"/>
      <c r="U24" s="478"/>
      <c r="V24" s="478"/>
      <c r="W24" s="478"/>
      <c r="X24" s="464"/>
      <c r="Y24" s="478"/>
      <c r="Z24" s="478"/>
      <c r="AA24" s="478"/>
      <c r="AB24" s="464"/>
      <c r="AC24" s="477"/>
      <c r="AD24" s="477"/>
      <c r="AE24" s="477"/>
      <c r="AF24" s="464"/>
      <c r="AG24" s="477"/>
      <c r="AH24" s="477"/>
      <c r="AI24" s="477"/>
      <c r="AJ24" s="464"/>
      <c r="AK24" s="463"/>
      <c r="AL24" s="416"/>
      <c r="AO24" s="416"/>
      <c r="AP24" s="492"/>
      <c r="AQ24" s="416"/>
      <c r="AR24" s="416"/>
      <c r="AS24" s="416"/>
      <c r="AT24" s="492"/>
      <c r="AU24" s="416"/>
      <c r="AV24" s="416"/>
      <c r="AW24" s="416"/>
      <c r="AX24" s="492"/>
      <c r="AY24" s="416"/>
      <c r="AZ24" s="416"/>
      <c r="BA24" s="416"/>
      <c r="BB24" s="492"/>
      <c r="BC24" s="462" t="s">
        <v>441</v>
      </c>
      <c r="BH24" s="294" t="s">
        <v>440</v>
      </c>
      <c r="BI24" s="294" t="e">
        <f>SUM(BI10:BI13)</f>
        <v>#REF!</v>
      </c>
      <c r="BJ24" s="294">
        <v>100</v>
      </c>
    </row>
    <row r="25" spans="1:63">
      <c r="A25" s="696" t="s">
        <v>439</v>
      </c>
      <c r="B25" s="461" t="s">
        <v>429</v>
      </c>
      <c r="C25" s="237">
        <f t="shared" ref="C25:E32" si="23">+U25*AM25</f>
        <v>462.79838000000007</v>
      </c>
      <c r="D25" s="237">
        <f t="shared" si="23"/>
        <v>407.50864000000001</v>
      </c>
      <c r="E25" s="237">
        <f t="shared" si="23"/>
        <v>459.62708000000009</v>
      </c>
      <c r="F25" s="246">
        <f t="shared" ref="F25:F32" si="24">SUM(C25:E25)</f>
        <v>1329.9341000000002</v>
      </c>
      <c r="G25" s="237">
        <f t="shared" ref="G25:I32" si="25">+Y25*AQ25</f>
        <v>435.59340000000003</v>
      </c>
      <c r="H25" s="237">
        <f t="shared" si="25"/>
        <v>437.42798000000005</v>
      </c>
      <c r="I25" s="237">
        <f t="shared" si="25"/>
        <v>431.50140000000005</v>
      </c>
      <c r="J25" s="246">
        <f t="shared" ref="J25:J32" si="26">SUM(G25:I25)</f>
        <v>1304.5227800000002</v>
      </c>
      <c r="K25" s="237">
        <f t="shared" ref="K25:M32" si="27">+AC25*AU25</f>
        <v>452.22738000000004</v>
      </c>
      <c r="L25" s="237">
        <f t="shared" si="27"/>
        <v>465.96968000000004</v>
      </c>
      <c r="M25" s="237">
        <f t="shared" si="27"/>
        <v>455.03040000000004</v>
      </c>
      <c r="N25" s="246">
        <f t="shared" ref="N25:N32" si="28">SUM(K25:M25)</f>
        <v>1373.2274600000001</v>
      </c>
      <c r="O25" s="237">
        <f t="shared" ref="O25:Q32" si="29">+AG25*AY25</f>
        <v>474.42648000000003</v>
      </c>
      <c r="P25" s="237">
        <f t="shared" si="29"/>
        <v>467.30640000000005</v>
      </c>
      <c r="Q25" s="237">
        <f t="shared" si="29"/>
        <v>478.65488000000005</v>
      </c>
      <c r="R25" s="246">
        <f t="shared" ref="R25:R32" si="30">SUM(O25:Q25)</f>
        <v>1420.3877600000001</v>
      </c>
      <c r="S25" s="245">
        <f t="shared" ref="S25:S32" si="31">+F25+J25+N25+R25</f>
        <v>5428.0721000000012</v>
      </c>
      <c r="U25" s="244">
        <f>+([18]Production_M!U73)/1000</f>
        <v>34.1</v>
      </c>
      <c r="V25" s="244">
        <f>+([18]Production_M!V73)/1000</f>
        <v>30.8</v>
      </c>
      <c r="W25" s="244">
        <f>+([18]Production_M!W73)/1000</f>
        <v>34.1</v>
      </c>
      <c r="X25" s="287">
        <f t="shared" ref="X25:X32" si="32">SUM(U25:W25)</f>
        <v>99</v>
      </c>
      <c r="Y25" s="244">
        <f>+([18]Production_M!Y73)/1000</f>
        <v>33</v>
      </c>
      <c r="Z25" s="244">
        <f>+([18]Production_M!Z73)/1000</f>
        <v>34.1</v>
      </c>
      <c r="AA25" s="244">
        <f>+([18]Production_M!AA73)/1000</f>
        <v>33</v>
      </c>
      <c r="AB25" s="287">
        <f t="shared" ref="AB25:AB32" si="33">SUM(Y25:AA25)</f>
        <v>100.1</v>
      </c>
      <c r="AC25" s="244">
        <f>+([18]Production_M!AC73)/1000</f>
        <v>34.1</v>
      </c>
      <c r="AD25" s="244">
        <f>+([18]Production_M!AD73)/1000</f>
        <v>34.1</v>
      </c>
      <c r="AE25" s="244">
        <f>+([18]Production_M!AE73)/1000</f>
        <v>33</v>
      </c>
      <c r="AF25" s="287">
        <f t="shared" ref="AF25:AF32" si="34">SUM(AC25:AE25)</f>
        <v>101.2</v>
      </c>
      <c r="AG25" s="244">
        <f>+([18]Production_M!AG73)/1000</f>
        <v>34.1</v>
      </c>
      <c r="AH25" s="244">
        <f>+([18]Production_M!AH73)/1000</f>
        <v>33</v>
      </c>
      <c r="AI25" s="244">
        <f>+([18]Production_M!AI73)/1000</f>
        <v>34.1</v>
      </c>
      <c r="AJ25" s="287">
        <f t="shared" ref="AJ25:AJ32" si="35">SUM(AG25:AI25)</f>
        <v>101.19999999999999</v>
      </c>
      <c r="AK25" s="286">
        <f t="shared" ref="AK25:AK32" si="36">+X25+AB25+AF25+AJ25</f>
        <v>401.5</v>
      </c>
      <c r="AM25" s="241">
        <f>[17]PP21!B581/1000</f>
        <v>13.571800000000001</v>
      </c>
      <c r="AN25" s="241">
        <f>[17]PP21!C581/1000</f>
        <v>13.2308</v>
      </c>
      <c r="AO25" s="241">
        <f>[17]PP21!D581/1000</f>
        <v>13.478800000000001</v>
      </c>
      <c r="AP25" s="240">
        <f t="shared" ref="AP25:AP32" si="37">IF(X25=0,0,+F25/X25)</f>
        <v>13.433677777777779</v>
      </c>
      <c r="AQ25" s="241">
        <f>[17]PP21!F581/1000</f>
        <v>13.199800000000002</v>
      </c>
      <c r="AR25" s="241">
        <f>[17]PP21!G581/1000</f>
        <v>12.827800000000002</v>
      </c>
      <c r="AS25" s="241">
        <f>[17]PP21!H581/1000</f>
        <v>13.075800000000001</v>
      </c>
      <c r="AT25" s="240">
        <f t="shared" ref="AT25:AT32" si="38">IF(AB25=0,0,+J25/AB25)</f>
        <v>13.032195604395607</v>
      </c>
      <c r="AU25" s="241">
        <f>[17]PP21!J581/1000</f>
        <v>13.261800000000001</v>
      </c>
      <c r="AV25" s="241">
        <f>[17]PP21!K581/1000</f>
        <v>13.664800000000001</v>
      </c>
      <c r="AW25" s="241">
        <f>[17]PP21!L581/1000</f>
        <v>13.788800000000002</v>
      </c>
      <c r="AX25" s="240">
        <f t="shared" ref="AX25:AX32" si="39">IF(AF25=0,0,+N25/AF25)</f>
        <v>13.569441304347826</v>
      </c>
      <c r="AY25" s="241">
        <f>[17]PP21!N581/1000</f>
        <v>13.912800000000001</v>
      </c>
      <c r="AZ25" s="241">
        <f>[17]PP21!O581/1000</f>
        <v>14.160800000000002</v>
      </c>
      <c r="BA25" s="241">
        <f>[17]PP21!P581/1000</f>
        <v>14.036800000000001</v>
      </c>
      <c r="BB25" s="240">
        <f t="shared" ref="BB25:BC32" si="40">IF(AJ25=0,0,+R25/AJ25)</f>
        <v>14.035452173913045</v>
      </c>
      <c r="BC25" s="311">
        <f t="shared" si="40"/>
        <v>13.519482191780824</v>
      </c>
    </row>
    <row r="26" spans="1:63">
      <c r="A26" s="294" t="s">
        <v>438</v>
      </c>
      <c r="B26" s="233" t="s">
        <v>427</v>
      </c>
      <c r="C26" s="237">
        <f t="shared" si="23"/>
        <v>0</v>
      </c>
      <c r="D26" s="237">
        <f t="shared" si="23"/>
        <v>0</v>
      </c>
      <c r="E26" s="237">
        <f t="shared" si="23"/>
        <v>0</v>
      </c>
      <c r="F26" s="246">
        <f t="shared" si="24"/>
        <v>0</v>
      </c>
      <c r="G26" s="237">
        <f t="shared" si="25"/>
        <v>0</v>
      </c>
      <c r="H26" s="237">
        <f t="shared" si="25"/>
        <v>0</v>
      </c>
      <c r="I26" s="237">
        <f t="shared" si="25"/>
        <v>0</v>
      </c>
      <c r="J26" s="246">
        <f t="shared" si="26"/>
        <v>0</v>
      </c>
      <c r="K26" s="237">
        <f t="shared" si="27"/>
        <v>0</v>
      </c>
      <c r="L26" s="237">
        <f t="shared" si="27"/>
        <v>0</v>
      </c>
      <c r="M26" s="237">
        <f t="shared" si="27"/>
        <v>0</v>
      </c>
      <c r="N26" s="246">
        <f t="shared" si="28"/>
        <v>0</v>
      </c>
      <c r="O26" s="237">
        <f t="shared" si="29"/>
        <v>0</v>
      </c>
      <c r="P26" s="237">
        <f t="shared" si="29"/>
        <v>0</v>
      </c>
      <c r="Q26" s="237">
        <f t="shared" si="29"/>
        <v>0</v>
      </c>
      <c r="R26" s="246">
        <f t="shared" si="30"/>
        <v>0</v>
      </c>
      <c r="S26" s="245">
        <f t="shared" si="31"/>
        <v>0</v>
      </c>
      <c r="U26" s="244">
        <f>+([18]Production_M!U72)/1000</f>
        <v>0</v>
      </c>
      <c r="V26" s="244">
        <f>+([18]Production_M!V72)/1000</f>
        <v>0</v>
      </c>
      <c r="W26" s="244">
        <f>+([18]Production_M!W72)/1000</f>
        <v>0</v>
      </c>
      <c r="X26" s="287">
        <f t="shared" si="32"/>
        <v>0</v>
      </c>
      <c r="Y26" s="244">
        <f>+([18]Production_M!Y72)/1000</f>
        <v>0</v>
      </c>
      <c r="Z26" s="244">
        <f>+([18]Production_M!Z72)/1000</f>
        <v>0</v>
      </c>
      <c r="AA26" s="244">
        <f>+([18]Production_M!AA72)/1000</f>
        <v>0</v>
      </c>
      <c r="AB26" s="287">
        <f t="shared" si="33"/>
        <v>0</v>
      </c>
      <c r="AC26" s="244">
        <f>+([18]Production_M!AC72)/1000</f>
        <v>0</v>
      </c>
      <c r="AD26" s="244">
        <f>+([18]Production_M!AD72)/1000</f>
        <v>0</v>
      </c>
      <c r="AE26" s="244">
        <f>+([18]Production_M!AE72)/1000</f>
        <v>0</v>
      </c>
      <c r="AF26" s="287">
        <f t="shared" si="34"/>
        <v>0</v>
      </c>
      <c r="AG26" s="244">
        <f>+([18]Production_M!AG72)/1000</f>
        <v>0</v>
      </c>
      <c r="AH26" s="244">
        <f>+([18]Production_M!AH72)/1000</f>
        <v>0</v>
      </c>
      <c r="AI26" s="244">
        <f>+([18]Production_M!AI72)/1000</f>
        <v>0</v>
      </c>
      <c r="AJ26" s="287">
        <f t="shared" si="35"/>
        <v>0</v>
      </c>
      <c r="AK26" s="286">
        <f t="shared" si="36"/>
        <v>0</v>
      </c>
      <c r="AM26" s="241">
        <f>[17]PP21!B582/1000</f>
        <v>13.571800000000001</v>
      </c>
      <c r="AN26" s="241">
        <f>[17]PP21!C582/1000</f>
        <v>13.2308</v>
      </c>
      <c r="AO26" s="241">
        <f>[17]PP21!D582/1000</f>
        <v>13.478800000000001</v>
      </c>
      <c r="AP26" s="240">
        <f t="shared" si="37"/>
        <v>0</v>
      </c>
      <c r="AQ26" s="241">
        <f>[17]PP21!F582/1000</f>
        <v>13.199800000000002</v>
      </c>
      <c r="AR26" s="241">
        <f>[17]PP21!G582/1000</f>
        <v>12.827800000000002</v>
      </c>
      <c r="AS26" s="241">
        <f>[17]PP21!H582/1000</f>
        <v>13.075800000000001</v>
      </c>
      <c r="AT26" s="240">
        <f t="shared" si="38"/>
        <v>0</v>
      </c>
      <c r="AU26" s="241">
        <f>[17]PP21!J582/1000</f>
        <v>13.261800000000001</v>
      </c>
      <c r="AV26" s="241">
        <f>[17]PP21!K582/1000</f>
        <v>13.664800000000001</v>
      </c>
      <c r="AW26" s="241">
        <f>[17]PP21!L582/1000</f>
        <v>13.788800000000002</v>
      </c>
      <c r="AX26" s="240">
        <f t="shared" si="39"/>
        <v>0</v>
      </c>
      <c r="AY26" s="241">
        <f>[17]PP21!N582/1000</f>
        <v>13.912800000000001</v>
      </c>
      <c r="AZ26" s="241">
        <f>[17]PP21!O582/1000</f>
        <v>14.160800000000002</v>
      </c>
      <c r="BA26" s="241">
        <f>[17]PP21!P582/1000</f>
        <v>14.036800000000001</v>
      </c>
      <c r="BB26" s="240">
        <f t="shared" si="40"/>
        <v>0</v>
      </c>
      <c r="BC26" s="311">
        <f t="shared" si="40"/>
        <v>0</v>
      </c>
      <c r="BE26" s="233">
        <f>+(((S25+S26+S28+S29+S44+S47)*1000000)/(((AK25+AK26+AK28+AK29)*1000)+AK44+AK47))/BC2</f>
        <v>437.62265950505258</v>
      </c>
      <c r="BF26" s="461" t="s">
        <v>437</v>
      </c>
    </row>
    <row r="27" spans="1:63">
      <c r="A27" s="294"/>
      <c r="B27" s="490" t="s">
        <v>534</v>
      </c>
      <c r="C27" s="450">
        <f t="shared" si="23"/>
        <v>887.61245009345816</v>
      </c>
      <c r="D27" s="450">
        <f t="shared" si="23"/>
        <v>887.61245009345805</v>
      </c>
      <c r="E27" s="450">
        <f t="shared" si="23"/>
        <v>887.61245009345816</v>
      </c>
      <c r="F27" s="246">
        <f t="shared" si="24"/>
        <v>2662.8373502803743</v>
      </c>
      <c r="G27" s="450">
        <f t="shared" si="25"/>
        <v>887.61245009345816</v>
      </c>
      <c r="H27" s="450">
        <f t="shared" si="25"/>
        <v>887.61245009345816</v>
      </c>
      <c r="I27" s="450">
        <f t="shared" si="25"/>
        <v>887.61245009345805</v>
      </c>
      <c r="J27" s="246">
        <f t="shared" si="26"/>
        <v>2662.8373502803743</v>
      </c>
      <c r="K27" s="450">
        <f t="shared" si="27"/>
        <v>887.61245009345816</v>
      </c>
      <c r="L27" s="450">
        <f t="shared" si="27"/>
        <v>887.61245009345816</v>
      </c>
      <c r="M27" s="450">
        <f t="shared" si="27"/>
        <v>887.61245009345816</v>
      </c>
      <c r="N27" s="246">
        <f t="shared" si="28"/>
        <v>2662.8373502803743</v>
      </c>
      <c r="O27" s="450">
        <f t="shared" si="29"/>
        <v>887.61245009345816</v>
      </c>
      <c r="P27" s="450">
        <f t="shared" si="29"/>
        <v>887.61245009345805</v>
      </c>
      <c r="Q27" s="450">
        <f t="shared" si="29"/>
        <v>887.61245009345816</v>
      </c>
      <c r="R27" s="246">
        <f t="shared" si="30"/>
        <v>2662.8373502803743</v>
      </c>
      <c r="S27" s="245">
        <f t="shared" si="31"/>
        <v>10651.349401121497</v>
      </c>
      <c r="U27" s="491">
        <f>[18]Production_M!U82/1000</f>
        <v>63.2</v>
      </c>
      <c r="V27" s="491">
        <f>[18]Production_M!V82/1000</f>
        <v>63.2</v>
      </c>
      <c r="W27" s="491">
        <f>[18]Production_M!W82/1000</f>
        <v>63.2</v>
      </c>
      <c r="X27" s="287">
        <f t="shared" si="32"/>
        <v>189.60000000000002</v>
      </c>
      <c r="Y27" s="491">
        <f>[18]Production_M!Y82/1000</f>
        <v>63.2</v>
      </c>
      <c r="Z27" s="491">
        <f>[18]Production_M!Z82/1000</f>
        <v>63.2</v>
      </c>
      <c r="AA27" s="491">
        <f>[18]Production_M!AA82/1000</f>
        <v>63.2</v>
      </c>
      <c r="AB27" s="287">
        <f t="shared" si="33"/>
        <v>189.60000000000002</v>
      </c>
      <c r="AC27" s="491">
        <f>[18]Production_M!AC82/1000</f>
        <v>63.2</v>
      </c>
      <c r="AD27" s="491">
        <f>[18]Production_M!AD82/1000</f>
        <v>63.2</v>
      </c>
      <c r="AE27" s="491">
        <f>[18]Production_M!AE82/1000</f>
        <v>63.2</v>
      </c>
      <c r="AF27" s="287">
        <f t="shared" si="34"/>
        <v>189.60000000000002</v>
      </c>
      <c r="AG27" s="491">
        <f>[18]Production_M!AG82/1000</f>
        <v>63.2</v>
      </c>
      <c r="AH27" s="491">
        <f>[18]Production_M!AH82/1000</f>
        <v>63.2</v>
      </c>
      <c r="AI27" s="491">
        <f>[18]Production_M!AI82/1000</f>
        <v>63.2</v>
      </c>
      <c r="AJ27" s="287">
        <f t="shared" si="35"/>
        <v>189.60000000000002</v>
      </c>
      <c r="AK27" s="286">
        <f t="shared" si="36"/>
        <v>758.40000000000009</v>
      </c>
      <c r="AM27" s="489">
        <f>[17]PP21!B585/1000</f>
        <v>14.044500792618008</v>
      </c>
      <c r="AN27" s="489">
        <f>[17]PP21!C585/1000</f>
        <v>14.044500792618006</v>
      </c>
      <c r="AO27" s="489">
        <f>[17]PP21!D585/1000</f>
        <v>14.044500792618008</v>
      </c>
      <c r="AP27" s="240">
        <f t="shared" si="37"/>
        <v>14.044500792618006</v>
      </c>
      <c r="AQ27" s="489">
        <f>[17]PP21!F585/1000</f>
        <v>14.044500792618008</v>
      </c>
      <c r="AR27" s="489">
        <f>[17]PP21!G585/1000</f>
        <v>14.044500792618008</v>
      </c>
      <c r="AS27" s="489">
        <f>[17]PP21!H585/1000</f>
        <v>14.044500792618006</v>
      </c>
      <c r="AT27" s="240">
        <f t="shared" si="38"/>
        <v>14.044500792618006</v>
      </c>
      <c r="AU27" s="489">
        <f>[17]PP21!J585/1000</f>
        <v>14.044500792618008</v>
      </c>
      <c r="AV27" s="489">
        <f>[17]PP21!K585/1000</f>
        <v>14.044500792618008</v>
      </c>
      <c r="AW27" s="489">
        <f>[17]PP21!L585/1000</f>
        <v>14.044500792618008</v>
      </c>
      <c r="AX27" s="240">
        <f t="shared" si="39"/>
        <v>14.044500792618006</v>
      </c>
      <c r="AY27" s="489">
        <f>[17]PP21!N585/1000</f>
        <v>14.044500792618008</v>
      </c>
      <c r="AZ27" s="489">
        <f>[17]PP21!O585/1000</f>
        <v>14.044500792618006</v>
      </c>
      <c r="BA27" s="489">
        <f>[17]PP21!P585/1000</f>
        <v>14.044500792618008</v>
      </c>
      <c r="BB27" s="240">
        <f t="shared" si="40"/>
        <v>14.044500792618006</v>
      </c>
      <c r="BC27" s="311">
        <f t="shared" si="40"/>
        <v>14.044500792618006</v>
      </c>
      <c r="BE27" s="233">
        <v>304</v>
      </c>
      <c r="BF27" s="461" t="s">
        <v>436</v>
      </c>
    </row>
    <row r="28" spans="1:63">
      <c r="A28" s="294"/>
      <c r="B28" s="490" t="s">
        <v>535</v>
      </c>
      <c r="C28" s="450">
        <f t="shared" si="23"/>
        <v>682.83394033294417</v>
      </c>
      <c r="D28" s="450">
        <f t="shared" si="23"/>
        <v>931.91655272006983</v>
      </c>
      <c r="E28" s="450">
        <f t="shared" si="23"/>
        <v>599.39422376865548</v>
      </c>
      <c r="F28" s="246">
        <f t="shared" si="24"/>
        <v>2214.1447168216696</v>
      </c>
      <c r="G28" s="450">
        <f t="shared" si="25"/>
        <v>685.63663934339286</v>
      </c>
      <c r="H28" s="450">
        <f t="shared" si="25"/>
        <v>564.76700212711125</v>
      </c>
      <c r="I28" s="450">
        <f t="shared" si="25"/>
        <v>681.19687671225347</v>
      </c>
      <c r="J28" s="246">
        <f t="shared" si="26"/>
        <v>1931.6005181827577</v>
      </c>
      <c r="K28" s="450">
        <f t="shared" si="27"/>
        <v>961.93292397971481</v>
      </c>
      <c r="L28" s="450">
        <f t="shared" si="27"/>
        <v>449.47988351643323</v>
      </c>
      <c r="M28" s="450">
        <f t="shared" si="27"/>
        <v>916.56766210406101</v>
      </c>
      <c r="N28" s="246">
        <f t="shared" si="28"/>
        <v>2327.9804696002093</v>
      </c>
      <c r="O28" s="450">
        <f t="shared" si="29"/>
        <v>936.69623344266256</v>
      </c>
      <c r="P28" s="450">
        <f t="shared" si="29"/>
        <v>307.58792773354918</v>
      </c>
      <c r="Q28" s="450">
        <f t="shared" si="29"/>
        <v>623.32148505097132</v>
      </c>
      <c r="R28" s="246">
        <f t="shared" si="30"/>
        <v>1867.6056462271831</v>
      </c>
      <c r="S28" s="245">
        <f t="shared" si="31"/>
        <v>8341.3313508318206</v>
      </c>
      <c r="U28" s="486">
        <f>U104/1000</f>
        <v>49.077719512270448</v>
      </c>
      <c r="V28" s="486">
        <f>V104/1000</f>
        <v>66.980178461745652</v>
      </c>
      <c r="W28" s="486">
        <f>W104/1000</f>
        <v>43.080608408319165</v>
      </c>
      <c r="X28" s="287">
        <f t="shared" si="32"/>
        <v>159.13850638233527</v>
      </c>
      <c r="Y28" s="486">
        <f>Y104/1000</f>
        <v>49.279159522480029</v>
      </c>
      <c r="Z28" s="486">
        <f>Z104/1000</f>
        <v>40.591826039967202</v>
      </c>
      <c r="AA28" s="486">
        <f>AA104/1000</f>
        <v>48.960057889942732</v>
      </c>
      <c r="AB28" s="287">
        <f t="shared" si="33"/>
        <v>138.83104345238996</v>
      </c>
      <c r="AC28" s="486">
        <f>AC104/1000</f>
        <v>69.13756250850048</v>
      </c>
      <c r="AD28" s="486">
        <f>AD104/1000</f>
        <v>32.305728152398956</v>
      </c>
      <c r="AE28" s="486">
        <f>AE104/1000</f>
        <v>65.876998751449321</v>
      </c>
      <c r="AF28" s="287">
        <f t="shared" si="34"/>
        <v>167.32028941234876</v>
      </c>
      <c r="AG28" s="486">
        <f>AG104/1000</f>
        <v>67.323711224260705</v>
      </c>
      <c r="AH28" s="486">
        <f>AH104/1000</f>
        <v>22.107445384608582</v>
      </c>
      <c r="AI28" s="486">
        <f>AI104/1000</f>
        <v>44.800346324887471</v>
      </c>
      <c r="AJ28" s="287">
        <f t="shared" si="35"/>
        <v>134.23150293375676</v>
      </c>
      <c r="AK28" s="286">
        <f t="shared" si="36"/>
        <v>599.52134218083074</v>
      </c>
      <c r="AM28" s="489">
        <f>IF(U28&gt;0,[17]PP21!B580/1000,0)</f>
        <v>13.913318449163505</v>
      </c>
      <c r="AN28" s="489">
        <f>IF(V28&gt;0,[17]PP21!C580/1000,0)</f>
        <v>13.913318449163505</v>
      </c>
      <c r="AO28" s="489">
        <f>IF(W28&gt;0,[17]PP21!D580/1000,0)</f>
        <v>13.913318449163505</v>
      </c>
      <c r="AP28" s="240">
        <f t="shared" si="37"/>
        <v>13.913318449163507</v>
      </c>
      <c r="AQ28" s="489">
        <f>IF(Y28&gt;0,[17]PP21!F580/1000,0)</f>
        <v>13.913318449163505</v>
      </c>
      <c r="AR28" s="489">
        <f>IF(Z28&gt;0,[17]PP21!G580/1000,0)</f>
        <v>13.913318449163505</v>
      </c>
      <c r="AS28" s="489">
        <f>IF(AA28&gt;0,[17]PP21!H580/1000,0)</f>
        <v>13.913318449163505</v>
      </c>
      <c r="AT28" s="240">
        <f t="shared" si="38"/>
        <v>13.913318449163507</v>
      </c>
      <c r="AU28" s="489">
        <f>IF(AC28&gt;0,[17]PP21!J580/1000,0)</f>
        <v>13.913318449163505</v>
      </c>
      <c r="AV28" s="489">
        <f>IF(AD28&gt;0,[17]PP21!K580/1000,0)</f>
        <v>13.913318449163505</v>
      </c>
      <c r="AW28" s="489">
        <f>IF(AE28&gt;0,[17]PP21!L580/1000,0)</f>
        <v>13.913318449163505</v>
      </c>
      <c r="AX28" s="240">
        <f t="shared" si="39"/>
        <v>13.913318449163507</v>
      </c>
      <c r="AY28" s="489">
        <f>IF(AG28&gt;0,[17]PP21!N580/1000,0)</f>
        <v>13.913318449163505</v>
      </c>
      <c r="AZ28" s="489">
        <f>IF(AH28&gt;0,[17]PP21!O580/1000,0)</f>
        <v>13.913318449163505</v>
      </c>
      <c r="BA28" s="489">
        <f>IF(AI28&gt;0,[17]PP21!P580/1000,0)</f>
        <v>13.913318449163505</v>
      </c>
      <c r="BB28" s="240">
        <f t="shared" si="40"/>
        <v>13.913318449163505</v>
      </c>
      <c r="BC28" s="311">
        <f t="shared" si="40"/>
        <v>13.913318449163508</v>
      </c>
      <c r="BE28" s="488"/>
    </row>
    <row r="29" spans="1:63">
      <c r="A29" s="294"/>
      <c r="B29" s="233" t="s">
        <v>435</v>
      </c>
      <c r="C29" s="237">
        <f t="shared" si="23"/>
        <v>78.702799999999982</v>
      </c>
      <c r="D29" s="237">
        <f t="shared" si="23"/>
        <v>78.479599999999991</v>
      </c>
      <c r="E29" s="237">
        <f t="shared" si="23"/>
        <v>80.432599999999994</v>
      </c>
      <c r="F29" s="246">
        <f t="shared" si="24"/>
        <v>237.61499999999995</v>
      </c>
      <c r="G29" s="237">
        <f t="shared" si="25"/>
        <v>79.037599999999998</v>
      </c>
      <c r="H29" s="237">
        <f t="shared" si="25"/>
        <v>79.037599999999998</v>
      </c>
      <c r="I29" s="237">
        <f t="shared" si="25"/>
        <v>80.879000000000005</v>
      </c>
      <c r="J29" s="246">
        <f t="shared" si="26"/>
        <v>238.95420000000001</v>
      </c>
      <c r="K29" s="237">
        <f t="shared" si="27"/>
        <v>83.668999999999997</v>
      </c>
      <c r="L29" s="237">
        <f t="shared" si="27"/>
        <v>83.613200000000006</v>
      </c>
      <c r="M29" s="237">
        <f t="shared" si="27"/>
        <v>85.343000000000004</v>
      </c>
      <c r="N29" s="246">
        <f t="shared" si="28"/>
        <v>252.62520000000001</v>
      </c>
      <c r="O29" s="237">
        <f t="shared" si="29"/>
        <v>87.296000000000006</v>
      </c>
      <c r="P29" s="237">
        <f t="shared" si="29"/>
        <v>89.807000000000002</v>
      </c>
      <c r="Q29" s="237">
        <f t="shared" si="29"/>
        <v>88.802599999999998</v>
      </c>
      <c r="R29" s="246">
        <f t="shared" si="30"/>
        <v>265.90559999999999</v>
      </c>
      <c r="S29" s="245">
        <f t="shared" si="31"/>
        <v>995.09999999999991</v>
      </c>
      <c r="U29" s="244">
        <f>SUM([18]Production_M!U$75,[18]Production_M!U$79)/1000</f>
        <v>8</v>
      </c>
      <c r="V29" s="244">
        <f>SUM([18]Production_M!V$75,[18]Production_M!V$79)/1000</f>
        <v>8</v>
      </c>
      <c r="W29" s="244">
        <f>SUM([18]Production_M!W$75,[18]Production_M!W$79)/1000</f>
        <v>8</v>
      </c>
      <c r="X29" s="287">
        <f t="shared" si="32"/>
        <v>24</v>
      </c>
      <c r="Y29" s="244">
        <f>SUM([18]Production_M!Y$75,[18]Production_M!Y$79)/1000</f>
        <v>8</v>
      </c>
      <c r="Z29" s="244">
        <f>SUM([18]Production_M!Z$75,[18]Production_M!Z$79)/1000</f>
        <v>8</v>
      </c>
      <c r="AA29" s="244">
        <f>SUM([18]Production_M!AA$75,[18]Production_M!AA$79)/1000</f>
        <v>8</v>
      </c>
      <c r="AB29" s="287">
        <f t="shared" si="33"/>
        <v>24</v>
      </c>
      <c r="AC29" s="244">
        <f>SUM([18]Production_M!AC$75,[18]Production_M!AC$79)/1000</f>
        <v>8</v>
      </c>
      <c r="AD29" s="244">
        <f>SUM([18]Production_M!AD$75,[18]Production_M!AD$79)/1000</f>
        <v>8</v>
      </c>
      <c r="AE29" s="244">
        <f>SUM([18]Production_M!AE$75,[18]Production_M!AE$79)/1000</f>
        <v>8</v>
      </c>
      <c r="AF29" s="287">
        <f t="shared" si="34"/>
        <v>24</v>
      </c>
      <c r="AG29" s="244">
        <f>SUM([18]Production_M!AG$75,[18]Production_M!AG$79)/1000</f>
        <v>8</v>
      </c>
      <c r="AH29" s="244">
        <f>SUM([18]Production_M!AH$75,[18]Production_M!AH$79)/1000</f>
        <v>8</v>
      </c>
      <c r="AI29" s="244">
        <f>SUM([18]Production_M!AI$75,[18]Production_M!AI$79)/1000</f>
        <v>8</v>
      </c>
      <c r="AJ29" s="287">
        <f t="shared" si="35"/>
        <v>24</v>
      </c>
      <c r="AK29" s="286">
        <f t="shared" si="36"/>
        <v>96</v>
      </c>
      <c r="AM29" s="487">
        <f>[17]PP21!B583/1000</f>
        <v>9.8378499999999978</v>
      </c>
      <c r="AN29" s="487">
        <f>[17]PP21!C583/1000</f>
        <v>9.8099499999999988</v>
      </c>
      <c r="AO29" s="487">
        <f>[17]PP21!D583/1000</f>
        <v>10.054074999999999</v>
      </c>
      <c r="AP29" s="240">
        <f t="shared" si="37"/>
        <v>9.900624999999998</v>
      </c>
      <c r="AQ29" s="487">
        <f>[17]PP21!F583/1000</f>
        <v>9.8796999999999997</v>
      </c>
      <c r="AR29" s="487">
        <f>[17]PP21!G583/1000</f>
        <v>9.8796999999999997</v>
      </c>
      <c r="AS29" s="487">
        <f>[17]PP21!H583/1000</f>
        <v>10.109875000000001</v>
      </c>
      <c r="AT29" s="240">
        <f t="shared" si="38"/>
        <v>9.9564250000000012</v>
      </c>
      <c r="AU29" s="487">
        <f>[17]PP21!J583/1000</f>
        <v>10.458625</v>
      </c>
      <c r="AV29" s="487">
        <f>[17]PP21!K583/1000</f>
        <v>10.451650000000001</v>
      </c>
      <c r="AW29" s="487">
        <f>[17]PP21!L583/1000</f>
        <v>10.667875</v>
      </c>
      <c r="AX29" s="240">
        <f t="shared" si="39"/>
        <v>10.52605</v>
      </c>
      <c r="AY29" s="487">
        <f>[17]PP21!N583/1000</f>
        <v>10.912000000000001</v>
      </c>
      <c r="AZ29" s="487">
        <f>[17]PP21!O583/1000</f>
        <v>11.225875</v>
      </c>
      <c r="BA29" s="487">
        <f>[17]PP21!P583/1000</f>
        <v>11.100325</v>
      </c>
      <c r="BB29" s="240">
        <f t="shared" si="40"/>
        <v>11.0794</v>
      </c>
      <c r="BC29" s="311">
        <f t="shared" si="40"/>
        <v>10.365625</v>
      </c>
      <c r="BE29" s="476" t="s">
        <v>434</v>
      </c>
      <c r="BF29" s="294"/>
    </row>
    <row r="30" spans="1:63" s="479" customFormat="1">
      <c r="A30" s="480" t="s">
        <v>391</v>
      </c>
      <c r="B30" s="479" t="s">
        <v>433</v>
      </c>
      <c r="C30" s="450">
        <f t="shared" si="23"/>
        <v>1594.0806238726634</v>
      </c>
      <c r="D30" s="450">
        <f t="shared" si="23"/>
        <v>1344.9980114855377</v>
      </c>
      <c r="E30" s="450">
        <f t="shared" si="23"/>
        <v>1677.5203404369522</v>
      </c>
      <c r="F30" s="246">
        <f t="shared" si="24"/>
        <v>4616.5989757951538</v>
      </c>
      <c r="G30" s="450">
        <f t="shared" si="25"/>
        <v>1591.2779248622148</v>
      </c>
      <c r="H30" s="450">
        <f t="shared" si="25"/>
        <v>1712.1475620784963</v>
      </c>
      <c r="I30" s="450">
        <f t="shared" si="25"/>
        <v>1595.7176874933543</v>
      </c>
      <c r="J30" s="246">
        <f t="shared" si="26"/>
        <v>4899.1431744340662</v>
      </c>
      <c r="K30" s="450">
        <f t="shared" si="27"/>
        <v>1314.981640225893</v>
      </c>
      <c r="L30" s="450">
        <f t="shared" si="27"/>
        <v>1827.4346806891745</v>
      </c>
      <c r="M30" s="450">
        <f t="shared" si="27"/>
        <v>1360.3469021015467</v>
      </c>
      <c r="N30" s="246">
        <f t="shared" si="28"/>
        <v>4502.7632230166146</v>
      </c>
      <c r="O30" s="450">
        <f t="shared" si="29"/>
        <v>1340.218330762945</v>
      </c>
      <c r="P30" s="450">
        <f t="shared" si="29"/>
        <v>1969.3266364720585</v>
      </c>
      <c r="Q30" s="450">
        <f t="shared" si="29"/>
        <v>1653.5930791546364</v>
      </c>
      <c r="R30" s="246">
        <f t="shared" si="30"/>
        <v>4963.1380463896394</v>
      </c>
      <c r="S30" s="245">
        <f t="shared" si="31"/>
        <v>18981.643419635475</v>
      </c>
      <c r="T30" s="285"/>
      <c r="U30" s="486">
        <f>+[18]Production_M!U70/1000-U28</f>
        <v>114.57228048772956</v>
      </c>
      <c r="V30" s="486">
        <f>+[18]Production_M!V70/1000-V28</f>
        <v>96.669821538254354</v>
      </c>
      <c r="W30" s="486">
        <f>+[18]Production_M!W70/1000-W28</f>
        <v>120.56939159168084</v>
      </c>
      <c r="X30" s="287">
        <f t="shared" si="32"/>
        <v>331.81149361766472</v>
      </c>
      <c r="Y30" s="486">
        <f>+[18]Production_M!Y70/1000-Y28</f>
        <v>114.37084047751998</v>
      </c>
      <c r="Z30" s="486">
        <f>+[18]Production_M!Z70/1000-Z28</f>
        <v>123.0581739600328</v>
      </c>
      <c r="AA30" s="486">
        <f>+[18]Production_M!AA70/1000-AA28</f>
        <v>114.68994211005727</v>
      </c>
      <c r="AB30" s="287">
        <f t="shared" si="33"/>
        <v>352.11895654761008</v>
      </c>
      <c r="AC30" s="486">
        <f>+[18]Production_M!AC70/1000-AC28</f>
        <v>94.512437491499526</v>
      </c>
      <c r="AD30" s="486">
        <f>+[18]Production_M!AD70/1000-AD28</f>
        <v>131.34427184760105</v>
      </c>
      <c r="AE30" s="486">
        <f>+[18]Production_M!AE70/1000-AE28</f>
        <v>97.773001248550685</v>
      </c>
      <c r="AF30" s="287">
        <f t="shared" si="34"/>
        <v>323.62971058765129</v>
      </c>
      <c r="AG30" s="486">
        <f>+[18]Production_M!AG70/1000-AG28</f>
        <v>96.3262887757393</v>
      </c>
      <c r="AH30" s="486">
        <f>+[18]Production_M!AH70/1000-AH28</f>
        <v>141.54255461539142</v>
      </c>
      <c r="AI30" s="486">
        <f>+[18]Production_M!AI70/1000-AI28</f>
        <v>118.84965367511253</v>
      </c>
      <c r="AJ30" s="287">
        <f t="shared" si="35"/>
        <v>356.71849706624323</v>
      </c>
      <c r="AK30" s="286">
        <f t="shared" si="36"/>
        <v>1364.2786578191694</v>
      </c>
      <c r="AL30" s="285"/>
      <c r="AM30" s="241">
        <f>[17]PP21!B580/1000</f>
        <v>13.913318449163505</v>
      </c>
      <c r="AN30" s="241">
        <f>[17]PP21!C580/1000</f>
        <v>13.913318449163505</v>
      </c>
      <c r="AO30" s="241">
        <f>[17]PP21!D580/1000</f>
        <v>13.913318449163505</v>
      </c>
      <c r="AP30" s="240">
        <f t="shared" si="37"/>
        <v>13.913318449163507</v>
      </c>
      <c r="AQ30" s="241">
        <f>[17]PP21!F580/1000</f>
        <v>13.913318449163505</v>
      </c>
      <c r="AR30" s="241">
        <f>[17]PP21!G580/1000</f>
        <v>13.913318449163505</v>
      </c>
      <c r="AS30" s="241">
        <f>[17]PP21!H580/1000</f>
        <v>13.913318449163505</v>
      </c>
      <c r="AT30" s="240">
        <f t="shared" si="38"/>
        <v>13.913318449163505</v>
      </c>
      <c r="AU30" s="241">
        <f>[17]PP21!J580/1000</f>
        <v>13.913318449163505</v>
      </c>
      <c r="AV30" s="241">
        <f>[17]PP21!K580/1000</f>
        <v>13.913318449163505</v>
      </c>
      <c r="AW30" s="241">
        <f>[17]PP21!L580/1000</f>
        <v>13.913318449163505</v>
      </c>
      <c r="AX30" s="240">
        <f t="shared" si="39"/>
        <v>13.913318449163505</v>
      </c>
      <c r="AY30" s="241">
        <f>[17]PP21!N580/1000</f>
        <v>13.913318449163505</v>
      </c>
      <c r="AZ30" s="241">
        <f>[17]PP21!O580/1000</f>
        <v>13.913318449163505</v>
      </c>
      <c r="BA30" s="241">
        <f>[17]PP21!P580/1000</f>
        <v>13.913318449163505</v>
      </c>
      <c r="BB30" s="240">
        <f t="shared" si="40"/>
        <v>13.913318449163505</v>
      </c>
      <c r="BC30" s="311">
        <f t="shared" si="40"/>
        <v>13.913318449163505</v>
      </c>
      <c r="BE30" s="473" t="e">
        <f>+(AK42*1000)+AK61-AK106</f>
        <v>#REF!</v>
      </c>
      <c r="BF30" s="472" t="s">
        <v>399</v>
      </c>
    </row>
    <row r="31" spans="1:63" s="479" customFormat="1" ht="20.399999999999999" customHeight="1">
      <c r="A31" s="485" t="s">
        <v>391</v>
      </c>
      <c r="B31" s="407" t="s">
        <v>432</v>
      </c>
      <c r="C31" s="237">
        <f t="shared" si="23"/>
        <v>133.98200000000003</v>
      </c>
      <c r="D31" s="237">
        <f t="shared" si="23"/>
        <v>130.23100000000002</v>
      </c>
      <c r="E31" s="237">
        <f t="shared" si="23"/>
        <v>132.95900000000003</v>
      </c>
      <c r="F31" s="246">
        <f t="shared" si="24"/>
        <v>397.17200000000014</v>
      </c>
      <c r="G31" s="237">
        <f t="shared" si="25"/>
        <v>129.89000000000001</v>
      </c>
      <c r="H31" s="237">
        <f t="shared" si="25"/>
        <v>125.79800000000003</v>
      </c>
      <c r="I31" s="237">
        <f t="shared" si="25"/>
        <v>128.52600000000001</v>
      </c>
      <c r="J31" s="246">
        <f t="shared" si="26"/>
        <v>384.21400000000006</v>
      </c>
      <c r="K31" s="237">
        <f t="shared" si="27"/>
        <v>130.572</v>
      </c>
      <c r="L31" s="237">
        <f t="shared" si="27"/>
        <v>135.00500000000002</v>
      </c>
      <c r="M31" s="237">
        <f t="shared" si="27"/>
        <v>136.369</v>
      </c>
      <c r="N31" s="246">
        <f t="shared" si="28"/>
        <v>401.94600000000003</v>
      </c>
      <c r="O31" s="237">
        <f t="shared" si="29"/>
        <v>137.733</v>
      </c>
      <c r="P31" s="237">
        <f t="shared" si="29"/>
        <v>140.46100000000001</v>
      </c>
      <c r="Q31" s="237">
        <f t="shared" si="29"/>
        <v>139.09700000000001</v>
      </c>
      <c r="R31" s="246">
        <f t="shared" si="30"/>
        <v>417.29100000000005</v>
      </c>
      <c r="S31" s="245">
        <f t="shared" si="31"/>
        <v>1600.6230000000005</v>
      </c>
      <c r="T31" s="285"/>
      <c r="U31" s="244">
        <f>+([18]Production_M!U71+[18]Production_M!U83)/1000</f>
        <v>11</v>
      </c>
      <c r="V31" s="244">
        <f>+([18]Production_M!V71+[18]Production_M!V83)/1000</f>
        <v>11</v>
      </c>
      <c r="W31" s="244">
        <f>+([18]Production_M!W71+[18]Production_M!W83)/1000</f>
        <v>11</v>
      </c>
      <c r="X31" s="287">
        <f t="shared" si="32"/>
        <v>33</v>
      </c>
      <c r="Y31" s="244">
        <f>+([18]Production_M!Y71+[18]Production_M!Y83)/1000</f>
        <v>11</v>
      </c>
      <c r="Z31" s="244">
        <f>+([18]Production_M!Z71+[18]Production_M!Z83)/1000</f>
        <v>11</v>
      </c>
      <c r="AA31" s="244">
        <f>+([18]Production_M!AA71+[18]Production_M!AA83)/1000</f>
        <v>11</v>
      </c>
      <c r="AB31" s="287">
        <f t="shared" si="33"/>
        <v>33</v>
      </c>
      <c r="AC31" s="244">
        <f>+([18]Production_M!AC71+[18]Production_M!AC83)/1000</f>
        <v>11</v>
      </c>
      <c r="AD31" s="244">
        <f>+([18]Production_M!AD71+[18]Production_M!AD83)/1000</f>
        <v>11</v>
      </c>
      <c r="AE31" s="244">
        <f>+([18]Production_M!AE71+[18]Production_M!AE83)/1000</f>
        <v>11</v>
      </c>
      <c r="AF31" s="287">
        <f t="shared" si="34"/>
        <v>33</v>
      </c>
      <c r="AG31" s="244">
        <f>+([18]Production_M!AG71+[18]Production_M!AG83)/1000</f>
        <v>11</v>
      </c>
      <c r="AH31" s="244">
        <f>+([18]Production_M!AH71+[18]Production_M!AH83)/1000</f>
        <v>11</v>
      </c>
      <c r="AI31" s="244">
        <f>+([18]Production_M!AI71+[18]Production_M!AI83)/1000</f>
        <v>11</v>
      </c>
      <c r="AJ31" s="287">
        <f t="shared" si="35"/>
        <v>33</v>
      </c>
      <c r="AK31" s="286">
        <f t="shared" si="36"/>
        <v>132</v>
      </c>
      <c r="AL31" s="484"/>
      <c r="AM31" s="241">
        <f>[17]PP21!B584/1000</f>
        <v>12.18018181818182</v>
      </c>
      <c r="AN31" s="241">
        <f>[17]PP21!C584/1000</f>
        <v>11.839181818181819</v>
      </c>
      <c r="AO31" s="241">
        <f>[17]PP21!D584/1000</f>
        <v>12.08718181818182</v>
      </c>
      <c r="AP31" s="240">
        <f t="shared" si="37"/>
        <v>12.035515151515156</v>
      </c>
      <c r="AQ31" s="241">
        <f>[17]PP21!F584/1000</f>
        <v>11.80818181818182</v>
      </c>
      <c r="AR31" s="241">
        <f>[17]PP21!G584/1000</f>
        <v>11.43618181818182</v>
      </c>
      <c r="AS31" s="241">
        <f>[17]PP21!H584/1000</f>
        <v>11.68418181818182</v>
      </c>
      <c r="AT31" s="240">
        <f t="shared" si="38"/>
        <v>11.642848484848486</v>
      </c>
      <c r="AU31" s="241">
        <f>[17]PP21!J584/1000</f>
        <v>11.87018181818182</v>
      </c>
      <c r="AV31" s="241">
        <f>[17]PP21!K584/1000</f>
        <v>12.27318181818182</v>
      </c>
      <c r="AW31" s="241">
        <f>[17]PP21!L584/1000</f>
        <v>12.397181818181819</v>
      </c>
      <c r="AX31" s="240">
        <f t="shared" si="39"/>
        <v>12.180181818181818</v>
      </c>
      <c r="AY31" s="241">
        <f>[17]PP21!N584/1000</f>
        <v>12.52118181818182</v>
      </c>
      <c r="AZ31" s="241">
        <f>[17]PP21!O584/1000</f>
        <v>12.769181818181821</v>
      </c>
      <c r="BA31" s="241">
        <f>[17]PP21!P584/1000</f>
        <v>12.64518181818182</v>
      </c>
      <c r="BB31" s="240">
        <f t="shared" si="40"/>
        <v>12.64518181818182</v>
      </c>
      <c r="BC31" s="311">
        <f t="shared" si="40"/>
        <v>12.125931818181822</v>
      </c>
      <c r="BE31" s="473" t="e">
        <f>+(S42+S61-S106)*1000000/BE30</f>
        <v>#REF!</v>
      </c>
      <c r="BF31" s="472" t="s">
        <v>397</v>
      </c>
    </row>
    <row r="32" spans="1:63">
      <c r="B32" s="233" t="s">
        <v>431</v>
      </c>
      <c r="C32" s="237">
        <f t="shared" si="23"/>
        <v>0</v>
      </c>
      <c r="D32" s="237">
        <f t="shared" si="23"/>
        <v>0</v>
      </c>
      <c r="E32" s="237">
        <f t="shared" si="23"/>
        <v>0</v>
      </c>
      <c r="F32" s="246">
        <f t="shared" si="24"/>
        <v>0</v>
      </c>
      <c r="G32" s="237">
        <f t="shared" si="25"/>
        <v>0</v>
      </c>
      <c r="H32" s="237">
        <f t="shared" si="25"/>
        <v>0</v>
      </c>
      <c r="I32" s="237">
        <f t="shared" si="25"/>
        <v>0</v>
      </c>
      <c r="J32" s="246">
        <f t="shared" si="26"/>
        <v>0</v>
      </c>
      <c r="K32" s="237">
        <f t="shared" si="27"/>
        <v>0</v>
      </c>
      <c r="L32" s="237">
        <f t="shared" si="27"/>
        <v>0</v>
      </c>
      <c r="M32" s="237">
        <f t="shared" si="27"/>
        <v>0</v>
      </c>
      <c r="N32" s="246">
        <f t="shared" si="28"/>
        <v>0</v>
      </c>
      <c r="O32" s="237">
        <f t="shared" si="29"/>
        <v>0</v>
      </c>
      <c r="P32" s="237">
        <f t="shared" si="29"/>
        <v>0</v>
      </c>
      <c r="Q32" s="237">
        <f t="shared" si="29"/>
        <v>0</v>
      </c>
      <c r="R32" s="246">
        <f t="shared" si="30"/>
        <v>0</v>
      </c>
      <c r="S32" s="245">
        <f t="shared" si="31"/>
        <v>0</v>
      </c>
      <c r="U32" s="235"/>
      <c r="V32" s="235"/>
      <c r="W32" s="235"/>
      <c r="X32" s="287">
        <f t="shared" si="32"/>
        <v>0</v>
      </c>
      <c r="Y32" s="235"/>
      <c r="Z32" s="235"/>
      <c r="AA32" s="235"/>
      <c r="AB32" s="287">
        <f t="shared" si="33"/>
        <v>0</v>
      </c>
      <c r="AF32" s="287">
        <f t="shared" si="34"/>
        <v>0</v>
      </c>
      <c r="AJ32" s="287">
        <f t="shared" si="35"/>
        <v>0</v>
      </c>
      <c r="AK32" s="286">
        <f t="shared" si="36"/>
        <v>0</v>
      </c>
      <c r="AP32" s="240">
        <f t="shared" si="37"/>
        <v>0</v>
      </c>
      <c r="AT32" s="240">
        <f t="shared" si="38"/>
        <v>0</v>
      </c>
      <c r="AX32" s="240">
        <f t="shared" si="39"/>
        <v>0</v>
      </c>
      <c r="BB32" s="240">
        <f t="shared" si="40"/>
        <v>0</v>
      </c>
      <c r="BC32" s="311">
        <f t="shared" si="40"/>
        <v>0</v>
      </c>
    </row>
    <row r="33" spans="1:58" ht="4.4000000000000004" customHeight="1">
      <c r="U33" s="235"/>
      <c r="V33" s="235"/>
      <c r="W33" s="235"/>
      <c r="Y33" s="235"/>
      <c r="Z33" s="235"/>
      <c r="AA33" s="235"/>
    </row>
    <row r="34" spans="1:58" ht="4.4000000000000004" customHeight="1">
      <c r="U34" s="235"/>
      <c r="V34" s="235"/>
      <c r="W34" s="235"/>
      <c r="Y34" s="235"/>
      <c r="Z34" s="235"/>
      <c r="AA34" s="235"/>
    </row>
    <row r="35" spans="1:58" ht="4.4000000000000004" customHeight="1">
      <c r="U35" s="235"/>
      <c r="V35" s="235"/>
      <c r="W35" s="235"/>
      <c r="Y35" s="235"/>
      <c r="Z35" s="235"/>
      <c r="AA35" s="235"/>
    </row>
    <row r="36" spans="1:58" ht="4.4000000000000004" customHeight="1">
      <c r="U36" s="235"/>
      <c r="V36" s="235"/>
      <c r="W36" s="235"/>
      <c r="Y36" s="235"/>
      <c r="Z36" s="235"/>
      <c r="AA36" s="235"/>
    </row>
    <row r="37" spans="1:58" ht="8.15" customHeight="1">
      <c r="U37" s="235"/>
      <c r="V37" s="235"/>
      <c r="W37" s="235"/>
      <c r="Y37" s="235"/>
      <c r="Z37" s="235"/>
      <c r="AA37" s="235"/>
    </row>
    <row r="38" spans="1:58" ht="4.4000000000000004" customHeight="1">
      <c r="U38" s="235"/>
      <c r="V38" s="235"/>
      <c r="W38" s="235"/>
      <c r="Y38" s="235"/>
      <c r="Z38" s="235"/>
      <c r="AA38" s="235"/>
    </row>
    <row r="39" spans="1:58" ht="14.15" customHeight="1">
      <c r="U39" s="235"/>
      <c r="V39" s="235"/>
      <c r="W39" s="235"/>
      <c r="Y39" s="235"/>
      <c r="Z39" s="235"/>
      <c r="AA39" s="235"/>
    </row>
    <row r="40" spans="1:58" ht="4.4000000000000004" customHeight="1">
      <c r="U40" s="235"/>
      <c r="V40" s="235"/>
      <c r="W40" s="235"/>
      <c r="Y40" s="235"/>
      <c r="Z40" s="235"/>
      <c r="AA40" s="235"/>
    </row>
    <row r="41" spans="1:58" ht="4.4000000000000004" customHeight="1"/>
    <row r="42" spans="1:58" s="294" customFormat="1">
      <c r="A42" s="475" t="s">
        <v>391</v>
      </c>
      <c r="B42" s="423" t="s">
        <v>390</v>
      </c>
      <c r="C42" s="422">
        <f>SUM(C25:C41)</f>
        <v>3840.0101942990659</v>
      </c>
      <c r="D42" s="422">
        <f>SUM(D25:D41)</f>
        <v>3780.7462542990656</v>
      </c>
      <c r="E42" s="422">
        <f>SUM(E25:E41)</f>
        <v>3837.5456942990659</v>
      </c>
      <c r="F42" s="421">
        <f>SUM(C42:E42)</f>
        <v>11458.302142897197</v>
      </c>
      <c r="G42" s="422">
        <f>SUM(G25:G41)</f>
        <v>3809.0480142990659</v>
      </c>
      <c r="H42" s="422">
        <f>SUM(H25:H41)</f>
        <v>3806.790594299066</v>
      </c>
      <c r="I42" s="422">
        <f>SUM(I25:I41)</f>
        <v>3805.4334142990656</v>
      </c>
      <c r="J42" s="421">
        <f>SUM(G42:I42)</f>
        <v>11421.272022897198</v>
      </c>
      <c r="K42" s="422">
        <f>SUM(K25:K41)</f>
        <v>3830.995394299066</v>
      </c>
      <c r="L42" s="422">
        <f>SUM(L25:L41)</f>
        <v>3849.1148942990658</v>
      </c>
      <c r="M42" s="422">
        <f>SUM(M25:M41)</f>
        <v>3841.2694142990658</v>
      </c>
      <c r="N42" s="421">
        <f>SUM(K42:M42)</f>
        <v>11521.379702897197</v>
      </c>
      <c r="O42" s="422">
        <f>SUM(O25:O41)</f>
        <v>3863.9824942990663</v>
      </c>
      <c r="P42" s="422">
        <f>SUM(P25:P41)</f>
        <v>3862.1014142990662</v>
      </c>
      <c r="Q42" s="422">
        <f>SUM(Q25:Q41)</f>
        <v>3871.081494299066</v>
      </c>
      <c r="R42" s="421">
        <f>SUM(O42:Q42)</f>
        <v>11597.165402897199</v>
      </c>
      <c r="S42" s="420">
        <f>SUM(S25:S41)</f>
        <v>45998.119271588796</v>
      </c>
      <c r="T42" s="234"/>
      <c r="U42" s="483">
        <f>SUM(U25:U41)</f>
        <v>279.95000000000005</v>
      </c>
      <c r="V42" s="483">
        <f>SUM(V25:V41)</f>
        <v>276.64999999999998</v>
      </c>
      <c r="W42" s="483">
        <f>SUM(W25:W41)</f>
        <v>279.95000000000005</v>
      </c>
      <c r="X42" s="418">
        <f>SUM(U42:W42)</f>
        <v>836.55000000000007</v>
      </c>
      <c r="Y42" s="483">
        <f>SUM(Y25:Y41)</f>
        <v>278.85000000000002</v>
      </c>
      <c r="Z42" s="483">
        <f>SUM(Z25:Z41)</f>
        <v>279.95000000000005</v>
      </c>
      <c r="AA42" s="483">
        <f>SUM(AA25:AA41)</f>
        <v>278.85000000000002</v>
      </c>
      <c r="AB42" s="418">
        <f>SUM(Y42:AA42)</f>
        <v>837.65000000000009</v>
      </c>
      <c r="AC42" s="419">
        <f>SUM(AC25:AC41)</f>
        <v>279.95000000000005</v>
      </c>
      <c r="AD42" s="419">
        <f>SUM(AD25:AD41)</f>
        <v>279.95000000000005</v>
      </c>
      <c r="AE42" s="419">
        <f>SUM(AE25:AE41)</f>
        <v>278.85000000000002</v>
      </c>
      <c r="AF42" s="418">
        <f>SUM(AC42:AE42)</f>
        <v>838.75000000000011</v>
      </c>
      <c r="AG42" s="419">
        <f>SUM(AG25:AG41)</f>
        <v>279.95000000000005</v>
      </c>
      <c r="AH42" s="419">
        <f>SUM(AH25:AH41)</f>
        <v>278.85000000000002</v>
      </c>
      <c r="AI42" s="419">
        <f>SUM(AI25:AI41)</f>
        <v>279.95000000000005</v>
      </c>
      <c r="AJ42" s="418">
        <f>SUM(AG42:AI42)</f>
        <v>838.75000000000011</v>
      </c>
      <c r="AK42" s="417">
        <f>SUM(AK25:AK41)</f>
        <v>3351.7000000000003</v>
      </c>
      <c r="AL42" s="416"/>
      <c r="AM42" s="482">
        <f>+C42/U42</f>
        <v>13.716771545987017</v>
      </c>
      <c r="AN42" s="482">
        <f>+D42/V42</f>
        <v>13.666171170428578</v>
      </c>
      <c r="AO42" s="446">
        <f>+E42/W42</f>
        <v>13.707968188244562</v>
      </c>
      <c r="AP42" s="446">
        <f>IF(X42=0,0,+F42/X42)</f>
        <v>13.697091797139676</v>
      </c>
      <c r="AQ42" s="446">
        <f>+G42/Y42</f>
        <v>13.659845846509111</v>
      </c>
      <c r="AR42" s="446">
        <f>+H42/Z42</f>
        <v>13.598108927662317</v>
      </c>
      <c r="AS42" s="446">
        <f>+I42/AA42</f>
        <v>13.646883321854277</v>
      </c>
      <c r="AT42" s="446">
        <f>IF(AB42=0,0,+J42/AB42)</f>
        <v>13.634897657610214</v>
      </c>
      <c r="AU42" s="446">
        <f>+K42/AC42</f>
        <v>13.684570081439777</v>
      </c>
      <c r="AV42" s="446">
        <f>+L42/AD42</f>
        <v>13.749294139307251</v>
      </c>
      <c r="AW42" s="446">
        <f>+M42/AE42</f>
        <v>13.775396859598585</v>
      </c>
      <c r="AX42" s="446">
        <f>IF(AF42=0,0,+N42/AF42)</f>
        <v>13.73636924339457</v>
      </c>
      <c r="AY42" s="446">
        <f>+O42/AG42</f>
        <v>13.802402194317077</v>
      </c>
      <c r="AZ42" s="446">
        <f>+P42/AH42</f>
        <v>13.850103691228496</v>
      </c>
      <c r="BA42" s="446">
        <f>+Q42/AI42</f>
        <v>13.827760293977729</v>
      </c>
      <c r="BB42" s="446">
        <f>IF(AJ42=0,0,+R42/AJ42)</f>
        <v>13.826724772455675</v>
      </c>
      <c r="BC42" s="413">
        <f>IF(AK42=0,0,+S42/AK42)</f>
        <v>13.723817546793804</v>
      </c>
      <c r="BE42" s="473" t="e">
        <f>+BE31/BC2</f>
        <v>#REF!</v>
      </c>
      <c r="BF42" s="472" t="s">
        <v>393</v>
      </c>
    </row>
    <row r="43" spans="1:58" s="294" customFormat="1">
      <c r="B43" s="471"/>
      <c r="C43" s="470"/>
      <c r="D43" s="470"/>
      <c r="E43" s="470"/>
      <c r="F43" s="468"/>
      <c r="G43" s="470"/>
      <c r="H43" s="470"/>
      <c r="I43" s="470"/>
      <c r="J43" s="468"/>
      <c r="K43" s="469"/>
      <c r="L43" s="469"/>
      <c r="M43" s="469"/>
      <c r="N43" s="468"/>
      <c r="O43" s="469"/>
      <c r="P43" s="469"/>
      <c r="Q43" s="469"/>
      <c r="R43" s="468"/>
      <c r="S43" s="467"/>
      <c r="T43" s="234"/>
      <c r="U43" s="478"/>
      <c r="V43" s="478"/>
      <c r="W43" s="478"/>
      <c r="X43" s="464"/>
      <c r="Y43" s="478"/>
      <c r="Z43" s="478"/>
      <c r="AA43" s="478"/>
      <c r="AB43" s="464"/>
      <c r="AC43" s="477"/>
      <c r="AD43" s="477"/>
      <c r="AE43" s="477"/>
      <c r="AF43" s="464"/>
      <c r="AG43" s="477"/>
      <c r="AH43" s="477"/>
      <c r="AI43" s="477"/>
      <c r="AJ43" s="464"/>
      <c r="AK43" s="463"/>
      <c r="AL43" s="416"/>
      <c r="AM43" s="481"/>
      <c r="AN43" s="481"/>
      <c r="AO43" s="416"/>
      <c r="AP43" s="462"/>
      <c r="AQ43" s="416"/>
      <c r="AR43" s="416"/>
      <c r="AS43" s="416"/>
      <c r="AT43" s="462"/>
      <c r="AU43" s="416"/>
      <c r="AV43" s="416"/>
      <c r="AW43" s="416"/>
      <c r="AX43" s="462"/>
      <c r="AY43" s="416"/>
      <c r="AZ43" s="416"/>
      <c r="BA43" s="416"/>
      <c r="BB43" s="462"/>
      <c r="BC43" s="462" t="s">
        <v>417</v>
      </c>
    </row>
    <row r="44" spans="1:58">
      <c r="A44" s="696" t="s">
        <v>430</v>
      </c>
      <c r="B44" s="461" t="s">
        <v>429</v>
      </c>
      <c r="C44" s="237">
        <f t="shared" ref="C44:E51" si="41">+U44*AM44/1000000</f>
        <v>306.38217600000002</v>
      </c>
      <c r="D44" s="237">
        <f t="shared" si="41"/>
        <v>269.85772800000001</v>
      </c>
      <c r="E44" s="237">
        <f t="shared" si="41"/>
        <v>304.30641600000001</v>
      </c>
      <c r="F44" s="246">
        <f t="shared" ref="F44:F51" si="42">SUM(C44:E44)</f>
        <v>880.54632000000004</v>
      </c>
      <c r="G44" s="237">
        <f t="shared" ref="G44:I51" si="43">+Y44*AQ44/1000000</f>
        <v>288.46368000000001</v>
      </c>
      <c r="H44" s="237">
        <f t="shared" si="43"/>
        <v>289.776096</v>
      </c>
      <c r="I44" s="237">
        <f t="shared" si="43"/>
        <v>285.78528</v>
      </c>
      <c r="J44" s="246">
        <f t="shared" ref="J44:J51" si="44">SUM(G44:I44)</f>
        <v>864.02505599999995</v>
      </c>
      <c r="K44" s="237">
        <f t="shared" ref="K44:M51" si="45">+AC44*AU44/1000000</f>
        <v>178.71211207366107</v>
      </c>
      <c r="L44" s="237">
        <f t="shared" si="45"/>
        <v>349.11578760000003</v>
      </c>
      <c r="M44" s="237">
        <f t="shared" si="45"/>
        <v>280.83903419592173</v>
      </c>
      <c r="N44" s="246">
        <f t="shared" ref="N44:N51" si="46">SUM(K44:M44)</f>
        <v>808.66693386958286</v>
      </c>
      <c r="O44" s="237">
        <f t="shared" ref="O44:Q51" si="47">+AG44*AY44/1000000</f>
        <v>313.99329599999999</v>
      </c>
      <c r="P44" s="237">
        <f t="shared" si="47"/>
        <v>376.74890860000005</v>
      </c>
      <c r="Q44" s="237">
        <f t="shared" si="47"/>
        <v>316.76097600000003</v>
      </c>
      <c r="R44" s="246">
        <f t="shared" ref="R44:R51" si="48">SUM(O44:Q44)</f>
        <v>1007.5031806000001</v>
      </c>
      <c r="S44" s="245">
        <f t="shared" ref="S44:S51" si="49">+F44+J44+N44+R44</f>
        <v>3560.7414904695829</v>
      </c>
      <c r="U44" s="244">
        <f>+[18]Production_M!U74</f>
        <v>22320</v>
      </c>
      <c r="V44" s="244">
        <f>+[18]Production_M!V74</f>
        <v>20160</v>
      </c>
      <c r="W44" s="244">
        <f>+[18]Production_M!W74</f>
        <v>22320</v>
      </c>
      <c r="X44" s="287">
        <f t="shared" ref="X44:X51" si="50">SUM(U44:W44)</f>
        <v>64800</v>
      </c>
      <c r="Y44" s="244">
        <f>+[18]Production_M!Y74</f>
        <v>21600</v>
      </c>
      <c r="Z44" s="244">
        <f>+[18]Production_M!Z74</f>
        <v>22320</v>
      </c>
      <c r="AA44" s="244">
        <f>+[18]Production_M!AA74</f>
        <v>21600</v>
      </c>
      <c r="AB44" s="287">
        <f t="shared" ref="AB44:AB51" si="51">SUM(Y44:AA44)</f>
        <v>65520</v>
      </c>
      <c r="AC44" s="244">
        <f>+[18]Production_M!AC74</f>
        <v>13320.025048719595</v>
      </c>
      <c r="AD44" s="244">
        <f>+[18]Production_M!AD74</f>
        <v>25262</v>
      </c>
      <c r="AE44" s="244">
        <f>+[18]Production_M!AE74</f>
        <v>20140.781866917318</v>
      </c>
      <c r="AF44" s="287">
        <f t="shared" ref="AF44:AF51" si="52">SUM(AC44:AE44)</f>
        <v>58722.806915636917</v>
      </c>
      <c r="AG44" s="244">
        <f>+[18]Production_M!AG74</f>
        <v>22320</v>
      </c>
      <c r="AH44" s="244">
        <f>+[18]Production_M!AH74</f>
        <v>26317</v>
      </c>
      <c r="AI44" s="244">
        <f>+[18]Production_M!AI74</f>
        <v>22320</v>
      </c>
      <c r="AJ44" s="287">
        <f t="shared" ref="AJ44:AJ51" si="53">SUM(AG44:AI44)</f>
        <v>70957</v>
      </c>
      <c r="AK44" s="286">
        <f t="shared" ref="AK44:AK51" si="54">+X44+AB44+AF44+AJ44</f>
        <v>259999.80691563693</v>
      </c>
      <c r="AM44" s="241">
        <f>[17]PP21!B556</f>
        <v>13726.800000000001</v>
      </c>
      <c r="AN44" s="241">
        <f>[17]PP21!C556</f>
        <v>13385.800000000001</v>
      </c>
      <c r="AO44" s="241">
        <f>[17]PP21!D556</f>
        <v>13633.800000000001</v>
      </c>
      <c r="AP44" s="240">
        <f t="shared" ref="AP44:AP51" si="55">IF(X44=0,0,+F44/X44*1000000)</f>
        <v>13588.677777777779</v>
      </c>
      <c r="AQ44" s="241">
        <f>[17]PP21!F556</f>
        <v>13354.800000000001</v>
      </c>
      <c r="AR44" s="241">
        <f>[17]PP21!G556</f>
        <v>12982.800000000001</v>
      </c>
      <c r="AS44" s="241">
        <f>[17]PP21!H556</f>
        <v>13230.800000000001</v>
      </c>
      <c r="AT44" s="240">
        <f t="shared" ref="AT44:AT51" si="56">IF(AB44=0,0,+J44/AB44*1000000)</f>
        <v>13187.195604395603</v>
      </c>
      <c r="AU44" s="241">
        <f>[17]PP21!J556</f>
        <v>13416.800000000001</v>
      </c>
      <c r="AV44" s="241">
        <f>[17]PP21!K556</f>
        <v>13819.800000000001</v>
      </c>
      <c r="AW44" s="241">
        <f>[17]PP21!L556</f>
        <v>13943.800000000001</v>
      </c>
      <c r="AX44" s="240">
        <f t="shared" ref="AX44:AX51" si="57">IF(AF44=0,0,+N44/AF44*1000000)</f>
        <v>13770.917576050817</v>
      </c>
      <c r="AY44" s="241">
        <f>[17]PP21!N556</f>
        <v>14067.800000000001</v>
      </c>
      <c r="AZ44" s="241">
        <f>[17]PP21!O556</f>
        <v>14315.800000000001</v>
      </c>
      <c r="BA44" s="241">
        <f>[17]PP21!P556</f>
        <v>14191.800000000001</v>
      </c>
      <c r="BB44" s="240">
        <f t="shared" ref="BB44:BC51" si="58">IF(AJ44=0,0,+R44/AJ44*1000000)</f>
        <v>14198.784906351735</v>
      </c>
      <c r="BC44" s="311">
        <f t="shared" si="58"/>
        <v>13695.169749202734</v>
      </c>
    </row>
    <row r="45" spans="1:58">
      <c r="A45" s="294" t="s">
        <v>428</v>
      </c>
      <c r="B45" s="233" t="s">
        <v>427</v>
      </c>
      <c r="C45" s="237">
        <f t="shared" si="41"/>
        <v>0</v>
      </c>
      <c r="D45" s="237">
        <f t="shared" si="41"/>
        <v>0</v>
      </c>
      <c r="E45" s="237">
        <f t="shared" si="41"/>
        <v>0</v>
      </c>
      <c r="F45" s="246">
        <f t="shared" si="42"/>
        <v>0</v>
      </c>
      <c r="G45" s="237">
        <f t="shared" si="43"/>
        <v>0</v>
      </c>
      <c r="H45" s="237">
        <f t="shared" si="43"/>
        <v>0</v>
      </c>
      <c r="I45" s="237">
        <f t="shared" si="43"/>
        <v>0</v>
      </c>
      <c r="J45" s="246">
        <f t="shared" si="44"/>
        <v>0</v>
      </c>
      <c r="K45" s="237">
        <f t="shared" si="45"/>
        <v>0</v>
      </c>
      <c r="L45" s="237">
        <f t="shared" si="45"/>
        <v>0</v>
      </c>
      <c r="M45" s="237">
        <f t="shared" si="45"/>
        <v>0</v>
      </c>
      <c r="N45" s="246">
        <f t="shared" si="46"/>
        <v>0</v>
      </c>
      <c r="O45" s="237">
        <f t="shared" si="47"/>
        <v>0</v>
      </c>
      <c r="P45" s="237">
        <f t="shared" si="47"/>
        <v>0</v>
      </c>
      <c r="Q45" s="237">
        <f t="shared" si="47"/>
        <v>0</v>
      </c>
      <c r="R45" s="246">
        <f t="shared" si="48"/>
        <v>0</v>
      </c>
      <c r="S45" s="245">
        <f t="shared" si="49"/>
        <v>0</v>
      </c>
      <c r="U45" s="244"/>
      <c r="V45" s="244"/>
      <c r="W45" s="244"/>
      <c r="X45" s="287">
        <f t="shared" si="50"/>
        <v>0</v>
      </c>
      <c r="Y45" s="244"/>
      <c r="Z45" s="244"/>
      <c r="AA45" s="244"/>
      <c r="AB45" s="287">
        <f t="shared" si="51"/>
        <v>0</v>
      </c>
      <c r="AC45" s="244"/>
      <c r="AD45" s="244"/>
      <c r="AE45" s="244"/>
      <c r="AF45" s="287">
        <f t="shared" si="52"/>
        <v>0</v>
      </c>
      <c r="AG45" s="244"/>
      <c r="AH45" s="244"/>
      <c r="AI45" s="244"/>
      <c r="AJ45" s="287">
        <f t="shared" si="53"/>
        <v>0</v>
      </c>
      <c r="AK45" s="286">
        <f t="shared" si="54"/>
        <v>0</v>
      </c>
      <c r="AM45" s="241"/>
      <c r="AN45" s="241"/>
      <c r="AO45" s="241"/>
      <c r="AP45" s="240">
        <f t="shared" si="55"/>
        <v>0</v>
      </c>
      <c r="AQ45" s="241"/>
      <c r="AR45" s="241"/>
      <c r="AS45" s="241"/>
      <c r="AT45" s="240">
        <f t="shared" si="56"/>
        <v>0</v>
      </c>
      <c r="AU45" s="241"/>
      <c r="AV45" s="241"/>
      <c r="AW45" s="241"/>
      <c r="AX45" s="240">
        <f t="shared" si="57"/>
        <v>0</v>
      </c>
      <c r="AY45" s="241"/>
      <c r="AZ45" s="241"/>
      <c r="BA45" s="241"/>
      <c r="BB45" s="240">
        <f t="shared" si="58"/>
        <v>0</v>
      </c>
      <c r="BC45" s="311">
        <f t="shared" si="58"/>
        <v>0</v>
      </c>
    </row>
    <row r="46" spans="1:58">
      <c r="A46" s="294"/>
      <c r="B46" s="461" t="s">
        <v>426</v>
      </c>
      <c r="C46" s="237">
        <f t="shared" si="41"/>
        <v>298.28644502912539</v>
      </c>
      <c r="D46" s="237">
        <f t="shared" si="41"/>
        <v>261.09015658290434</v>
      </c>
      <c r="E46" s="237">
        <f t="shared" si="41"/>
        <v>286.87986277627061</v>
      </c>
      <c r="F46" s="246">
        <f t="shared" si="42"/>
        <v>846.2564643883004</v>
      </c>
      <c r="G46" s="237">
        <f t="shared" si="43"/>
        <v>275.51189382722771</v>
      </c>
      <c r="H46" s="237">
        <f t="shared" si="43"/>
        <v>291.24834108587459</v>
      </c>
      <c r="I46" s="237">
        <f t="shared" si="43"/>
        <v>277.39080922920789</v>
      </c>
      <c r="J46" s="246">
        <f t="shared" si="44"/>
        <v>844.15104414231018</v>
      </c>
      <c r="K46" s="237">
        <f t="shared" si="45"/>
        <v>85.568671474999988</v>
      </c>
      <c r="L46" s="237">
        <f t="shared" si="45"/>
        <v>137.87680279999998</v>
      </c>
      <c r="M46" s="237">
        <f t="shared" si="45"/>
        <v>275.2770294019802</v>
      </c>
      <c r="N46" s="246">
        <f t="shared" si="46"/>
        <v>498.72250367698018</v>
      </c>
      <c r="O46" s="237">
        <f t="shared" si="47"/>
        <v>286.63716953684815</v>
      </c>
      <c r="P46" s="237">
        <f t="shared" si="47"/>
        <v>281.61836888366338</v>
      </c>
      <c r="Q46" s="237">
        <f t="shared" si="47"/>
        <v>286.39447629742574</v>
      </c>
      <c r="R46" s="246">
        <f t="shared" si="48"/>
        <v>854.65001471793732</v>
      </c>
      <c r="S46" s="245">
        <f t="shared" si="49"/>
        <v>3043.7800269255281</v>
      </c>
      <c r="U46" s="244">
        <f>+[18]Production_M!U81</f>
        <v>26538.353135313533</v>
      </c>
      <c r="V46" s="244">
        <f>+[18]Production_M!V81</f>
        <v>23970.125412541256</v>
      </c>
      <c r="W46" s="244">
        <f>+[18]Production_M!W81</f>
        <v>26538.353135313533</v>
      </c>
      <c r="X46" s="287">
        <f t="shared" si="50"/>
        <v>77046.831683168319</v>
      </c>
      <c r="Y46" s="244">
        <f>+[18]Production_M!Y81</f>
        <v>25682.277227722774</v>
      </c>
      <c r="Z46" s="244">
        <f>+[18]Production_M!Z81</f>
        <v>26538.353135313533</v>
      </c>
      <c r="AA46" s="244">
        <f>+[18]Production_M!AA81</f>
        <v>25682.277227722774</v>
      </c>
      <c r="AB46" s="287">
        <f t="shared" si="51"/>
        <v>77902.907590759089</v>
      </c>
      <c r="AC46" s="244">
        <f>+[18]Production_M!AC81</f>
        <v>8045</v>
      </c>
      <c r="AD46" s="244">
        <f>+[18]Production_M!AD81</f>
        <v>13064</v>
      </c>
      <c r="AE46" s="244">
        <f>+[18]Production_M!AE81</f>
        <v>25682.277227722774</v>
      </c>
      <c r="AF46" s="287">
        <f t="shared" si="52"/>
        <v>46791.277227722778</v>
      </c>
      <c r="AG46" s="244">
        <f>+[18]Production_M!AG81</f>
        <v>26538.353135313533</v>
      </c>
      <c r="AH46" s="244">
        <f>+[18]Production_M!AH81</f>
        <v>25682.277227722774</v>
      </c>
      <c r="AI46" s="244">
        <f>+[18]Production_M!AI81</f>
        <v>26538.353135313533</v>
      </c>
      <c r="AJ46" s="287">
        <f t="shared" si="53"/>
        <v>78758.983498349844</v>
      </c>
      <c r="AK46" s="286">
        <f t="shared" si="54"/>
        <v>280500</v>
      </c>
      <c r="AM46" s="241">
        <f>[17]PP21!B557</f>
        <v>11239.824999999999</v>
      </c>
      <c r="AN46" s="241">
        <f>[17]PP21!C557</f>
        <v>10892.315000000001</v>
      </c>
      <c r="AO46" s="241">
        <f>[17]PP21!D557</f>
        <v>10810.01</v>
      </c>
      <c r="AP46" s="240">
        <f t="shared" si="55"/>
        <v>10983.66338888889</v>
      </c>
      <c r="AQ46" s="241">
        <f>[17]PP21!F557</f>
        <v>10727.705</v>
      </c>
      <c r="AR46" s="241">
        <f>[17]PP21!G557</f>
        <v>10974.619999999999</v>
      </c>
      <c r="AS46" s="241">
        <f>[17]PP21!H557</f>
        <v>10800.864999999998</v>
      </c>
      <c r="AT46" s="240">
        <f t="shared" si="56"/>
        <v>10835.93758241758</v>
      </c>
      <c r="AU46" s="241">
        <f>[17]PP21!J557</f>
        <v>10636.254999999999</v>
      </c>
      <c r="AV46" s="241">
        <f>[17]PP21!K557</f>
        <v>10553.949999999999</v>
      </c>
      <c r="AW46" s="241">
        <f>[17]PP21!L557</f>
        <v>10718.56</v>
      </c>
      <c r="AX46" s="240">
        <f t="shared" si="57"/>
        <v>10658.450318631147</v>
      </c>
      <c r="AY46" s="241">
        <f>[17]PP21!N557</f>
        <v>10800.864999999998</v>
      </c>
      <c r="AZ46" s="241">
        <f>[17]PP21!O557</f>
        <v>10965.474999999999</v>
      </c>
      <c r="BA46" s="241">
        <f>[17]PP21!P557</f>
        <v>10791.72</v>
      </c>
      <c r="BB46" s="240">
        <f t="shared" si="58"/>
        <v>10851.460706521739</v>
      </c>
      <c r="BC46" s="311">
        <f t="shared" si="58"/>
        <v>10851.265693139138</v>
      </c>
    </row>
    <row r="47" spans="1:58">
      <c r="A47" s="294"/>
      <c r="B47" s="461" t="s">
        <v>223</v>
      </c>
      <c r="C47" s="237">
        <f t="shared" si="41"/>
        <v>464.37615239294081</v>
      </c>
      <c r="D47" s="237">
        <f t="shared" si="41"/>
        <v>391.32912000000005</v>
      </c>
      <c r="E47" s="237">
        <f t="shared" si="41"/>
        <v>441.24160000000006</v>
      </c>
      <c r="F47" s="246">
        <f t="shared" si="42"/>
        <v>1296.9468723929408</v>
      </c>
      <c r="G47" s="237">
        <f t="shared" si="43"/>
        <v>418.80380000000008</v>
      </c>
      <c r="H47" s="237">
        <f t="shared" si="43"/>
        <v>419.48995400000007</v>
      </c>
      <c r="I47" s="237">
        <f t="shared" si="43"/>
        <v>414.95980000000009</v>
      </c>
      <c r="J47" s="246">
        <f t="shared" si="44"/>
        <v>1253.2535540000003</v>
      </c>
      <c r="K47" s="237">
        <f t="shared" si="45"/>
        <v>259.17808739241951</v>
      </c>
      <c r="L47" s="237">
        <f t="shared" si="45"/>
        <v>447.19360000000006</v>
      </c>
      <c r="M47" s="237">
        <f t="shared" si="45"/>
        <v>437.06280000000004</v>
      </c>
      <c r="N47" s="246">
        <f t="shared" si="46"/>
        <v>1143.4344873924197</v>
      </c>
      <c r="O47" s="237">
        <f t="shared" si="47"/>
        <v>308.63476000000003</v>
      </c>
      <c r="P47" s="237">
        <f t="shared" si="47"/>
        <v>0</v>
      </c>
      <c r="Q47" s="237">
        <f t="shared" si="47"/>
        <v>459.09760000000006</v>
      </c>
      <c r="R47" s="246">
        <f t="shared" si="48"/>
        <v>767.73236000000009</v>
      </c>
      <c r="S47" s="245">
        <f t="shared" si="49"/>
        <v>4461.3672737853612</v>
      </c>
      <c r="U47" s="244">
        <f>+[18]Production_M!U76</f>
        <v>32000</v>
      </c>
      <c r="V47" s="244">
        <f>+[18]Production_M!V76</f>
        <v>28900</v>
      </c>
      <c r="W47" s="244">
        <f>+[18]Production_M!W76</f>
        <v>32000</v>
      </c>
      <c r="X47" s="287">
        <f t="shared" si="50"/>
        <v>92900</v>
      </c>
      <c r="Y47" s="244">
        <f>+[18]Production_M!Y76</f>
        <v>31000</v>
      </c>
      <c r="Z47" s="244">
        <f>+[18]Production_M!Z76</f>
        <v>31930</v>
      </c>
      <c r="AA47" s="244">
        <f>+[18]Production_M!AA76</f>
        <v>31000</v>
      </c>
      <c r="AB47" s="287">
        <f t="shared" si="51"/>
        <v>93930</v>
      </c>
      <c r="AC47" s="244">
        <f>+[18]Production_M!AC76</f>
        <v>19096.810105691176</v>
      </c>
      <c r="AD47" s="244">
        <f>+[18]Production_M!AD76</f>
        <v>32000</v>
      </c>
      <c r="AE47" s="244">
        <f>+[18]Production_M!AE76</f>
        <v>31000</v>
      </c>
      <c r="AF47" s="287">
        <f t="shared" si="52"/>
        <v>82096.810105691169</v>
      </c>
      <c r="AG47" s="244">
        <f>+[18]Production_M!AG76</f>
        <v>21700</v>
      </c>
      <c r="AH47" s="244">
        <f>+[18]Production_M!AH76</f>
        <v>0</v>
      </c>
      <c r="AI47" s="244">
        <f>+[18]Production_M!AI76</f>
        <v>32000</v>
      </c>
      <c r="AJ47" s="287">
        <f t="shared" si="53"/>
        <v>53700</v>
      </c>
      <c r="AK47" s="286">
        <f t="shared" si="54"/>
        <v>322626.8101056912</v>
      </c>
      <c r="AM47" s="241">
        <f>[17]PP21!B558</f>
        <v>14511.754762279401</v>
      </c>
      <c r="AN47" s="241">
        <f>[17]PP21!C558</f>
        <v>13540.800000000001</v>
      </c>
      <c r="AO47" s="241">
        <f>[17]PP21!D558</f>
        <v>13788.800000000001</v>
      </c>
      <c r="AP47" s="240">
        <f t="shared" si="55"/>
        <v>13960.676774950924</v>
      </c>
      <c r="AQ47" s="241">
        <f>[17]PP21!F558</f>
        <v>13509.800000000001</v>
      </c>
      <c r="AR47" s="241">
        <f>[17]PP21!G558</f>
        <v>13137.800000000001</v>
      </c>
      <c r="AS47" s="241">
        <f>[17]PP21!H558</f>
        <v>13385.800000000001</v>
      </c>
      <c r="AT47" s="240">
        <f t="shared" si="56"/>
        <v>13342.420462046208</v>
      </c>
      <c r="AU47" s="241">
        <f>[17]PP21!J558</f>
        <v>13571.800000000001</v>
      </c>
      <c r="AV47" s="241">
        <f>[17]PP21!K558</f>
        <v>13974.800000000001</v>
      </c>
      <c r="AW47" s="241">
        <f>[17]PP21!L558</f>
        <v>14098.800000000001</v>
      </c>
      <c r="AX47" s="240">
        <f t="shared" si="57"/>
        <v>13927.879608481326</v>
      </c>
      <c r="AY47" s="241">
        <f>[17]PP21!N558</f>
        <v>14222.800000000001</v>
      </c>
      <c r="AZ47" s="241">
        <f>[17]PP21!O558</f>
        <v>14470.800000000001</v>
      </c>
      <c r="BA47" s="241">
        <f>[17]PP21!P558</f>
        <v>14346.800000000001</v>
      </c>
      <c r="BB47" s="240">
        <f t="shared" si="58"/>
        <v>14296.691992551212</v>
      </c>
      <c r="BC47" s="311">
        <f t="shared" si="58"/>
        <v>13828.259568148835</v>
      </c>
    </row>
    <row r="48" spans="1:58">
      <c r="A48" s="471" t="s">
        <v>391</v>
      </c>
      <c r="B48" s="233" t="s">
        <v>425</v>
      </c>
      <c r="C48" s="237" t="e">
        <f t="shared" si="41"/>
        <v>#REF!</v>
      </c>
      <c r="D48" s="237" t="e">
        <f t="shared" si="41"/>
        <v>#REF!</v>
      </c>
      <c r="E48" s="237" t="e">
        <f t="shared" si="41"/>
        <v>#REF!</v>
      </c>
      <c r="F48" s="246" t="e">
        <f t="shared" si="42"/>
        <v>#REF!</v>
      </c>
      <c r="G48" s="237" t="e">
        <f t="shared" si="43"/>
        <v>#REF!</v>
      </c>
      <c r="H48" s="237" t="e">
        <f t="shared" si="43"/>
        <v>#REF!</v>
      </c>
      <c r="I48" s="237" t="e">
        <f t="shared" si="43"/>
        <v>#REF!</v>
      </c>
      <c r="J48" s="246" t="e">
        <f t="shared" si="44"/>
        <v>#REF!</v>
      </c>
      <c r="K48" s="237" t="e">
        <f t="shared" si="45"/>
        <v>#REF!</v>
      </c>
      <c r="L48" s="237" t="e">
        <f t="shared" si="45"/>
        <v>#REF!</v>
      </c>
      <c r="M48" s="237" t="e">
        <f t="shared" si="45"/>
        <v>#REF!</v>
      </c>
      <c r="N48" s="246" t="e">
        <f t="shared" si="46"/>
        <v>#REF!</v>
      </c>
      <c r="O48" s="237" t="e">
        <f t="shared" si="47"/>
        <v>#REF!</v>
      </c>
      <c r="P48" s="237" t="e">
        <f t="shared" si="47"/>
        <v>#REF!</v>
      </c>
      <c r="Q48" s="237" t="e">
        <f t="shared" si="47"/>
        <v>#REF!</v>
      </c>
      <c r="R48" s="246" t="e">
        <f t="shared" si="48"/>
        <v>#REF!</v>
      </c>
      <c r="S48" s="245" t="e">
        <f t="shared" si="49"/>
        <v>#REF!</v>
      </c>
      <c r="U48" s="244" t="e">
        <f>+[18]Production_M!U77</f>
        <v>#REF!</v>
      </c>
      <c r="V48" s="244" t="e">
        <f>+[18]Production_M!V77</f>
        <v>#REF!</v>
      </c>
      <c r="W48" s="244" t="e">
        <f>+[18]Production_M!W77</f>
        <v>#REF!</v>
      </c>
      <c r="X48" s="287" t="e">
        <f t="shared" si="50"/>
        <v>#REF!</v>
      </c>
      <c r="Y48" s="244" t="e">
        <f>+[18]Production_M!Y77</f>
        <v>#REF!</v>
      </c>
      <c r="Z48" s="244" t="e">
        <f>+[18]Production_M!Z77</f>
        <v>#REF!</v>
      </c>
      <c r="AA48" s="244" t="e">
        <f>+[18]Production_M!AA77</f>
        <v>#REF!</v>
      </c>
      <c r="AB48" s="287" t="e">
        <f t="shared" si="51"/>
        <v>#REF!</v>
      </c>
      <c r="AC48" s="244" t="e">
        <f>+[18]Production_M!AC77</f>
        <v>#REF!</v>
      </c>
      <c r="AD48" s="244" t="e">
        <f>+[18]Production_M!AD77</f>
        <v>#REF!</v>
      </c>
      <c r="AE48" s="244" t="e">
        <f>+[18]Production_M!AE77</f>
        <v>#REF!</v>
      </c>
      <c r="AF48" s="287" t="e">
        <f t="shared" si="52"/>
        <v>#REF!</v>
      </c>
      <c r="AG48" s="244" t="e">
        <f>+[18]Production_M!AG77</f>
        <v>#REF!</v>
      </c>
      <c r="AH48" s="244" t="e">
        <f>+[18]Production_M!AH77</f>
        <v>#REF!</v>
      </c>
      <c r="AI48" s="244" t="e">
        <f>+[18]Production_M!AI77</f>
        <v>#REF!</v>
      </c>
      <c r="AJ48" s="287" t="e">
        <f t="shared" si="53"/>
        <v>#REF!</v>
      </c>
      <c r="AK48" s="286" t="e">
        <f t="shared" si="54"/>
        <v>#REF!</v>
      </c>
      <c r="AM48" s="241"/>
      <c r="AN48" s="241"/>
      <c r="AO48" s="241"/>
      <c r="AP48" s="240" t="e">
        <f t="shared" si="55"/>
        <v>#REF!</v>
      </c>
      <c r="AQ48" s="241"/>
      <c r="AR48" s="241"/>
      <c r="AS48" s="241"/>
      <c r="AT48" s="240" t="e">
        <f t="shared" si="56"/>
        <v>#REF!</v>
      </c>
      <c r="AU48" s="241"/>
      <c r="AV48" s="241"/>
      <c r="AW48" s="241"/>
      <c r="AX48" s="240" t="e">
        <f t="shared" si="57"/>
        <v>#REF!</v>
      </c>
      <c r="AY48" s="241"/>
      <c r="AZ48" s="241"/>
      <c r="BA48" s="241"/>
      <c r="BB48" s="240" t="e">
        <f t="shared" si="58"/>
        <v>#REF!</v>
      </c>
      <c r="BC48" s="311" t="e">
        <f t="shared" si="58"/>
        <v>#REF!</v>
      </c>
    </row>
    <row r="49" spans="1:58" s="479" customFormat="1">
      <c r="A49" s="480" t="s">
        <v>391</v>
      </c>
      <c r="B49" s="479" t="s">
        <v>424</v>
      </c>
      <c r="C49" s="237" t="e">
        <f t="shared" si="41"/>
        <v>#REF!</v>
      </c>
      <c r="D49" s="237" t="e">
        <f t="shared" si="41"/>
        <v>#REF!</v>
      </c>
      <c r="E49" s="237" t="e">
        <f t="shared" si="41"/>
        <v>#REF!</v>
      </c>
      <c r="F49" s="246" t="e">
        <f t="shared" si="42"/>
        <v>#REF!</v>
      </c>
      <c r="G49" s="237" t="e">
        <f t="shared" si="43"/>
        <v>#REF!</v>
      </c>
      <c r="H49" s="237" t="e">
        <f t="shared" si="43"/>
        <v>#REF!</v>
      </c>
      <c r="I49" s="237" t="e">
        <f t="shared" si="43"/>
        <v>#REF!</v>
      </c>
      <c r="J49" s="246" t="e">
        <f t="shared" si="44"/>
        <v>#REF!</v>
      </c>
      <c r="K49" s="237" t="e">
        <f t="shared" si="45"/>
        <v>#REF!</v>
      </c>
      <c r="L49" s="237" t="e">
        <f t="shared" si="45"/>
        <v>#REF!</v>
      </c>
      <c r="M49" s="237" t="e">
        <f t="shared" si="45"/>
        <v>#REF!</v>
      </c>
      <c r="N49" s="246" t="e">
        <f t="shared" si="46"/>
        <v>#REF!</v>
      </c>
      <c r="O49" s="237" t="e">
        <f t="shared" si="47"/>
        <v>#REF!</v>
      </c>
      <c r="P49" s="237" t="e">
        <f t="shared" si="47"/>
        <v>#REF!</v>
      </c>
      <c r="Q49" s="237" t="e">
        <f t="shared" si="47"/>
        <v>#REF!</v>
      </c>
      <c r="R49" s="246" t="e">
        <f t="shared" si="48"/>
        <v>#REF!</v>
      </c>
      <c r="S49" s="245" t="e">
        <f t="shared" si="49"/>
        <v>#REF!</v>
      </c>
      <c r="T49" s="285"/>
      <c r="U49" s="244" t="e">
        <f>+[18]Production_M!U77</f>
        <v>#REF!</v>
      </c>
      <c r="V49" s="244" t="e">
        <f>+[18]Production_M!V77</f>
        <v>#REF!</v>
      </c>
      <c r="W49" s="244" t="e">
        <f>+[18]Production_M!W77</f>
        <v>#REF!</v>
      </c>
      <c r="X49" s="287" t="e">
        <f t="shared" si="50"/>
        <v>#REF!</v>
      </c>
      <c r="Y49" s="244" t="e">
        <f>+[18]Production_M!Y77</f>
        <v>#REF!</v>
      </c>
      <c r="Z49" s="244" t="e">
        <f>+[18]Production_M!Z77</f>
        <v>#REF!</v>
      </c>
      <c r="AA49" s="244" t="e">
        <f>+[18]Production_M!AA77</f>
        <v>#REF!</v>
      </c>
      <c r="AB49" s="287" t="e">
        <f t="shared" si="51"/>
        <v>#REF!</v>
      </c>
      <c r="AC49" s="244" t="e">
        <f>+[18]Production_M!AC77</f>
        <v>#REF!</v>
      </c>
      <c r="AD49" s="244" t="e">
        <f>+[18]Production_M!AD77</f>
        <v>#REF!</v>
      </c>
      <c r="AE49" s="244" t="e">
        <f>+[18]Production_M!AE77</f>
        <v>#REF!</v>
      </c>
      <c r="AF49" s="287" t="e">
        <f t="shared" si="52"/>
        <v>#REF!</v>
      </c>
      <c r="AG49" s="244" t="e">
        <f>+[18]Production_M!AG77</f>
        <v>#REF!</v>
      </c>
      <c r="AH49" s="244" t="e">
        <f>+[18]Production_M!AH77</f>
        <v>#REF!</v>
      </c>
      <c r="AI49" s="244" t="e">
        <f>+[18]Production_M!AI77</f>
        <v>#REF!</v>
      </c>
      <c r="AJ49" s="287" t="e">
        <f t="shared" si="53"/>
        <v>#REF!</v>
      </c>
      <c r="AK49" s="286" t="e">
        <f t="shared" si="54"/>
        <v>#REF!</v>
      </c>
      <c r="AL49" s="285"/>
      <c r="AM49" s="241">
        <f>[17]PP21!B559</f>
        <v>13884.800000000001</v>
      </c>
      <c r="AN49" s="241">
        <f>[17]PP21!C559</f>
        <v>13543.800000000001</v>
      </c>
      <c r="AO49" s="241">
        <f>[17]PP21!D559</f>
        <v>13791.800000000001</v>
      </c>
      <c r="AP49" s="240" t="e">
        <f t="shared" si="55"/>
        <v>#REF!</v>
      </c>
      <c r="AQ49" s="241">
        <f>[17]PP21!F559</f>
        <v>13512.800000000001</v>
      </c>
      <c r="AR49" s="241">
        <f>[17]PP21!G559</f>
        <v>13140.800000000001</v>
      </c>
      <c r="AS49" s="241">
        <f>[17]PP21!H559</f>
        <v>13388.800000000001</v>
      </c>
      <c r="AT49" s="240" t="e">
        <f t="shared" si="56"/>
        <v>#REF!</v>
      </c>
      <c r="AU49" s="241">
        <f>[17]PP21!J559</f>
        <v>13574.800000000001</v>
      </c>
      <c r="AV49" s="241">
        <f>[17]PP21!K559</f>
        <v>13977.800000000001</v>
      </c>
      <c r="AW49" s="241">
        <f>[17]PP21!L559</f>
        <v>14101.800000000001</v>
      </c>
      <c r="AX49" s="240" t="e">
        <f t="shared" si="57"/>
        <v>#REF!</v>
      </c>
      <c r="AY49" s="241">
        <f>[17]PP21!N559</f>
        <v>14225.800000000001</v>
      </c>
      <c r="AZ49" s="241">
        <f>[17]PP21!O559</f>
        <v>14473.800000000001</v>
      </c>
      <c r="BA49" s="241">
        <f>[17]PP21!P559</f>
        <v>14349.800000000001</v>
      </c>
      <c r="BB49" s="240" t="e">
        <f t="shared" si="58"/>
        <v>#REF!</v>
      </c>
      <c r="BC49" s="311" t="e">
        <f t="shared" si="58"/>
        <v>#REF!</v>
      </c>
    </row>
    <row r="50" spans="1:58" s="479" customFormat="1">
      <c r="A50" s="480"/>
      <c r="B50" s="479" t="s">
        <v>423</v>
      </c>
      <c r="C50" s="237">
        <f t="shared" si="41"/>
        <v>0</v>
      </c>
      <c r="D50" s="237">
        <f t="shared" si="41"/>
        <v>0</v>
      </c>
      <c r="E50" s="237">
        <f t="shared" si="41"/>
        <v>0</v>
      </c>
      <c r="F50" s="246">
        <f t="shared" si="42"/>
        <v>0</v>
      </c>
      <c r="G50" s="237">
        <f t="shared" si="43"/>
        <v>0</v>
      </c>
      <c r="H50" s="237">
        <f t="shared" si="43"/>
        <v>0</v>
      </c>
      <c r="I50" s="237">
        <f t="shared" si="43"/>
        <v>0</v>
      </c>
      <c r="J50" s="246">
        <f t="shared" si="44"/>
        <v>0</v>
      </c>
      <c r="K50" s="237">
        <f t="shared" si="45"/>
        <v>0</v>
      </c>
      <c r="L50" s="237">
        <f t="shared" si="45"/>
        <v>0</v>
      </c>
      <c r="M50" s="237">
        <f t="shared" si="45"/>
        <v>0</v>
      </c>
      <c r="N50" s="246">
        <f t="shared" si="46"/>
        <v>0</v>
      </c>
      <c r="O50" s="237">
        <f t="shared" si="47"/>
        <v>0</v>
      </c>
      <c r="P50" s="237">
        <f t="shared" si="47"/>
        <v>0</v>
      </c>
      <c r="Q50" s="237">
        <f t="shared" si="47"/>
        <v>0</v>
      </c>
      <c r="R50" s="246">
        <f t="shared" si="48"/>
        <v>0</v>
      </c>
      <c r="S50" s="245">
        <f t="shared" si="49"/>
        <v>0</v>
      </c>
      <c r="T50" s="285"/>
      <c r="U50" s="244"/>
      <c r="V50" s="244"/>
      <c r="W50" s="244"/>
      <c r="X50" s="287">
        <f t="shared" si="50"/>
        <v>0</v>
      </c>
      <c r="Y50" s="244"/>
      <c r="Z50" s="244"/>
      <c r="AA50" s="244"/>
      <c r="AB50" s="287">
        <f t="shared" si="51"/>
        <v>0</v>
      </c>
      <c r="AC50" s="244"/>
      <c r="AD50" s="244"/>
      <c r="AE50" s="244"/>
      <c r="AF50" s="287">
        <f t="shared" si="52"/>
        <v>0</v>
      </c>
      <c r="AG50" s="244"/>
      <c r="AH50" s="244"/>
      <c r="AI50" s="244"/>
      <c r="AJ50" s="287">
        <f t="shared" si="53"/>
        <v>0</v>
      </c>
      <c r="AK50" s="286">
        <f t="shared" si="54"/>
        <v>0</v>
      </c>
      <c r="AL50" s="285"/>
      <c r="AM50" s="241"/>
      <c r="AN50" s="241"/>
      <c r="AO50" s="241"/>
      <c r="AP50" s="240">
        <f t="shared" si="55"/>
        <v>0</v>
      </c>
      <c r="AQ50" s="241"/>
      <c r="AR50" s="241"/>
      <c r="AS50" s="241"/>
      <c r="AT50" s="240">
        <f t="shared" si="56"/>
        <v>0</v>
      </c>
      <c r="AU50" s="241"/>
      <c r="AV50" s="241"/>
      <c r="AW50" s="241"/>
      <c r="AX50" s="240">
        <f t="shared" si="57"/>
        <v>0</v>
      </c>
      <c r="AY50" s="241"/>
      <c r="AZ50" s="241"/>
      <c r="BA50" s="241"/>
      <c r="BB50" s="240">
        <f t="shared" si="58"/>
        <v>0</v>
      </c>
      <c r="BC50" s="311">
        <f t="shared" si="58"/>
        <v>0</v>
      </c>
    </row>
    <row r="51" spans="1:58">
      <c r="B51" s="233" t="s">
        <v>418</v>
      </c>
      <c r="C51" s="237">
        <f t="shared" si="41"/>
        <v>43.521058427774214</v>
      </c>
      <c r="D51" s="237">
        <f t="shared" si="41"/>
        <v>25.368734842687367</v>
      </c>
      <c r="E51" s="237">
        <f t="shared" si="41"/>
        <v>23.193482603796749</v>
      </c>
      <c r="F51" s="246">
        <f t="shared" si="42"/>
        <v>92.083275874258334</v>
      </c>
      <c r="G51" s="237">
        <f t="shared" si="43"/>
        <v>28.900893539417517</v>
      </c>
      <c r="H51" s="237">
        <f t="shared" si="43"/>
        <v>0</v>
      </c>
      <c r="I51" s="237">
        <f t="shared" si="43"/>
        <v>43.851939084410603</v>
      </c>
      <c r="J51" s="246">
        <f t="shared" si="44"/>
        <v>72.752832623828112</v>
      </c>
      <c r="K51" s="237">
        <f t="shared" si="45"/>
        <v>0</v>
      </c>
      <c r="L51" s="237">
        <f t="shared" si="45"/>
        <v>81.176910000000007</v>
      </c>
      <c r="M51" s="237">
        <f t="shared" si="45"/>
        <v>27.276899999999998</v>
      </c>
      <c r="N51" s="246">
        <f t="shared" si="46"/>
        <v>108.45381</v>
      </c>
      <c r="O51" s="237">
        <f t="shared" si="47"/>
        <v>26.705588907043317</v>
      </c>
      <c r="P51" s="237">
        <f t="shared" si="47"/>
        <v>84.152910000000006</v>
      </c>
      <c r="Q51" s="237">
        <f t="shared" si="47"/>
        <v>25.964375743419108</v>
      </c>
      <c r="R51" s="246">
        <f t="shared" si="48"/>
        <v>136.82287465046244</v>
      </c>
      <c r="S51" s="245">
        <f t="shared" si="49"/>
        <v>410.11279314854886</v>
      </c>
      <c r="U51" s="244">
        <f>+[18]Production_M!U78</f>
        <v>3114.7295596507174</v>
      </c>
      <c r="V51" s="244">
        <f>+[18]Production_M!V78</f>
        <v>1939.4389980992528</v>
      </c>
      <c r="W51" s="244">
        <f>+[18]Production_M!W78</f>
        <v>1740.1485246819211</v>
      </c>
      <c r="X51" s="287">
        <f t="shared" si="50"/>
        <v>6794.3170824318913</v>
      </c>
      <c r="Y51" s="244">
        <f>+[18]Production_M!Y78</f>
        <v>2214.7211981667824</v>
      </c>
      <c r="Z51" s="244">
        <f>+[18]Production_M!Z78</f>
        <v>0</v>
      </c>
      <c r="AA51" s="244">
        <f>+[18]Production_M!AA78</f>
        <v>3392.6818087115425</v>
      </c>
      <c r="AB51" s="287">
        <f t="shared" si="51"/>
        <v>5607.403006878325</v>
      </c>
      <c r="AC51" s="244">
        <f>+[18]Production_M!AC78</f>
        <v>0</v>
      </c>
      <c r="AD51" s="244">
        <f>+[18]Production_M!AD78</f>
        <v>6000</v>
      </c>
      <c r="AE51" s="244">
        <f>+[18]Production_M!AE78</f>
        <v>2000</v>
      </c>
      <c r="AF51" s="287">
        <f t="shared" si="52"/>
        <v>8000</v>
      </c>
      <c r="AG51" s="244">
        <f>+[18]Production_M!AG78</f>
        <v>1940.4676425377256</v>
      </c>
      <c r="AH51" s="244">
        <f>+[18]Production_M!AH78</f>
        <v>6000</v>
      </c>
      <c r="AI51" s="244">
        <f>+[18]Production_M!AI78</f>
        <v>1869.7633839764021</v>
      </c>
      <c r="AJ51" s="287">
        <f t="shared" si="53"/>
        <v>9810.2310265141277</v>
      </c>
      <c r="AK51" s="286">
        <f t="shared" si="54"/>
        <v>30211.951115824344</v>
      </c>
      <c r="AM51" s="241">
        <f>[17]PP21!B560</f>
        <v>13972.660416994475</v>
      </c>
      <c r="AN51" s="241">
        <f>[17]PP21!C560</f>
        <v>13080.449999999999</v>
      </c>
      <c r="AO51" s="241">
        <f>[17]PP21!D560</f>
        <v>13328.449999999999</v>
      </c>
      <c r="AP51" s="240">
        <f t="shared" si="55"/>
        <v>13552.984760213598</v>
      </c>
      <c r="AQ51" s="241">
        <f>[17]PP21!F560</f>
        <v>13049.449999999999</v>
      </c>
      <c r="AR51" s="241">
        <f>[17]PP21!G560</f>
        <v>0</v>
      </c>
      <c r="AS51" s="241">
        <f>[17]PP21!H560</f>
        <v>12925.449999999999</v>
      </c>
      <c r="AT51" s="240">
        <f t="shared" si="56"/>
        <v>12974.425511165471</v>
      </c>
      <c r="AU51" s="241">
        <f>[17]PP21!J560</f>
        <v>0</v>
      </c>
      <c r="AV51" s="241">
        <f>[17]PP21!K560</f>
        <v>13529.485000000001</v>
      </c>
      <c r="AW51" s="241">
        <f>[17]PP21!L560</f>
        <v>13638.449999999999</v>
      </c>
      <c r="AX51" s="240">
        <f t="shared" si="57"/>
        <v>13556.72625</v>
      </c>
      <c r="AY51" s="241">
        <f>[17]PP21!N560</f>
        <v>13762.449999999999</v>
      </c>
      <c r="AZ51" s="241">
        <f>[17]PP21!O560</f>
        <v>14025.485000000001</v>
      </c>
      <c r="BA51" s="241">
        <f>[17]PP21!P560</f>
        <v>13886.449999999999</v>
      </c>
      <c r="BB51" s="240">
        <f t="shared" si="58"/>
        <v>13946.957444801354</v>
      </c>
      <c r="BC51" s="311">
        <f t="shared" si="58"/>
        <v>13574.521935914989</v>
      </c>
    </row>
    <row r="52" spans="1:58" ht="3.65" customHeight="1"/>
    <row r="53" spans="1:58" ht="3.65" customHeight="1"/>
    <row r="54" spans="1:58" ht="3.65" customHeight="1"/>
    <row r="55" spans="1:58" ht="3.65" customHeight="1"/>
    <row r="56" spans="1:58" ht="3.65" customHeight="1"/>
    <row r="57" spans="1:58" ht="3.65" customHeight="1"/>
    <row r="58" spans="1:58" ht="3.65" customHeight="1"/>
    <row r="59" spans="1:58" ht="3.65" customHeight="1"/>
    <row r="60" spans="1:58" ht="3.65" customHeight="1"/>
    <row r="61" spans="1:58" s="294" customFormat="1">
      <c r="A61" s="475"/>
      <c r="B61" s="423" t="s">
        <v>390</v>
      </c>
      <c r="C61" s="422" t="e">
        <f>SUM(C44:C60)</f>
        <v>#REF!</v>
      </c>
      <c r="D61" s="422" t="e">
        <f>SUM(D44:D60)</f>
        <v>#REF!</v>
      </c>
      <c r="E61" s="422" t="e">
        <f>SUM(E44:E60)</f>
        <v>#REF!</v>
      </c>
      <c r="F61" s="421" t="e">
        <f>SUM(C61:E61)</f>
        <v>#REF!</v>
      </c>
      <c r="G61" s="422" t="e">
        <f>SUM(G44:G60)</f>
        <v>#REF!</v>
      </c>
      <c r="H61" s="422" t="e">
        <f>SUM(H44:H60)</f>
        <v>#REF!</v>
      </c>
      <c r="I61" s="422" t="e">
        <f>SUM(I44:I60)</f>
        <v>#REF!</v>
      </c>
      <c r="J61" s="421" t="e">
        <f>SUM(G61:I61)</f>
        <v>#REF!</v>
      </c>
      <c r="K61" s="422" t="e">
        <f>SUM(K44:K60)</f>
        <v>#REF!</v>
      </c>
      <c r="L61" s="422" t="e">
        <f>SUM(L44:L60)</f>
        <v>#REF!</v>
      </c>
      <c r="M61" s="422" t="e">
        <f>SUM(M44:M60)</f>
        <v>#REF!</v>
      </c>
      <c r="N61" s="421" t="e">
        <f>SUM(K61:M61)</f>
        <v>#REF!</v>
      </c>
      <c r="O61" s="422" t="e">
        <f>SUM(O44:O60)</f>
        <v>#REF!</v>
      </c>
      <c r="P61" s="422" t="e">
        <f>SUM(P44:P60)</f>
        <v>#REF!</v>
      </c>
      <c r="Q61" s="422" t="e">
        <f>SUM(Q44:Q60)</f>
        <v>#REF!</v>
      </c>
      <c r="R61" s="421" t="e">
        <f>SUM(O61:Q61)</f>
        <v>#REF!</v>
      </c>
      <c r="S61" s="420" t="e">
        <f>SUM(S44:S60)</f>
        <v>#REF!</v>
      </c>
      <c r="T61" s="234"/>
      <c r="U61" s="415" t="e">
        <f>SUM(U44:U60)</f>
        <v>#REF!</v>
      </c>
      <c r="V61" s="415" t="e">
        <f>SUM(V44:V60)</f>
        <v>#REF!</v>
      </c>
      <c r="W61" s="415" t="e">
        <f>SUM(W44:W60)</f>
        <v>#REF!</v>
      </c>
      <c r="X61" s="446" t="e">
        <f>SUM(U61:W61)</f>
        <v>#REF!</v>
      </c>
      <c r="Y61" s="415" t="e">
        <f>SUM(Y44:Y60)</f>
        <v>#REF!</v>
      </c>
      <c r="Z61" s="415" t="e">
        <f>SUM(Z44:Z60)</f>
        <v>#REF!</v>
      </c>
      <c r="AA61" s="415" t="e">
        <f>SUM(AA44:AA60)</f>
        <v>#REF!</v>
      </c>
      <c r="AB61" s="418" t="e">
        <f>SUM(Y61:AA61)</f>
        <v>#REF!</v>
      </c>
      <c r="AC61" s="415" t="e">
        <f>SUM(AC44:AC60)</f>
        <v>#REF!</v>
      </c>
      <c r="AD61" s="415" t="e">
        <f>SUM(AD44:AD60)</f>
        <v>#REF!</v>
      </c>
      <c r="AE61" s="415" t="e">
        <f>SUM(AE44:AE60)</f>
        <v>#REF!</v>
      </c>
      <c r="AF61" s="418" t="e">
        <f>SUM(AC61:AE61)</f>
        <v>#REF!</v>
      </c>
      <c r="AG61" s="415" t="e">
        <f>SUM(AG44:AG60)</f>
        <v>#REF!</v>
      </c>
      <c r="AH61" s="415" t="e">
        <f>SUM(AH44:AH60)</f>
        <v>#REF!</v>
      </c>
      <c r="AI61" s="415" t="e">
        <f>SUM(AI44:AI60)</f>
        <v>#REF!</v>
      </c>
      <c r="AJ61" s="418" t="e">
        <f>SUM(AG61:AI61)</f>
        <v>#REF!</v>
      </c>
      <c r="AK61" s="417" t="e">
        <f>SUM(AK44:AK60)</f>
        <v>#REF!</v>
      </c>
      <c r="AL61" s="416"/>
      <c r="AM61" s="474" t="e">
        <f>+C61/U61*1000000</f>
        <v>#REF!</v>
      </c>
      <c r="AN61" s="474" t="e">
        <f>+D61/V61*1000000</f>
        <v>#REF!</v>
      </c>
      <c r="AO61" s="446" t="e">
        <f>+E61/W61*1000000</f>
        <v>#REF!</v>
      </c>
      <c r="AP61" s="446" t="e">
        <f>IF(X61=0,0,+F61/X61*1000000)</f>
        <v>#REF!</v>
      </c>
      <c r="AQ61" s="446" t="e">
        <f>+G61/Y61*1000000</f>
        <v>#REF!</v>
      </c>
      <c r="AR61" s="446" t="e">
        <f>+H61/Z61*1000000</f>
        <v>#REF!</v>
      </c>
      <c r="AS61" s="446" t="e">
        <f>+I61/AA61*1000000</f>
        <v>#REF!</v>
      </c>
      <c r="AT61" s="446" t="e">
        <f>IF(AB61=0,0,+J61/AB61*1000000)</f>
        <v>#REF!</v>
      </c>
      <c r="AU61" s="446" t="e">
        <f>+K61/AC61*1000000</f>
        <v>#REF!</v>
      </c>
      <c r="AV61" s="446" t="e">
        <f>+L61/AD61*1000000</f>
        <v>#REF!</v>
      </c>
      <c r="AW61" s="446" t="e">
        <f>+M61/AE61*1000000</f>
        <v>#REF!</v>
      </c>
      <c r="AX61" s="446" t="e">
        <f>IF(AF61=0,0,+N61/AF61*1000000)</f>
        <v>#REF!</v>
      </c>
      <c r="AY61" s="446" t="e">
        <f>+O61/AG61*1000000</f>
        <v>#REF!</v>
      </c>
      <c r="AZ61" s="446" t="e">
        <f>+P61/AH61*1000000</f>
        <v>#REF!</v>
      </c>
      <c r="BA61" s="446" t="e">
        <f>+Q61/AI61*1000000</f>
        <v>#REF!</v>
      </c>
      <c r="BB61" s="446" t="e">
        <f>IF(AJ61=0,0,+R61/AJ61*1000000)</f>
        <v>#REF!</v>
      </c>
      <c r="BC61" s="413" t="e">
        <f>IF(AK61=0,0,+S61/AK61*1000000)</f>
        <v>#REF!</v>
      </c>
    </row>
    <row r="62" spans="1:58" s="294" customFormat="1">
      <c r="B62" s="471"/>
      <c r="C62" s="470"/>
      <c r="D62" s="470"/>
      <c r="E62" s="470"/>
      <c r="F62" s="468"/>
      <c r="G62" s="470"/>
      <c r="H62" s="470"/>
      <c r="I62" s="470"/>
      <c r="J62" s="468"/>
      <c r="K62" s="469"/>
      <c r="L62" s="469"/>
      <c r="M62" s="469"/>
      <c r="N62" s="468"/>
      <c r="O62" s="469"/>
      <c r="P62" s="469"/>
      <c r="Q62" s="469"/>
      <c r="R62" s="468"/>
      <c r="S62" s="467"/>
      <c r="T62" s="234"/>
      <c r="U62" s="478"/>
      <c r="V62" s="478"/>
      <c r="W62" s="478"/>
      <c r="X62" s="464"/>
      <c r="Y62" s="478"/>
      <c r="Z62" s="478"/>
      <c r="AA62" s="478"/>
      <c r="AB62" s="464"/>
      <c r="AC62" s="477"/>
      <c r="AD62" s="477"/>
      <c r="AE62" s="477"/>
      <c r="AF62" s="464"/>
      <c r="AG62" s="477"/>
      <c r="AH62" s="477"/>
      <c r="AI62" s="477"/>
      <c r="AJ62" s="464"/>
      <c r="AK62" s="463"/>
      <c r="AL62" s="416"/>
      <c r="AO62" s="416"/>
      <c r="AP62" s="462"/>
      <c r="AQ62" s="416"/>
      <c r="AR62" s="416"/>
      <c r="AS62" s="416"/>
      <c r="AT62" s="462"/>
      <c r="AU62" s="416"/>
      <c r="AV62" s="416"/>
      <c r="AW62" s="416"/>
      <c r="AX62" s="462"/>
      <c r="AY62" s="416"/>
      <c r="AZ62" s="416"/>
      <c r="BA62" s="416"/>
      <c r="BB62" s="462"/>
      <c r="BC62" s="462" t="s">
        <v>417</v>
      </c>
    </row>
    <row r="63" spans="1:58">
      <c r="A63" s="696" t="s">
        <v>422</v>
      </c>
      <c r="B63" s="233" t="s">
        <v>532</v>
      </c>
      <c r="C63" s="237">
        <f t="shared" ref="C63:E66" si="59">+U63*AM63/1000000</f>
        <v>408.88813050687588</v>
      </c>
      <c r="D63" s="237">
        <f t="shared" si="59"/>
        <v>396.50211070290061</v>
      </c>
      <c r="E63" s="237">
        <f t="shared" si="59"/>
        <v>439.55887243206445</v>
      </c>
      <c r="F63" s="246">
        <f>SUM(C63:E63)</f>
        <v>1244.949113641841</v>
      </c>
      <c r="G63" s="237">
        <f t="shared" ref="G63:I66" si="60">+Y63*AQ63/1000000</f>
        <v>392.73216425276826</v>
      </c>
      <c r="H63" s="237">
        <f t="shared" si="60"/>
        <v>463.36315251169555</v>
      </c>
      <c r="I63" s="237">
        <f t="shared" si="60"/>
        <v>426.48858210729435</v>
      </c>
      <c r="J63" s="246">
        <f>SUM(G63:I63)</f>
        <v>1282.5838988717583</v>
      </c>
      <c r="K63" s="237">
        <f t="shared" ref="K63:M66" si="61">+AC63*AU63/1000000</f>
        <v>384.01560000000001</v>
      </c>
      <c r="L63" s="237">
        <f t="shared" si="61"/>
        <v>470.13155667018106</v>
      </c>
      <c r="M63" s="237">
        <f t="shared" si="61"/>
        <v>371.62799999999999</v>
      </c>
      <c r="N63" s="246">
        <f>SUM(K63:M63)</f>
        <v>1225.7751566701811</v>
      </c>
      <c r="O63" s="237">
        <f t="shared" ref="O63:Q66" si="62">+AG63*AY63/1000000</f>
        <v>560.83377892068688</v>
      </c>
      <c r="P63" s="237">
        <f t="shared" si="62"/>
        <v>470.71081415734085</v>
      </c>
      <c r="Q63" s="237">
        <f t="shared" si="62"/>
        <v>461.29539672443087</v>
      </c>
      <c r="R63" s="246">
        <f>SUM(O63:Q63)</f>
        <v>1492.8399898024586</v>
      </c>
      <c r="S63" s="245">
        <f>+F63+J63+N63+R63</f>
        <v>5246.1481589862397</v>
      </c>
      <c r="U63" s="244">
        <f>+[18]Production_M!U62</f>
        <v>35648.485658838348</v>
      </c>
      <c r="V63" s="244">
        <f>+[18]Production_M!V62</f>
        <v>34568.623426582439</v>
      </c>
      <c r="W63" s="244">
        <f>+[18]Production_M!W62</f>
        <v>38322.482339325587</v>
      </c>
      <c r="X63" s="287">
        <f>SUM(U63:W63)</f>
        <v>108539.59142474638</v>
      </c>
      <c r="Y63" s="244">
        <f>+[18]Production_M!Y62</f>
        <v>34239.944573039953</v>
      </c>
      <c r="Z63" s="244">
        <f>+[18]Production_M!Z62</f>
        <v>40397.833697619491</v>
      </c>
      <c r="AA63" s="244">
        <f>+[18]Production_M!AA62</f>
        <v>37182.962694620255</v>
      </c>
      <c r="AB63" s="287">
        <f>SUM(Y63:AA63)</f>
        <v>111820.74096527969</v>
      </c>
      <c r="AC63" s="244">
        <f>+[18]Production_M!AC62</f>
        <v>33480</v>
      </c>
      <c r="AD63" s="244">
        <f>+[18]Production_M!AD62</f>
        <v>40987.929962526679</v>
      </c>
      <c r="AE63" s="244">
        <f>+[18]Production_M!AE62</f>
        <v>32400</v>
      </c>
      <c r="AF63" s="287">
        <f>SUM(AC63:AE63)</f>
        <v>106867.92996252669</v>
      </c>
      <c r="AG63" s="244">
        <f>+[18]Production_M!AG62</f>
        <v>48895.708711480976</v>
      </c>
      <c r="AH63" s="244">
        <f>+[18]Production_M!AH62</f>
        <v>41038.431923046279</v>
      </c>
      <c r="AI63" s="244">
        <f>+[18]Production_M!AI62</f>
        <v>40217.55856359467</v>
      </c>
      <c r="AJ63" s="287">
        <f>SUM(AG63:AI63)</f>
        <v>130151.69919812193</v>
      </c>
      <c r="AK63" s="286">
        <f>+X63+AB63+AF63+AJ63</f>
        <v>457379.96155067463</v>
      </c>
      <c r="AL63" s="234" t="str">
        <f>$A$63&amp;B63</f>
        <v>ETHANE (TON) :NPC : I1</v>
      </c>
      <c r="AM63" s="241">
        <f>[17]PP21!B533</f>
        <v>11470</v>
      </c>
      <c r="AN63" s="241">
        <f>[17]PP21!C533</f>
        <v>11470</v>
      </c>
      <c r="AO63" s="241">
        <f>[17]PP21!D533</f>
        <v>11470</v>
      </c>
      <c r="AP63" s="240">
        <f>IF(X63=0,0,+F63/X63*1000000)</f>
        <v>11470</v>
      </c>
      <c r="AQ63" s="241">
        <f>[17]PP21!F533</f>
        <v>11470</v>
      </c>
      <c r="AR63" s="241">
        <f>[17]PP21!G533</f>
        <v>11470</v>
      </c>
      <c r="AS63" s="241">
        <f>[17]PP21!H533</f>
        <v>11470</v>
      </c>
      <c r="AT63" s="240">
        <f>IF(AB63=0,0,+J63/AB63*1000000)</f>
        <v>11470.000000000002</v>
      </c>
      <c r="AU63" s="241">
        <f>[17]PP21!J533</f>
        <v>11470</v>
      </c>
      <c r="AV63" s="241">
        <f>[17]PP21!K533</f>
        <v>11470</v>
      </c>
      <c r="AW63" s="241">
        <f>[17]PP21!L533</f>
        <v>11470</v>
      </c>
      <c r="AX63" s="240">
        <f>IF(AF63=0,0,+N63/AF63*1000000)</f>
        <v>11470</v>
      </c>
      <c r="AY63" s="241">
        <f>[17]PP21!N533</f>
        <v>11470</v>
      </c>
      <c r="AZ63" s="241">
        <f>[17]PP21!O533</f>
        <v>11470</v>
      </c>
      <c r="BA63" s="241">
        <f>[17]PP21!P533</f>
        <v>11470</v>
      </c>
      <c r="BB63" s="240">
        <f t="shared" ref="BB63:BC66" si="63">IF(AJ63=0,0,+R63/AJ63*1000000)</f>
        <v>11470.000000000002</v>
      </c>
      <c r="BC63" s="311">
        <f t="shared" si="63"/>
        <v>11470.000000000004</v>
      </c>
      <c r="BE63" s="476" t="s">
        <v>421</v>
      </c>
      <c r="BF63" s="294"/>
    </row>
    <row r="64" spans="1:58">
      <c r="A64" s="294" t="s">
        <v>420</v>
      </c>
      <c r="B64" s="461" t="s">
        <v>533</v>
      </c>
      <c r="C64" s="237">
        <f t="shared" si="59"/>
        <v>492.63227904000001</v>
      </c>
      <c r="D64" s="237">
        <f t="shared" si="59"/>
        <v>444.95818751999997</v>
      </c>
      <c r="E64" s="237">
        <f t="shared" si="59"/>
        <v>492.63227904000001</v>
      </c>
      <c r="F64" s="246">
        <f>SUM(C64:E64)</f>
        <v>1430.2227456000001</v>
      </c>
      <c r="G64" s="237">
        <f t="shared" si="60"/>
        <v>476.74091519999996</v>
      </c>
      <c r="H64" s="237">
        <f t="shared" si="60"/>
        <v>492.63227904000001</v>
      </c>
      <c r="I64" s="237">
        <f t="shared" si="60"/>
        <v>476.74091519999996</v>
      </c>
      <c r="J64" s="246">
        <f>SUM(G64:I64)</f>
        <v>1446.11410944</v>
      </c>
      <c r="K64" s="237">
        <f t="shared" si="61"/>
        <v>268.70851584000002</v>
      </c>
      <c r="L64" s="237">
        <f t="shared" si="61"/>
        <v>492.63227904000001</v>
      </c>
      <c r="M64" s="237">
        <f t="shared" si="61"/>
        <v>346.72066560000002</v>
      </c>
      <c r="N64" s="246">
        <f>SUM(K64:M64)</f>
        <v>1108.0614604800001</v>
      </c>
      <c r="O64" s="237">
        <f t="shared" si="62"/>
        <v>582.20178432</v>
      </c>
      <c r="P64" s="237">
        <f t="shared" si="62"/>
        <v>476.74091519999996</v>
      </c>
      <c r="Q64" s="237">
        <f t="shared" si="62"/>
        <v>492.63227904000001</v>
      </c>
      <c r="R64" s="246">
        <f>SUM(O64:Q64)</f>
        <v>1551.5749785599999</v>
      </c>
      <c r="S64" s="245">
        <f>+F64+J64+N64+R64</f>
        <v>5535.9732940800004</v>
      </c>
      <c r="U64" s="244">
        <f>+[18]Production_M!U63</f>
        <v>40920</v>
      </c>
      <c r="V64" s="244">
        <f>+[18]Production_M!V63</f>
        <v>36960</v>
      </c>
      <c r="W64" s="244">
        <f>+[18]Production_M!W63</f>
        <v>40920</v>
      </c>
      <c r="X64" s="287">
        <f>SUM(U64:W64)</f>
        <v>118800</v>
      </c>
      <c r="Y64" s="244">
        <f>+[18]Production_M!Y63</f>
        <v>39600</v>
      </c>
      <c r="Z64" s="244">
        <f>+[18]Production_M!Z63</f>
        <v>40920</v>
      </c>
      <c r="AA64" s="244">
        <f>+[18]Production_M!AA63</f>
        <v>39600</v>
      </c>
      <c r="AB64" s="287">
        <f>SUM(Y64:AA64)</f>
        <v>120120</v>
      </c>
      <c r="AC64" s="244">
        <f>+[18]Production_M!AC63</f>
        <v>22320</v>
      </c>
      <c r="AD64" s="244">
        <f>+[18]Production_M!AD63</f>
        <v>40920</v>
      </c>
      <c r="AE64" s="244">
        <f>+[18]Production_M!AE63</f>
        <v>28800</v>
      </c>
      <c r="AF64" s="287">
        <f>SUM(AC64:AE64)</f>
        <v>92040</v>
      </c>
      <c r="AG64" s="244">
        <f>+[18]Production_M!AG63</f>
        <v>48360</v>
      </c>
      <c r="AH64" s="244">
        <f>+[18]Production_M!AH63</f>
        <v>39600</v>
      </c>
      <c r="AI64" s="244">
        <f>+[18]Production_M!AI63</f>
        <v>40920</v>
      </c>
      <c r="AJ64" s="287">
        <f>SUM(AG64:AI64)</f>
        <v>128880</v>
      </c>
      <c r="AK64" s="286">
        <f>+X64+AB64+AF64+AJ64</f>
        <v>459840</v>
      </c>
      <c r="AL64" s="234" t="str">
        <f t="shared" ref="AL64:AL68" si="64">$A$63&amp;B64</f>
        <v>ETHANE (TON) :TOC : I4</v>
      </c>
      <c r="AM64" s="241">
        <f>[17]PP21!B534</f>
        <v>12038.912</v>
      </c>
      <c r="AN64" s="241">
        <f>[17]PP21!C534</f>
        <v>12038.912</v>
      </c>
      <c r="AO64" s="241">
        <f>[17]PP21!D534</f>
        <v>12038.912</v>
      </c>
      <c r="AP64" s="240">
        <f>IF(X64=0,0,+F64/X64*1000000)</f>
        <v>12038.912</v>
      </c>
      <c r="AQ64" s="241">
        <f>[17]PP21!F534</f>
        <v>12038.912</v>
      </c>
      <c r="AR64" s="241">
        <f>[17]PP21!G534</f>
        <v>12038.912</v>
      </c>
      <c r="AS64" s="241">
        <f>[17]PP21!H534</f>
        <v>12038.912</v>
      </c>
      <c r="AT64" s="240">
        <f>IF(AB64=0,0,+J64/AB64*1000000)</f>
        <v>12038.912</v>
      </c>
      <c r="AU64" s="241">
        <f>[17]PP21!J534</f>
        <v>12038.912</v>
      </c>
      <c r="AV64" s="241">
        <f>[17]PP21!K534</f>
        <v>12038.912</v>
      </c>
      <c r="AW64" s="241">
        <f>[17]PP21!L534</f>
        <v>12038.912</v>
      </c>
      <c r="AX64" s="240">
        <f>IF(AF64=0,0,+N64/AF64*1000000)</f>
        <v>12038.912</v>
      </c>
      <c r="AY64" s="241">
        <f>[17]PP21!N534</f>
        <v>12038.912</v>
      </c>
      <c r="AZ64" s="241">
        <f>[17]PP21!O534</f>
        <v>12038.912</v>
      </c>
      <c r="BA64" s="241">
        <f>[17]PP21!P534</f>
        <v>12038.912</v>
      </c>
      <c r="BB64" s="240">
        <f t="shared" si="63"/>
        <v>12038.911999999998</v>
      </c>
      <c r="BC64" s="311">
        <f t="shared" si="63"/>
        <v>12038.912</v>
      </c>
      <c r="BE64" s="473">
        <f>+AK76</f>
        <v>2237275.3468336873</v>
      </c>
      <c r="BF64" s="472" t="s">
        <v>399</v>
      </c>
    </row>
    <row r="65" spans="1:58">
      <c r="A65" s="471" t="s">
        <v>391</v>
      </c>
      <c r="B65" s="461" t="s">
        <v>419</v>
      </c>
      <c r="C65" s="237">
        <f t="shared" si="59"/>
        <v>1451.2551555018911</v>
      </c>
      <c r="D65" s="237">
        <f t="shared" si="59"/>
        <v>1311.8733774508078</v>
      </c>
      <c r="E65" s="237">
        <f t="shared" si="59"/>
        <v>1424.33097309191</v>
      </c>
      <c r="F65" s="246">
        <f>SUM(C65:E65)</f>
        <v>4187.459506044609</v>
      </c>
      <c r="G65" s="237">
        <f t="shared" si="60"/>
        <v>1411.2671448969113</v>
      </c>
      <c r="H65" s="237">
        <f t="shared" si="60"/>
        <v>1442.6662927823618</v>
      </c>
      <c r="I65" s="237">
        <f t="shared" si="60"/>
        <v>1411.8891306865773</v>
      </c>
      <c r="J65" s="246">
        <f>SUM(G65:I65)</f>
        <v>4265.8225683658502</v>
      </c>
      <c r="K65" s="237">
        <f t="shared" si="61"/>
        <v>1097.9947277044864</v>
      </c>
      <c r="L65" s="237">
        <f t="shared" si="61"/>
        <v>1444.5911139022867</v>
      </c>
      <c r="M65" s="237">
        <f t="shared" si="61"/>
        <v>1276.5101399276814</v>
      </c>
      <c r="N65" s="246">
        <f>SUM(K65:M65)</f>
        <v>3819.0959815344545</v>
      </c>
      <c r="O65" s="237">
        <f t="shared" si="62"/>
        <v>0</v>
      </c>
      <c r="P65" s="237">
        <f t="shared" si="62"/>
        <v>1304.7503376458924</v>
      </c>
      <c r="Q65" s="237">
        <f t="shared" si="62"/>
        <v>1348.2327404849448</v>
      </c>
      <c r="R65" s="246">
        <f>SUM(O65:Q65)</f>
        <v>2652.9830781308374</v>
      </c>
      <c r="S65" s="245">
        <f>+F65+J65+N65+R65</f>
        <v>14925.361134075751</v>
      </c>
      <c r="U65" s="244">
        <f>+[18]Production_M!U64+[18]Production_M!U65+[18]Production_M!U66</f>
        <v>123387.67235356067</v>
      </c>
      <c r="V65" s="244">
        <f>+[18]Production_M!V64+[18]Production_M!V65+[18]Production_M!V66</f>
        <v>111537.81240087439</v>
      </c>
      <c r="W65" s="244">
        <f>+[18]Production_M!W64+[18]Production_M!W65+[18]Production_M!W66</f>
        <v>121084.17172279888</v>
      </c>
      <c r="X65" s="287">
        <f>SUM(U65:W65)</f>
        <v>356009.65647723398</v>
      </c>
      <c r="Y65" s="244">
        <f>+[18]Production_M!Y64+[18]Production_M!Y65+[18]Production_M!Y66</f>
        <v>119991.48132574782</v>
      </c>
      <c r="Z65" s="244">
        <f>+[18]Production_M!Z64+[18]Production_M!Z65+[18]Production_M!Z66</f>
        <v>122645.41718694039</v>
      </c>
      <c r="AA65" s="244">
        <f>+[18]Production_M!AA64+[18]Production_M!AA65+[18]Production_M!AA66</f>
        <v>120044.69537091375</v>
      </c>
      <c r="AB65" s="287">
        <f>SUM(Y65:AA65)</f>
        <v>362681.59388360195</v>
      </c>
      <c r="AC65" s="244">
        <f>+[18]Production_M!AC64+[18]Production_M!AC65+[18]Production_M!AC66</f>
        <v>93939.028837613951</v>
      </c>
      <c r="AD65" s="244">
        <f>+[18]Production_M!AD64+[18]Production_M!AD65+[18]Production_M!AD66</f>
        <v>122761.16817639281</v>
      </c>
      <c r="AE65" s="244">
        <f>+[18]Production_M!AE64+[18]Production_M!AE65+[18]Production_M!AE66</f>
        <v>109211.92954803215</v>
      </c>
      <c r="AF65" s="287">
        <f>SUM(AC65:AE65)</f>
        <v>325912.1265620389</v>
      </c>
      <c r="AG65" s="244">
        <f>+[18]Production_M!AG64+[18]Production_M!AG65+[18]Production_M!AG66</f>
        <v>0</v>
      </c>
      <c r="AH65" s="244">
        <f>+[18]Production_M!AH64+[18]Production_M!AH65+[18]Production_M!AH66</f>
        <v>110878.42715930095</v>
      </c>
      <c r="AI65" s="244">
        <f>+[18]Production_M!AI64+[18]Production_M!AI65+[18]Production_M!AI66</f>
        <v>114573.58120083682</v>
      </c>
      <c r="AJ65" s="287">
        <f>SUM(AG65:AI65)</f>
        <v>225452.00836013776</v>
      </c>
      <c r="AK65" s="286">
        <f>+X65+AB65+AF65+AJ65</f>
        <v>1270055.3852830126</v>
      </c>
      <c r="AL65" s="234" t="str">
        <f t="shared" si="64"/>
        <v>ETHANE (TON) :PTT PE</v>
      </c>
      <c r="AM65" s="241">
        <f>[17]PP21!B535</f>
        <v>11761.751622507298</v>
      </c>
      <c r="AN65" s="241">
        <f>[17]PP21!C535</f>
        <v>11761.6918353737</v>
      </c>
      <c r="AO65" s="241">
        <f>[17]PP21!D535</f>
        <v>11763.147509921177</v>
      </c>
      <c r="AP65" s="240">
        <f>IF(X65=0,0,+F65/X65*1000000)</f>
        <v>11762.207653242091</v>
      </c>
      <c r="AQ65" s="241">
        <f>[17]PP21!F535</f>
        <v>11761.394469876264</v>
      </c>
      <c r="AR65" s="241">
        <f>[17]PP21!G535</f>
        <v>11762.904198722728</v>
      </c>
      <c r="AS65" s="241">
        <f>[17]PP21!H535</f>
        <v>11761.362102041465</v>
      </c>
      <c r="AT65" s="240">
        <f>IF(AB65=0,0,+J65/AB65*1000000)</f>
        <v>11761.894290491378</v>
      </c>
      <c r="AU65" s="241">
        <f>[17]PP21!J535</f>
        <v>11688.376399999999</v>
      </c>
      <c r="AV65" s="241">
        <f>[17]PP21!K535</f>
        <v>11767.492403025895</v>
      </c>
      <c r="AW65" s="241">
        <f>[17]PP21!L535</f>
        <v>11688.376399999999</v>
      </c>
      <c r="AX65" s="240">
        <f>IF(AF65=0,0,+N65/AF65*1000000)</f>
        <v>11718.176987831324</v>
      </c>
      <c r="AY65" s="241">
        <f>[17]PP21!N535</f>
        <v>0</v>
      </c>
      <c r="AZ65" s="241">
        <f>[17]PP21!O535</f>
        <v>11767.39579622044</v>
      </c>
      <c r="BA65" s="241">
        <f>[17]PP21!P535</f>
        <v>11767.396343504515</v>
      </c>
      <c r="BB65" s="240">
        <f t="shared" si="63"/>
        <v>11767.396074347467</v>
      </c>
      <c r="BC65" s="311">
        <f t="shared" si="63"/>
        <v>11751.740362684939</v>
      </c>
      <c r="BE65" s="473">
        <f>+BC76</f>
        <v>11802.294529599025</v>
      </c>
      <c r="BF65" s="472" t="s">
        <v>397</v>
      </c>
    </row>
    <row r="66" spans="1:58">
      <c r="B66" s="233" t="s">
        <v>418</v>
      </c>
      <c r="C66" s="237">
        <f t="shared" si="59"/>
        <v>59.239726027397261</v>
      </c>
      <c r="D66" s="237">
        <f t="shared" si="59"/>
        <v>53.5068493150685</v>
      </c>
      <c r="E66" s="237">
        <f t="shared" si="59"/>
        <v>59.239726027397261</v>
      </c>
      <c r="F66" s="246">
        <f>SUM(C66:E66)</f>
        <v>171.98630136986301</v>
      </c>
      <c r="G66" s="237">
        <f t="shared" si="60"/>
        <v>57.328767123287662</v>
      </c>
      <c r="H66" s="237">
        <f t="shared" si="60"/>
        <v>59.239726027397261</v>
      </c>
      <c r="I66" s="237">
        <f t="shared" si="60"/>
        <v>57.328767123287662</v>
      </c>
      <c r="J66" s="246">
        <f>SUM(G66:I66)</f>
        <v>173.89726027397259</v>
      </c>
      <c r="K66" s="237">
        <f t="shared" si="61"/>
        <v>59.239726027397261</v>
      </c>
      <c r="L66" s="237">
        <f t="shared" si="61"/>
        <v>59.239726027397261</v>
      </c>
      <c r="M66" s="237">
        <f t="shared" si="61"/>
        <v>57.328767123287662</v>
      </c>
      <c r="N66" s="246">
        <f>SUM(K66:M66)</f>
        <v>175.8082191780822</v>
      </c>
      <c r="O66" s="237">
        <f t="shared" si="62"/>
        <v>59.239726027397261</v>
      </c>
      <c r="P66" s="237">
        <f t="shared" si="62"/>
        <v>57.328767123287662</v>
      </c>
      <c r="Q66" s="237">
        <f t="shared" si="62"/>
        <v>59.239726027397261</v>
      </c>
      <c r="R66" s="246">
        <f>SUM(O66:Q66)</f>
        <v>175.8082191780822</v>
      </c>
      <c r="S66" s="245">
        <f>+F66+J66+N66+R66</f>
        <v>697.5</v>
      </c>
      <c r="U66" s="244">
        <f>+[18]Production_M!U67</f>
        <v>4246.5753424657532</v>
      </c>
      <c r="V66" s="244">
        <f>+[18]Production_M!V67</f>
        <v>3835.6164383561645</v>
      </c>
      <c r="W66" s="244">
        <f>+[18]Production_M!W67</f>
        <v>4246.5753424657532</v>
      </c>
      <c r="X66" s="287">
        <f>SUM(U66:W66)</f>
        <v>12328.767123287671</v>
      </c>
      <c r="Y66" s="244">
        <f>+[18]Production_M!Y67</f>
        <v>4109.58904109589</v>
      </c>
      <c r="Z66" s="244">
        <f>+[18]Production_M!Z67</f>
        <v>4246.5753424657532</v>
      </c>
      <c r="AA66" s="244">
        <f>+[18]Production_M!AA67</f>
        <v>4109.58904109589</v>
      </c>
      <c r="AB66" s="287">
        <f>SUM(Y66:AA66)</f>
        <v>12465.753424657534</v>
      </c>
      <c r="AC66" s="244">
        <f>+[18]Production_M!AC67</f>
        <v>4246.5753424657532</v>
      </c>
      <c r="AD66" s="244">
        <f>+[18]Production_M!AD67</f>
        <v>4246.5753424657532</v>
      </c>
      <c r="AE66" s="244">
        <f>+[18]Production_M!AE67</f>
        <v>4109.58904109589</v>
      </c>
      <c r="AF66" s="287">
        <f>SUM(AC66:AE66)</f>
        <v>12602.739726027397</v>
      </c>
      <c r="AG66" s="244">
        <f>+[18]Production_M!AG67</f>
        <v>4246.5753424657532</v>
      </c>
      <c r="AH66" s="244">
        <f>+[18]Production_M!AH67</f>
        <v>4109.58904109589</v>
      </c>
      <c r="AI66" s="244">
        <f>+[18]Production_M!AI67</f>
        <v>4246.5753424657532</v>
      </c>
      <c r="AJ66" s="287">
        <f>SUM(AG66:AI66)</f>
        <v>12602.739726027397</v>
      </c>
      <c r="AK66" s="286">
        <f>+X66+AB66+AF66+AJ66</f>
        <v>50000</v>
      </c>
      <c r="AL66" s="234" t="str">
        <f t="shared" si="64"/>
        <v>ETHANE (TON) :MOC</v>
      </c>
      <c r="AM66" s="241">
        <f>[17]PP21!B539</f>
        <v>13950</v>
      </c>
      <c r="AN66" s="241">
        <f>[17]PP21!C539</f>
        <v>13950</v>
      </c>
      <c r="AO66" s="241">
        <f>[17]PP21!D539</f>
        <v>13950</v>
      </c>
      <c r="AP66" s="240">
        <f>IF(X66=0,0,+F66/X66*1000000)</f>
        <v>13950</v>
      </c>
      <c r="AQ66" s="241">
        <f>[17]PP21!F539</f>
        <v>13950</v>
      </c>
      <c r="AR66" s="241">
        <f>[17]PP21!G539</f>
        <v>13950</v>
      </c>
      <c r="AS66" s="241">
        <f>[17]PP21!H539</f>
        <v>13950</v>
      </c>
      <c r="AT66" s="240">
        <f>IF(AB66=0,0,+J66/AB66*1000000)</f>
        <v>13949.999999999998</v>
      </c>
      <c r="AU66" s="241">
        <f>[17]PP21!J539</f>
        <v>13950</v>
      </c>
      <c r="AV66" s="241">
        <f>[17]PP21!K539</f>
        <v>13950</v>
      </c>
      <c r="AW66" s="241">
        <f>[17]PP21!L539</f>
        <v>13950</v>
      </c>
      <c r="AX66" s="240">
        <f>IF(AF66=0,0,+N66/AF66*1000000)</f>
        <v>13950</v>
      </c>
      <c r="AY66" s="241">
        <f>[17]PP21!N539</f>
        <v>13950</v>
      </c>
      <c r="AZ66" s="241">
        <f>[17]PP21!O539</f>
        <v>13950</v>
      </c>
      <c r="BA66" s="241">
        <f>[17]PP21!P539</f>
        <v>13950</v>
      </c>
      <c r="BB66" s="240">
        <f t="shared" si="63"/>
        <v>13950</v>
      </c>
      <c r="BC66" s="311">
        <f t="shared" si="63"/>
        <v>13950</v>
      </c>
    </row>
    <row r="67" spans="1:58" ht="2.4" customHeight="1">
      <c r="AL67" s="234" t="e">
        <f t="shared" si="64"/>
        <v>#VALUE!</v>
      </c>
    </row>
    <row r="68" spans="1:58" ht="2.4" customHeight="1">
      <c r="AL68" s="234" t="e">
        <f t="shared" si="64"/>
        <v>#VALUE!</v>
      </c>
    </row>
    <row r="69" spans="1:58" ht="2.4" customHeight="1"/>
    <row r="70" spans="1:58" ht="2.4" customHeight="1"/>
    <row r="71" spans="1:58" ht="2.4" customHeight="1"/>
    <row r="72" spans="1:58" ht="2.4" customHeight="1"/>
    <row r="73" spans="1:58" ht="2.4" customHeight="1"/>
    <row r="74" spans="1:58" ht="2.4" customHeight="1"/>
    <row r="75" spans="1:58" ht="2.4" customHeight="1"/>
    <row r="76" spans="1:58" s="294" customFormat="1">
      <c r="A76" s="475" t="s">
        <v>391</v>
      </c>
      <c r="B76" s="423" t="s">
        <v>390</v>
      </c>
      <c r="C76" s="422">
        <f>SUM(C63:C75)</f>
        <v>2412.0152910761644</v>
      </c>
      <c r="D76" s="422">
        <f>SUM(D63:D75)</f>
        <v>2206.8405249887765</v>
      </c>
      <c r="E76" s="422">
        <f>SUM(E63:E75)</f>
        <v>2415.761850591372</v>
      </c>
      <c r="F76" s="421">
        <f>SUM(C76:E76)</f>
        <v>7034.6176666563133</v>
      </c>
      <c r="G76" s="422">
        <f>SUM(G63:G75)</f>
        <v>2338.0689914729674</v>
      </c>
      <c r="H76" s="422">
        <f>SUM(H63:H75)</f>
        <v>2457.9014503614549</v>
      </c>
      <c r="I76" s="422">
        <f>SUM(I63:I75)</f>
        <v>2372.4473951171594</v>
      </c>
      <c r="J76" s="421">
        <f>SUM(G76:I76)</f>
        <v>7168.4178369515821</v>
      </c>
      <c r="K76" s="422">
        <f>SUM(K63:K75)</f>
        <v>1809.9585695718836</v>
      </c>
      <c r="L76" s="422">
        <f>SUM(L63:L75)</f>
        <v>2466.5946756398653</v>
      </c>
      <c r="M76" s="422">
        <f>SUM(M63:M75)</f>
        <v>2052.1875726509688</v>
      </c>
      <c r="N76" s="421">
        <f>SUM(K76:M76)</f>
        <v>6328.7408178627174</v>
      </c>
      <c r="O76" s="422">
        <f>SUM(O63:O75)</f>
        <v>1202.275289268084</v>
      </c>
      <c r="P76" s="422">
        <f>SUM(P63:P75)</f>
        <v>2309.5308341265209</v>
      </c>
      <c r="Q76" s="422">
        <f>SUM(Q63:Q75)</f>
        <v>2361.4001422767733</v>
      </c>
      <c r="R76" s="421">
        <f>SUM(O76:Q76)</f>
        <v>5873.2062656713779</v>
      </c>
      <c r="S76" s="420">
        <f>SUM(S63:S75)</f>
        <v>26404.982587141989</v>
      </c>
      <c r="T76" s="234"/>
      <c r="U76" s="415">
        <f>SUM(U63:U75)</f>
        <v>204202.73335486479</v>
      </c>
      <c r="V76" s="415">
        <f>SUM(V63:V75)</f>
        <v>186902.05226581299</v>
      </c>
      <c r="W76" s="415">
        <f>SUM(W63:W75)</f>
        <v>204573.22940459024</v>
      </c>
      <c r="X76" s="446">
        <f>SUM(U76:W76)</f>
        <v>595678.01502526796</v>
      </c>
      <c r="Y76" s="415">
        <f>SUM(Y63:Y75)</f>
        <v>197941.01493988367</v>
      </c>
      <c r="Z76" s="415">
        <f>SUM(Z63:Z75)</f>
        <v>208209.82622702562</v>
      </c>
      <c r="AA76" s="415">
        <f>SUM(AA63:AA75)</f>
        <v>200937.24710662989</v>
      </c>
      <c r="AB76" s="446">
        <f>SUM(Y76:AA76)</f>
        <v>607088.08827353921</v>
      </c>
      <c r="AC76" s="415">
        <f>SUM(AC63:AC75)</f>
        <v>153985.60418007968</v>
      </c>
      <c r="AD76" s="415">
        <f>SUM(AD63:AD75)</f>
        <v>208915.67348138525</v>
      </c>
      <c r="AE76" s="415">
        <f>SUM(AE63:AE75)</f>
        <v>174521.51858912804</v>
      </c>
      <c r="AF76" s="418">
        <f>SUM(AC76:AE76)</f>
        <v>537422.79625059292</v>
      </c>
      <c r="AG76" s="415">
        <f>SUM(AG63:AG75)</f>
        <v>101502.28405394674</v>
      </c>
      <c r="AH76" s="415">
        <f>SUM(AH63:AH75)</f>
        <v>195626.44812344312</v>
      </c>
      <c r="AI76" s="415">
        <f>SUM(AI63:AI75)</f>
        <v>199957.71510689726</v>
      </c>
      <c r="AJ76" s="418">
        <f>SUM(AG76:AI76)</f>
        <v>497086.44728428707</v>
      </c>
      <c r="AK76" s="417">
        <f>SUM(AK63:AK75)</f>
        <v>2237275.3468336873</v>
      </c>
      <c r="AL76" s="416"/>
      <c r="AM76" s="474">
        <f>+C76/U76*1000000</f>
        <v>11811.865842581788</v>
      </c>
      <c r="AN76" s="474">
        <f>+D76/V76*1000000</f>
        <v>11807.470802140779</v>
      </c>
      <c r="AO76" s="446">
        <f>+E76/W76*1000000</f>
        <v>11808.787775519013</v>
      </c>
      <c r="AP76" s="446">
        <f>IF(X76=0,0,+F76/X76*1000000)</f>
        <v>11809.42974092793</v>
      </c>
      <c r="AQ76" s="446">
        <f>+G76/Y76*1000000</f>
        <v>11811.948080508017</v>
      </c>
      <c r="AR76" s="446">
        <f>+H76/Z76*1000000</f>
        <v>11804.925324136404</v>
      </c>
      <c r="AS76" s="446">
        <f>+I76/AA76*1000000</f>
        <v>11806.907028333031</v>
      </c>
      <c r="AT76" s="446">
        <f>IF(AB76=0,0,+J76/AB76*1000000)</f>
        <v>11807.871008204771</v>
      </c>
      <c r="AU76" s="446">
        <f>+K76/AC76*1000000</f>
        <v>11754.076487924243</v>
      </c>
      <c r="AV76" s="446">
        <f>+L76/AD76*1000000</f>
        <v>11806.652102910044</v>
      </c>
      <c r="AW76" s="446">
        <f>+M76/AE76*1000000</f>
        <v>11758.93717428844</v>
      </c>
      <c r="AX76" s="446">
        <f>IF(AF76=0,0,+N76/AF76*1000000)</f>
        <v>11776.09297933784</v>
      </c>
      <c r="AY76" s="446">
        <f>+O76/AG76*1000000</f>
        <v>11844.81019785816</v>
      </c>
      <c r="AZ76" s="446">
        <f>+P76/AH76*1000000</f>
        <v>11805.821024103927</v>
      </c>
      <c r="BA76" s="446">
        <f>+Q76/AI76*1000000</f>
        <v>11809.497528086727</v>
      </c>
      <c r="BB76" s="446">
        <f>IF(AJ76=0,0,+R76/AJ76*1000000)</f>
        <v>11815.261304664884</v>
      </c>
      <c r="BC76" s="413">
        <f>IF(AK76=0,0,+S76/AK76*1000000)</f>
        <v>11802.294529599025</v>
      </c>
      <c r="BE76" s="473">
        <f>+BE65/BC2</f>
        <v>380.71917837416208</v>
      </c>
      <c r="BF76" s="472" t="s">
        <v>393</v>
      </c>
    </row>
    <row r="77" spans="1:58" s="294" customFormat="1" ht="20.5">
      <c r="B77" s="471"/>
      <c r="C77" s="470"/>
      <c r="D77" s="470"/>
      <c r="E77" s="470"/>
      <c r="F77" s="468"/>
      <c r="G77" s="470"/>
      <c r="H77" s="470"/>
      <c r="I77" s="470"/>
      <c r="J77" s="468"/>
      <c r="K77" s="469"/>
      <c r="L77" s="469"/>
      <c r="M77" s="469"/>
      <c r="N77" s="468"/>
      <c r="O77" s="469"/>
      <c r="P77" s="469"/>
      <c r="Q77" s="469"/>
      <c r="R77" s="468"/>
      <c r="S77" s="467"/>
      <c r="T77" s="416"/>
      <c r="U77" s="466"/>
      <c r="V77" s="466"/>
      <c r="W77" s="466"/>
      <c r="X77" s="464"/>
      <c r="Y77" s="466"/>
      <c r="Z77" s="466"/>
      <c r="AA77" s="466"/>
      <c r="AB77" s="464"/>
      <c r="AC77" s="465"/>
      <c r="AD77" s="465"/>
      <c r="AE77" s="465"/>
      <c r="AF77" s="464"/>
      <c r="AG77" s="465"/>
      <c r="AH77" s="465"/>
      <c r="AI77" s="465"/>
      <c r="AJ77" s="464"/>
      <c r="AK77" s="463"/>
      <c r="AL77" s="416"/>
      <c r="AO77" s="416"/>
      <c r="AP77" s="462"/>
      <c r="AQ77" s="416"/>
      <c r="AR77" s="416"/>
      <c r="AS77" s="416"/>
      <c r="AT77" s="462"/>
      <c r="AU77" s="416"/>
      <c r="AV77" s="416"/>
      <c r="AW77" s="416"/>
      <c r="AX77" s="462"/>
      <c r="AY77" s="416"/>
      <c r="AZ77" s="416"/>
      <c r="BA77" s="416"/>
      <c r="BB77" s="462"/>
      <c r="BC77" s="462" t="s">
        <v>417</v>
      </c>
    </row>
    <row r="78" spans="1:58">
      <c r="A78" s="696" t="s">
        <v>416</v>
      </c>
      <c r="B78" s="233" t="s">
        <v>415</v>
      </c>
      <c r="C78" s="237">
        <f t="shared" ref="C78:E81" si="65">+U78*AM78/1000000</f>
        <v>26.205398885971409</v>
      </c>
      <c r="D78" s="237">
        <f t="shared" si="65"/>
        <v>23.669392542167724</v>
      </c>
      <c r="E78" s="237">
        <f t="shared" si="65"/>
        <v>26.205398885971409</v>
      </c>
      <c r="F78" s="246">
        <f>SUM(C78:E78)</f>
        <v>76.080190314110538</v>
      </c>
      <c r="G78" s="237">
        <f t="shared" ref="G78:I81" si="66">+Y78*AQ78/1000000</f>
        <v>25.360063438036846</v>
      </c>
      <c r="H78" s="237">
        <f t="shared" si="66"/>
        <v>26.205398885971409</v>
      </c>
      <c r="I78" s="237">
        <f t="shared" si="66"/>
        <v>25.360063438036846</v>
      </c>
      <c r="J78" s="246">
        <f>SUM(G78:I78)</f>
        <v>76.925525762045098</v>
      </c>
      <c r="K78" s="237">
        <f t="shared" ref="K78:M81" si="67">+AC78*AU78/1000000</f>
        <v>26.205398885971409</v>
      </c>
      <c r="L78" s="237">
        <f t="shared" si="67"/>
        <v>26.205398885971409</v>
      </c>
      <c r="M78" s="237">
        <f t="shared" si="67"/>
        <v>25.360063438036846</v>
      </c>
      <c r="N78" s="246">
        <f>SUM(K78:M78)</f>
        <v>77.770861209979671</v>
      </c>
      <c r="O78" s="237">
        <f t="shared" ref="O78:Q81" si="68">+AG78*AY78/1000000</f>
        <v>26.205398885971409</v>
      </c>
      <c r="P78" s="237">
        <f t="shared" si="68"/>
        <v>25.360063438036846</v>
      </c>
      <c r="Q78" s="237">
        <f t="shared" si="68"/>
        <v>26.205398885971409</v>
      </c>
      <c r="R78" s="246">
        <f>SUM(O78:Q78)</f>
        <v>77.770861209979657</v>
      </c>
      <c r="S78" s="245">
        <f>+F78+J78+N78+R78</f>
        <v>308.54743849611498</v>
      </c>
      <c r="U78" s="244">
        <f>+[18]Production_M!U105</f>
        <v>40767.123287671231</v>
      </c>
      <c r="V78" s="244">
        <f>+[18]Production_M!V105</f>
        <v>36821.917808219179</v>
      </c>
      <c r="W78" s="244">
        <f>+[18]Production_M!W105</f>
        <v>40767.123287671231</v>
      </c>
      <c r="X78" s="287">
        <f>SUM(U78:W78)</f>
        <v>118356.16438356164</v>
      </c>
      <c r="Y78" s="244">
        <f>+[18]Production_M!Y105</f>
        <v>39452.054794520547</v>
      </c>
      <c r="Z78" s="244">
        <f>+[18]Production_M!Z105</f>
        <v>40767.123287671231</v>
      </c>
      <c r="AA78" s="244">
        <f>+[18]Production_M!AA105</f>
        <v>39452.054794520547</v>
      </c>
      <c r="AB78" s="287">
        <f>SUM(Y78:AA78)</f>
        <v>119671.23287671233</v>
      </c>
      <c r="AC78" s="244">
        <f>+[18]Production_M!AC105</f>
        <v>40767.123287671231</v>
      </c>
      <c r="AD78" s="244">
        <f>+[18]Production_M!AD105</f>
        <v>40767.123287671231</v>
      </c>
      <c r="AE78" s="244">
        <f>+[18]Production_M!AE105</f>
        <v>39452.054794520547</v>
      </c>
      <c r="AF78" s="287">
        <f>SUM(AC78:AE78)</f>
        <v>120986.30136986301</v>
      </c>
      <c r="AG78" s="244">
        <f>+[18]Production_M!AG105</f>
        <v>40767.123287671231</v>
      </c>
      <c r="AH78" s="244">
        <f>+[18]Production_M!AH105</f>
        <v>39452.054794520547</v>
      </c>
      <c r="AI78" s="244">
        <f>+[18]Production_M!AI105</f>
        <v>40767.123287671231</v>
      </c>
      <c r="AJ78" s="287">
        <f>SUM(AG78:AI78)</f>
        <v>120986.30136986301</v>
      </c>
      <c r="AK78" s="286">
        <f>+X78+AB78+AF78+AJ78</f>
        <v>480000</v>
      </c>
      <c r="AM78" s="241">
        <f>[17]PP21!B639</f>
        <v>642.80716353357286</v>
      </c>
      <c r="AN78" s="241">
        <f>[17]PP21!C639</f>
        <v>642.80716353357286</v>
      </c>
      <c r="AO78" s="241">
        <f>[17]PP21!D639</f>
        <v>642.80716353357286</v>
      </c>
      <c r="AP78" s="240">
        <f>IF(X78=0,0,+F78/X78*1000000)</f>
        <v>642.80716353357286</v>
      </c>
      <c r="AQ78" s="241">
        <f>[17]PP21!F639</f>
        <v>642.80716353357286</v>
      </c>
      <c r="AR78" s="241">
        <f>[17]PP21!G639</f>
        <v>642.80716353357286</v>
      </c>
      <c r="AS78" s="241">
        <f>[17]PP21!H639</f>
        <v>642.80716353357286</v>
      </c>
      <c r="AT78" s="240">
        <f>IF(AB78=0,0,+J78/AB78*1000000)</f>
        <v>642.80716353357286</v>
      </c>
      <c r="AU78" s="241">
        <f>[17]PP21!J639</f>
        <v>642.80716353357286</v>
      </c>
      <c r="AV78" s="241">
        <f>[17]PP21!K639</f>
        <v>642.80716353357286</v>
      </c>
      <c r="AW78" s="241">
        <f>[17]PP21!L639</f>
        <v>642.80716353357286</v>
      </c>
      <c r="AX78" s="240">
        <f>IF(AF78=0,0,+N78/AF78*1000000)</f>
        <v>642.80716353357298</v>
      </c>
      <c r="AY78" s="241">
        <f>[17]PP21!N639</f>
        <v>642.80716353357286</v>
      </c>
      <c r="AZ78" s="241">
        <f>[17]PP21!O639</f>
        <v>642.80716353357286</v>
      </c>
      <c r="BA78" s="241">
        <f>[17]PP21!P639</f>
        <v>642.80716353357286</v>
      </c>
      <c r="BB78" s="240">
        <f t="shared" ref="BB78:BC81" si="69">IF(AJ78=0,0,+R78/AJ78*1000000)</f>
        <v>642.80716353357286</v>
      </c>
      <c r="BC78" s="311">
        <f t="shared" si="69"/>
        <v>642.80716353357286</v>
      </c>
    </row>
    <row r="79" spans="1:58">
      <c r="A79" s="294"/>
      <c r="B79" s="233" t="s">
        <v>414</v>
      </c>
      <c r="C79" s="237">
        <f t="shared" si="65"/>
        <v>13.102699442985704</v>
      </c>
      <c r="D79" s="237">
        <f t="shared" si="65"/>
        <v>11.834696271083862</v>
      </c>
      <c r="E79" s="237">
        <f t="shared" si="65"/>
        <v>13.102699442985704</v>
      </c>
      <c r="F79" s="246">
        <f>SUM(C79:E79)</f>
        <v>38.040095157055269</v>
      </c>
      <c r="G79" s="237">
        <f t="shared" si="66"/>
        <v>12.680031719018423</v>
      </c>
      <c r="H79" s="237">
        <f t="shared" si="66"/>
        <v>13.102699442985704</v>
      </c>
      <c r="I79" s="237">
        <f t="shared" si="66"/>
        <v>12.680031719018423</v>
      </c>
      <c r="J79" s="246">
        <f>SUM(G79:I79)</f>
        <v>38.462762881022549</v>
      </c>
      <c r="K79" s="237">
        <f t="shared" si="67"/>
        <v>13.102699442985704</v>
      </c>
      <c r="L79" s="237">
        <f t="shared" si="67"/>
        <v>13.102699442985704</v>
      </c>
      <c r="M79" s="237">
        <f t="shared" si="67"/>
        <v>12.680031719018423</v>
      </c>
      <c r="N79" s="246">
        <f>SUM(K79:M79)</f>
        <v>38.885430604989836</v>
      </c>
      <c r="O79" s="237">
        <f t="shared" si="68"/>
        <v>13.102699442985704</v>
      </c>
      <c r="P79" s="237">
        <f t="shared" si="68"/>
        <v>12.680031719018423</v>
      </c>
      <c r="Q79" s="237">
        <f t="shared" si="68"/>
        <v>13.102699442985704</v>
      </c>
      <c r="R79" s="246">
        <f>SUM(O79:Q79)</f>
        <v>38.885430604989828</v>
      </c>
      <c r="S79" s="245">
        <f>+F79+J79+N79+R79</f>
        <v>154.27371924805749</v>
      </c>
      <c r="U79" s="244">
        <f>+[18]Production_M!U104</f>
        <v>20383.561643835616</v>
      </c>
      <c r="V79" s="244">
        <f>+[18]Production_M!V104</f>
        <v>18410.95890410959</v>
      </c>
      <c r="W79" s="244">
        <f>+[18]Production_M!W104</f>
        <v>20383.561643835616</v>
      </c>
      <c r="X79" s="287">
        <f>SUM(U79:W79)</f>
        <v>59178.082191780821</v>
      </c>
      <c r="Y79" s="244">
        <f>+[18]Production_M!Y104</f>
        <v>19726.027397260274</v>
      </c>
      <c r="Z79" s="244">
        <f>+[18]Production_M!Z104</f>
        <v>20383.561643835616</v>
      </c>
      <c r="AA79" s="244">
        <f>+[18]Production_M!AA104</f>
        <v>19726.027397260274</v>
      </c>
      <c r="AB79" s="287">
        <f>SUM(Y79:AA79)</f>
        <v>59835.616438356163</v>
      </c>
      <c r="AC79" s="244">
        <f>+[18]Production_M!AC104</f>
        <v>20383.561643835616</v>
      </c>
      <c r="AD79" s="244">
        <f>+[18]Production_M!AD104</f>
        <v>20383.561643835616</v>
      </c>
      <c r="AE79" s="244">
        <f>+[18]Production_M!AE104</f>
        <v>19726.027397260274</v>
      </c>
      <c r="AF79" s="287">
        <f>SUM(AC79:AE79)</f>
        <v>60493.150684931505</v>
      </c>
      <c r="AG79" s="244">
        <f>+[18]Production_M!AG104</f>
        <v>20383.561643835616</v>
      </c>
      <c r="AH79" s="244">
        <f>+[18]Production_M!AH104</f>
        <v>19726.027397260274</v>
      </c>
      <c r="AI79" s="244">
        <f>+[18]Production_M!AI104</f>
        <v>20383.561643835616</v>
      </c>
      <c r="AJ79" s="287">
        <f>SUM(AG79:AI79)</f>
        <v>60493.150684931505</v>
      </c>
      <c r="AK79" s="286">
        <f>+X79+AB79+AF79+AJ79</f>
        <v>240000</v>
      </c>
      <c r="AM79" s="241">
        <f>[17]PP21!B638</f>
        <v>642.80716353357286</v>
      </c>
      <c r="AN79" s="241">
        <f>[17]PP21!C638</f>
        <v>642.80716353357286</v>
      </c>
      <c r="AO79" s="241">
        <f>[17]PP21!D638</f>
        <v>642.80716353357286</v>
      </c>
      <c r="AP79" s="240">
        <f>IF(X79=0,0,+F79/X79*1000000)</f>
        <v>642.80716353357286</v>
      </c>
      <c r="AQ79" s="241">
        <f>[17]PP21!F638</f>
        <v>642.80716353357286</v>
      </c>
      <c r="AR79" s="241">
        <f>[17]PP21!G638</f>
        <v>642.80716353357286</v>
      </c>
      <c r="AS79" s="241">
        <f>[17]PP21!H638</f>
        <v>642.80716353357286</v>
      </c>
      <c r="AT79" s="240">
        <f>IF(AB79=0,0,+J79/AB79*1000000)</f>
        <v>642.80716353357286</v>
      </c>
      <c r="AU79" s="241">
        <f>[17]PP21!J638</f>
        <v>642.80716353357286</v>
      </c>
      <c r="AV79" s="241">
        <f>[17]PP21!K638</f>
        <v>642.80716353357286</v>
      </c>
      <c r="AW79" s="241">
        <f>[17]PP21!L638</f>
        <v>642.80716353357286</v>
      </c>
      <c r="AX79" s="240">
        <f>IF(AF79=0,0,+N79/AF79*1000000)</f>
        <v>642.80716353357298</v>
      </c>
      <c r="AY79" s="241">
        <f>[17]PP21!N638</f>
        <v>642.80716353357286</v>
      </c>
      <c r="AZ79" s="241">
        <f>[17]PP21!O638</f>
        <v>642.80716353357286</v>
      </c>
      <c r="BA79" s="241">
        <f>[17]PP21!P638</f>
        <v>642.80716353357286</v>
      </c>
      <c r="BB79" s="240">
        <f t="shared" si="69"/>
        <v>642.80716353357286</v>
      </c>
      <c r="BC79" s="311">
        <f t="shared" si="69"/>
        <v>642.80716353357286</v>
      </c>
    </row>
    <row r="80" spans="1:58">
      <c r="A80" s="294"/>
      <c r="B80" s="233" t="s">
        <v>413</v>
      </c>
      <c r="C80" s="237">
        <f t="shared" si="65"/>
        <v>0</v>
      </c>
      <c r="D80" s="237">
        <f t="shared" si="65"/>
        <v>0</v>
      </c>
      <c r="E80" s="237">
        <f t="shared" si="65"/>
        <v>0</v>
      </c>
      <c r="F80" s="246">
        <f>SUM(C80:E80)</f>
        <v>0</v>
      </c>
      <c r="G80" s="237">
        <f t="shared" si="66"/>
        <v>0</v>
      </c>
      <c r="H80" s="237">
        <f t="shared" si="66"/>
        <v>0</v>
      </c>
      <c r="I80" s="237">
        <f t="shared" si="66"/>
        <v>0</v>
      </c>
      <c r="J80" s="246">
        <f>SUM(G80:I80)</f>
        <v>0</v>
      </c>
      <c r="K80" s="237">
        <f t="shared" si="67"/>
        <v>0</v>
      </c>
      <c r="L80" s="237">
        <f t="shared" si="67"/>
        <v>0</v>
      </c>
      <c r="M80" s="237">
        <f t="shared" si="67"/>
        <v>0</v>
      </c>
      <c r="N80" s="246">
        <f>SUM(K80:M80)</f>
        <v>0</v>
      </c>
      <c r="O80" s="237">
        <f t="shared" si="68"/>
        <v>0</v>
      </c>
      <c r="P80" s="237">
        <f t="shared" si="68"/>
        <v>0</v>
      </c>
      <c r="Q80" s="237">
        <f t="shared" si="68"/>
        <v>0</v>
      </c>
      <c r="R80" s="246">
        <f>SUM(O80:Q80)</f>
        <v>0</v>
      </c>
      <c r="S80" s="245">
        <f>+F80+J80+N80+R80</f>
        <v>0</v>
      </c>
      <c r="U80" s="244"/>
      <c r="V80" s="244"/>
      <c r="W80" s="244"/>
      <c r="X80" s="287">
        <f>SUM(U80:W80)</f>
        <v>0</v>
      </c>
      <c r="Y80" s="244"/>
      <c r="Z80" s="244"/>
      <c r="AA80" s="244"/>
      <c r="AB80" s="287">
        <f>SUM(Y80:AA80)</f>
        <v>0</v>
      </c>
      <c r="AC80" s="244"/>
      <c r="AD80" s="244"/>
      <c r="AE80" s="244"/>
      <c r="AF80" s="287">
        <f>SUM(AC80:AE80)</f>
        <v>0</v>
      </c>
      <c r="AG80" s="244"/>
      <c r="AH80" s="244"/>
      <c r="AI80" s="244"/>
      <c r="AJ80" s="287">
        <f>SUM(AG80:AI80)</f>
        <v>0</v>
      </c>
      <c r="AK80" s="286">
        <f>+X80+AB80+AF80+AJ80</f>
        <v>0</v>
      </c>
      <c r="AM80" s="241">
        <f>[17]PP21!B640</f>
        <v>642.80716353357286</v>
      </c>
      <c r="AN80" s="241">
        <f>[17]PP21!C640</f>
        <v>642.80716353357286</v>
      </c>
      <c r="AO80" s="241">
        <f>[17]PP21!D640</f>
        <v>642.80716353357286</v>
      </c>
      <c r="AP80" s="240">
        <f>IF(X80=0,0,+F80/X80*1000000)</f>
        <v>0</v>
      </c>
      <c r="AQ80" s="241">
        <f>[17]PP21!F640</f>
        <v>642.80716353357286</v>
      </c>
      <c r="AR80" s="241">
        <f>[17]PP21!G640</f>
        <v>642.80716353357286</v>
      </c>
      <c r="AS80" s="241">
        <f>[17]PP21!H640</f>
        <v>642.80716353357286</v>
      </c>
      <c r="AT80" s="240">
        <f>IF(AB80=0,0,+J80/AB80*1000000)</f>
        <v>0</v>
      </c>
      <c r="AU80" s="241">
        <f>[17]PP21!J640</f>
        <v>642.80716353357286</v>
      </c>
      <c r="AV80" s="241">
        <f>[17]PP21!K640</f>
        <v>642.80716353357286</v>
      </c>
      <c r="AW80" s="241">
        <f>[17]PP21!L640</f>
        <v>642.80716353357286</v>
      </c>
      <c r="AX80" s="240">
        <f>IF(AF80=0,0,+N80/AF80*1000000)</f>
        <v>0</v>
      </c>
      <c r="AY80" s="241">
        <f>[17]PP21!N640</f>
        <v>642.80716353357286</v>
      </c>
      <c r="AZ80" s="241">
        <f>[17]PP21!O640</f>
        <v>642.80716353357286</v>
      </c>
      <c r="BA80" s="241">
        <f>[17]PP21!P640</f>
        <v>642.80716353357286</v>
      </c>
      <c r="BB80" s="240">
        <f t="shared" si="69"/>
        <v>0</v>
      </c>
      <c r="BC80" s="311">
        <f t="shared" si="69"/>
        <v>0</v>
      </c>
    </row>
    <row r="81" spans="1:57">
      <c r="A81" s="294"/>
      <c r="B81" s="461" t="s">
        <v>412</v>
      </c>
      <c r="C81" s="237" t="e">
        <f t="shared" si="65"/>
        <v>#REF!</v>
      </c>
      <c r="D81" s="237" t="e">
        <f t="shared" si="65"/>
        <v>#REF!</v>
      </c>
      <c r="E81" s="237" t="e">
        <f t="shared" si="65"/>
        <v>#REF!</v>
      </c>
      <c r="F81" s="246" t="e">
        <f>SUM(C81:E81)</f>
        <v>#REF!</v>
      </c>
      <c r="G81" s="237" t="e">
        <f t="shared" si="66"/>
        <v>#REF!</v>
      </c>
      <c r="H81" s="237" t="e">
        <f t="shared" si="66"/>
        <v>#REF!</v>
      </c>
      <c r="I81" s="237" t="e">
        <f t="shared" si="66"/>
        <v>#REF!</v>
      </c>
      <c r="J81" s="246" t="e">
        <f>SUM(G81:I81)</f>
        <v>#REF!</v>
      </c>
      <c r="K81" s="237" t="e">
        <f t="shared" si="67"/>
        <v>#REF!</v>
      </c>
      <c r="L81" s="237" t="e">
        <f t="shared" si="67"/>
        <v>#REF!</v>
      </c>
      <c r="M81" s="237" t="e">
        <f t="shared" si="67"/>
        <v>#REF!</v>
      </c>
      <c r="N81" s="246" t="e">
        <f>SUM(K81:M81)</f>
        <v>#REF!</v>
      </c>
      <c r="O81" s="237" t="e">
        <f t="shared" si="68"/>
        <v>#REF!</v>
      </c>
      <c r="P81" s="237" t="e">
        <f t="shared" si="68"/>
        <v>#REF!</v>
      </c>
      <c r="Q81" s="237" t="e">
        <f t="shared" si="68"/>
        <v>#REF!</v>
      </c>
      <c r="R81" s="246" t="e">
        <f>SUM(O81:Q81)</f>
        <v>#REF!</v>
      </c>
      <c r="S81" s="245" t="e">
        <f>+F81+J81+N81+R81</f>
        <v>#REF!</v>
      </c>
      <c r="U81" s="244" t="e">
        <f>+[18]Production_M!U106</f>
        <v>#REF!</v>
      </c>
      <c r="V81" s="244" t="e">
        <f>+[18]Production_M!V106</f>
        <v>#REF!</v>
      </c>
      <c r="W81" s="244" t="e">
        <f>+[18]Production_M!W106</f>
        <v>#REF!</v>
      </c>
      <c r="X81" s="287" t="e">
        <f>SUM(U81:W81)</f>
        <v>#REF!</v>
      </c>
      <c r="Y81" s="244" t="e">
        <f>+[18]Production_M!Y106</f>
        <v>#REF!</v>
      </c>
      <c r="Z81" s="244" t="e">
        <f>+[18]Production_M!Z106</f>
        <v>#REF!</v>
      </c>
      <c r="AA81" s="244" t="e">
        <f>+[18]Production_M!AA106</f>
        <v>#REF!</v>
      </c>
      <c r="AB81" s="287" t="e">
        <f>SUM(Y81:AA81)</f>
        <v>#REF!</v>
      </c>
      <c r="AC81" s="244" t="e">
        <f>+[18]Production_M!AC106</f>
        <v>#REF!</v>
      </c>
      <c r="AD81" s="244" t="e">
        <f>+[18]Production_M!AD106</f>
        <v>#REF!</v>
      </c>
      <c r="AE81" s="244" t="e">
        <f>+[18]Production_M!AE106</f>
        <v>#REF!</v>
      </c>
      <c r="AF81" s="287" t="e">
        <f>SUM(AC81:AE81)</f>
        <v>#REF!</v>
      </c>
      <c r="AG81" s="244" t="e">
        <f>+[18]Production_M!AG106</f>
        <v>#REF!</v>
      </c>
      <c r="AH81" s="244" t="e">
        <f>+[18]Production_M!AH106</f>
        <v>#REF!</v>
      </c>
      <c r="AI81" s="244" t="e">
        <f>+[18]Production_M!AI106</f>
        <v>#REF!</v>
      </c>
      <c r="AJ81" s="287" t="e">
        <f>SUM(AG81:AI81)</f>
        <v>#REF!</v>
      </c>
      <c r="AK81" s="286" t="e">
        <f>+X81+AB81+AF81+AJ81</f>
        <v>#REF!</v>
      </c>
      <c r="AM81" s="241">
        <f>[17]PP21!B640</f>
        <v>642.80716353357286</v>
      </c>
      <c r="AN81" s="241">
        <f>[17]PP21!C640</f>
        <v>642.80716353357286</v>
      </c>
      <c r="AO81" s="241">
        <f>[17]PP21!D640</f>
        <v>642.80716353357286</v>
      </c>
      <c r="AP81" s="240" t="e">
        <f>IF(X81=0,0,+F81/X81*1000000)</f>
        <v>#REF!</v>
      </c>
      <c r="AQ81" s="241">
        <f>[17]PP21!F640</f>
        <v>642.80716353357286</v>
      </c>
      <c r="AR81" s="241">
        <f>[17]PP21!G640</f>
        <v>642.80716353357286</v>
      </c>
      <c r="AS81" s="241">
        <f>[17]PP21!H640</f>
        <v>642.80716353357286</v>
      </c>
      <c r="AT81" s="240" t="e">
        <f>IF(AB81=0,0,+J81/AB81*1000000)</f>
        <v>#REF!</v>
      </c>
      <c r="AU81" s="241">
        <f>[17]PP21!J640</f>
        <v>642.80716353357286</v>
      </c>
      <c r="AV81" s="241">
        <f>[17]PP21!K640</f>
        <v>642.80716353357286</v>
      </c>
      <c r="AW81" s="241">
        <f>[17]PP21!L640</f>
        <v>642.80716353357286</v>
      </c>
      <c r="AX81" s="240" t="e">
        <f>IF(AF81=0,0,+N81/AF81*1000000)</f>
        <v>#REF!</v>
      </c>
      <c r="AY81" s="241">
        <f>[17]PP21!N640</f>
        <v>642.80716353357286</v>
      </c>
      <c r="AZ81" s="241">
        <f>[17]PP21!O640</f>
        <v>642.80716353357286</v>
      </c>
      <c r="BA81" s="241">
        <f>[17]PP21!P640</f>
        <v>642.80716353357286</v>
      </c>
      <c r="BB81" s="240" t="e">
        <f t="shared" si="69"/>
        <v>#REF!</v>
      </c>
      <c r="BC81" s="311" t="e">
        <f t="shared" si="69"/>
        <v>#REF!</v>
      </c>
    </row>
    <row r="82" spans="1:57" ht="2.4" customHeight="1"/>
    <row r="83" spans="1:57" ht="2.4" customHeight="1"/>
    <row r="84" spans="1:57" ht="2.4" customHeight="1"/>
    <row r="85" spans="1:57" ht="2.4" customHeight="1"/>
    <row r="86" spans="1:57" ht="2.4" customHeight="1"/>
    <row r="87" spans="1:57" ht="2.4" customHeight="1"/>
    <row r="88" spans="1:57" ht="2.4" customHeight="1"/>
    <row r="89" spans="1:57" ht="2.4" customHeight="1"/>
    <row r="90" spans="1:57" ht="2.4" customHeight="1"/>
    <row r="91" spans="1:57" ht="2.4" customHeight="1"/>
    <row r="92" spans="1:57" s="294" customFormat="1" ht="20.5">
      <c r="A92" s="423" t="s">
        <v>391</v>
      </c>
      <c r="B92" s="423" t="s">
        <v>390</v>
      </c>
      <c r="C92" s="447" t="e">
        <f>SUM(C78:C91)</f>
        <v>#REF!</v>
      </c>
      <c r="D92" s="447" t="e">
        <f>SUM(D78:D91)</f>
        <v>#REF!</v>
      </c>
      <c r="E92" s="447" t="e">
        <f>SUM(E78:E91)</f>
        <v>#REF!</v>
      </c>
      <c r="F92" s="421" t="e">
        <f>SUM(C92:E92)</f>
        <v>#REF!</v>
      </c>
      <c r="G92" s="447" t="e">
        <f>SUM(G78:G91)</f>
        <v>#REF!</v>
      </c>
      <c r="H92" s="447" t="e">
        <f>SUM(H78:H91)</f>
        <v>#REF!</v>
      </c>
      <c r="I92" s="447" t="e">
        <f>SUM(I78:I91)</f>
        <v>#REF!</v>
      </c>
      <c r="J92" s="421" t="e">
        <f>SUM(G92:I92)</f>
        <v>#REF!</v>
      </c>
      <c r="K92" s="422" t="e">
        <f>SUM(K78:K91)</f>
        <v>#REF!</v>
      </c>
      <c r="L92" s="422" t="e">
        <f>SUM(L78:L91)</f>
        <v>#REF!</v>
      </c>
      <c r="M92" s="422" t="e">
        <f>SUM(M78:M91)</f>
        <v>#REF!</v>
      </c>
      <c r="N92" s="421" t="e">
        <f>SUM(K92:M92)</f>
        <v>#REF!</v>
      </c>
      <c r="O92" s="422" t="e">
        <f>SUM(O78:O91)</f>
        <v>#REF!</v>
      </c>
      <c r="P92" s="422" t="e">
        <f>SUM(P78:P91)</f>
        <v>#REF!</v>
      </c>
      <c r="Q92" s="422" t="e">
        <f>SUM(Q78:Q91)</f>
        <v>#REF!</v>
      </c>
      <c r="R92" s="421" t="e">
        <f>SUM(O92:Q92)</f>
        <v>#REF!</v>
      </c>
      <c r="S92" s="420" t="e">
        <f>SUM(S78:S91)</f>
        <v>#REF!</v>
      </c>
      <c r="T92" s="416"/>
      <c r="U92" s="415" t="e">
        <f>SUM(U78:U91)</f>
        <v>#REF!</v>
      </c>
      <c r="V92" s="415" t="e">
        <f>SUM(V78:V91)</f>
        <v>#REF!</v>
      </c>
      <c r="W92" s="415" t="e">
        <f>SUM(W78:W91)</f>
        <v>#REF!</v>
      </c>
      <c r="X92" s="446" t="e">
        <f>SUM(U92:W92)</f>
        <v>#REF!</v>
      </c>
      <c r="Y92" s="415" t="e">
        <f>SUM(Y78:Y91)</f>
        <v>#REF!</v>
      </c>
      <c r="Z92" s="415" t="e">
        <f>SUM(Z78:Z91)</f>
        <v>#REF!</v>
      </c>
      <c r="AA92" s="415" t="e">
        <f>SUM(AA78:AA91)</f>
        <v>#REF!</v>
      </c>
      <c r="AB92" s="446" t="e">
        <f>SUM(Y92:AA92)</f>
        <v>#REF!</v>
      </c>
      <c r="AC92" s="415" t="e">
        <f>SUM(AC78:AC91)</f>
        <v>#REF!</v>
      </c>
      <c r="AD92" s="415" t="e">
        <f>SUM(AD78:AD91)</f>
        <v>#REF!</v>
      </c>
      <c r="AE92" s="415" t="e">
        <f>SUM(AE78:AE91)</f>
        <v>#REF!</v>
      </c>
      <c r="AF92" s="446" t="e">
        <f>SUM(AC92:AE92)</f>
        <v>#REF!</v>
      </c>
      <c r="AG92" s="415" t="e">
        <f>SUM(AG78:AG91)</f>
        <v>#REF!</v>
      </c>
      <c r="AH92" s="415" t="e">
        <f>SUM(AH78:AH91)</f>
        <v>#REF!</v>
      </c>
      <c r="AI92" s="415" t="e">
        <f>SUM(AI78:AI91)</f>
        <v>#REF!</v>
      </c>
      <c r="AJ92" s="446" t="e">
        <f>SUM(AG92:AI92)</f>
        <v>#REF!</v>
      </c>
      <c r="AK92" s="413" t="e">
        <f>SUM(AK78:AK91)</f>
        <v>#REF!</v>
      </c>
      <c r="AL92" s="416"/>
      <c r="AM92" s="418" t="e">
        <f t="shared" ref="AM92:BC92" si="70">IF(U92=0,0,+C92/U92*1000000)</f>
        <v>#REF!</v>
      </c>
      <c r="AN92" s="418" t="e">
        <f t="shared" si="70"/>
        <v>#REF!</v>
      </c>
      <c r="AO92" s="446" t="e">
        <f t="shared" si="70"/>
        <v>#REF!</v>
      </c>
      <c r="AP92" s="446" t="e">
        <f t="shared" si="70"/>
        <v>#REF!</v>
      </c>
      <c r="AQ92" s="446" t="e">
        <f t="shared" si="70"/>
        <v>#REF!</v>
      </c>
      <c r="AR92" s="446" t="e">
        <f t="shared" si="70"/>
        <v>#REF!</v>
      </c>
      <c r="AS92" s="446" t="e">
        <f t="shared" si="70"/>
        <v>#REF!</v>
      </c>
      <c r="AT92" s="446" t="e">
        <f t="shared" si="70"/>
        <v>#REF!</v>
      </c>
      <c r="AU92" s="446" t="e">
        <f t="shared" si="70"/>
        <v>#REF!</v>
      </c>
      <c r="AV92" s="446" t="e">
        <f t="shared" si="70"/>
        <v>#REF!</v>
      </c>
      <c r="AW92" s="446" t="e">
        <f t="shared" si="70"/>
        <v>#REF!</v>
      </c>
      <c r="AX92" s="446" t="e">
        <f t="shared" si="70"/>
        <v>#REF!</v>
      </c>
      <c r="AY92" s="446" t="e">
        <f t="shared" si="70"/>
        <v>#REF!</v>
      </c>
      <c r="AZ92" s="446" t="e">
        <f t="shared" si="70"/>
        <v>#REF!</v>
      </c>
      <c r="BA92" s="446" t="e">
        <f t="shared" si="70"/>
        <v>#REF!</v>
      </c>
      <c r="BB92" s="446" t="e">
        <f t="shared" si="70"/>
        <v>#REF!</v>
      </c>
      <c r="BC92" s="413" t="e">
        <f t="shared" si="70"/>
        <v>#REF!</v>
      </c>
    </row>
    <row r="93" spans="1:57" s="453" customFormat="1" ht="21">
      <c r="A93" s="453" t="s">
        <v>411</v>
      </c>
      <c r="C93" s="460" t="e">
        <f t="shared" ref="C93:S93" si="71">+SUM(C6:C10)+SUM(C25:C29,C32)+SUM(C44:C48,C51)+C76+C190</f>
        <v>#REF!</v>
      </c>
      <c r="D93" s="460" t="e">
        <f t="shared" si="71"/>
        <v>#REF!</v>
      </c>
      <c r="E93" s="460" t="e">
        <f t="shared" si="71"/>
        <v>#REF!</v>
      </c>
      <c r="F93" s="460" t="e">
        <f t="shared" si="71"/>
        <v>#REF!</v>
      </c>
      <c r="G93" s="460" t="e">
        <f t="shared" si="71"/>
        <v>#REF!</v>
      </c>
      <c r="H93" s="460" t="e">
        <f t="shared" si="71"/>
        <v>#REF!</v>
      </c>
      <c r="I93" s="460" t="e">
        <f t="shared" si="71"/>
        <v>#REF!</v>
      </c>
      <c r="J93" s="460" t="e">
        <f t="shared" si="71"/>
        <v>#REF!</v>
      </c>
      <c r="K93" s="460" t="e">
        <f t="shared" si="71"/>
        <v>#REF!</v>
      </c>
      <c r="L93" s="460" t="e">
        <f t="shared" si="71"/>
        <v>#REF!</v>
      </c>
      <c r="M93" s="460" t="e">
        <f t="shared" si="71"/>
        <v>#REF!</v>
      </c>
      <c r="N93" s="460" t="e">
        <f t="shared" si="71"/>
        <v>#REF!</v>
      </c>
      <c r="O93" s="460" t="e">
        <f t="shared" si="71"/>
        <v>#REF!</v>
      </c>
      <c r="P93" s="460" t="e">
        <f t="shared" si="71"/>
        <v>#REF!</v>
      </c>
      <c r="Q93" s="460" t="e">
        <f t="shared" si="71"/>
        <v>#REF!</v>
      </c>
      <c r="R93" s="460" t="e">
        <f t="shared" si="71"/>
        <v>#REF!</v>
      </c>
      <c r="S93" s="459" t="e">
        <f t="shared" si="71"/>
        <v>#REF!</v>
      </c>
      <c r="T93" s="454"/>
      <c r="U93" s="458" t="e">
        <f t="shared" ref="U93:AK93" si="72">+(SUM(U6:U10)*158.984*0.0006468)+(SUM(U25:U29,U32)*1000)+SUM(U44:U48,U51)+U76+U190</f>
        <v>#REF!</v>
      </c>
      <c r="V93" s="458" t="e">
        <f t="shared" si="72"/>
        <v>#REF!</v>
      </c>
      <c r="W93" s="458" t="e">
        <f t="shared" si="72"/>
        <v>#REF!</v>
      </c>
      <c r="X93" s="458" t="e">
        <f t="shared" si="72"/>
        <v>#REF!</v>
      </c>
      <c r="Y93" s="458" t="e">
        <f t="shared" si="72"/>
        <v>#REF!</v>
      </c>
      <c r="Z93" s="458" t="e">
        <f t="shared" si="72"/>
        <v>#REF!</v>
      </c>
      <c r="AA93" s="458" t="e">
        <f t="shared" si="72"/>
        <v>#REF!</v>
      </c>
      <c r="AB93" s="458" t="e">
        <f t="shared" si="72"/>
        <v>#REF!</v>
      </c>
      <c r="AC93" s="458" t="e">
        <f t="shared" si="72"/>
        <v>#REF!</v>
      </c>
      <c r="AD93" s="458" t="e">
        <f t="shared" si="72"/>
        <v>#REF!</v>
      </c>
      <c r="AE93" s="458" t="e">
        <f t="shared" si="72"/>
        <v>#REF!</v>
      </c>
      <c r="AF93" s="458" t="e">
        <f t="shared" si="72"/>
        <v>#REF!</v>
      </c>
      <c r="AG93" s="458" t="e">
        <f t="shared" si="72"/>
        <v>#REF!</v>
      </c>
      <c r="AH93" s="458" t="e">
        <f t="shared" si="72"/>
        <v>#REF!</v>
      </c>
      <c r="AI93" s="458" t="e">
        <f t="shared" si="72"/>
        <v>#REF!</v>
      </c>
      <c r="AJ93" s="458" t="e">
        <f t="shared" si="72"/>
        <v>#REF!</v>
      </c>
      <c r="AK93" s="458" t="e">
        <f t="shared" si="72"/>
        <v>#REF!</v>
      </c>
      <c r="AL93" s="454"/>
      <c r="AM93" s="457" t="e">
        <f t="shared" ref="AM93:AV94" si="73">+C93/U93*1000000</f>
        <v>#REF!</v>
      </c>
      <c r="AN93" s="457" t="e">
        <f t="shared" si="73"/>
        <v>#REF!</v>
      </c>
      <c r="AO93" s="457" t="e">
        <f t="shared" si="73"/>
        <v>#REF!</v>
      </c>
      <c r="AP93" s="457" t="e">
        <f t="shared" si="73"/>
        <v>#REF!</v>
      </c>
      <c r="AQ93" s="457" t="e">
        <f t="shared" si="73"/>
        <v>#REF!</v>
      </c>
      <c r="AR93" s="457" t="e">
        <f t="shared" si="73"/>
        <v>#REF!</v>
      </c>
      <c r="AS93" s="457" t="e">
        <f t="shared" si="73"/>
        <v>#REF!</v>
      </c>
      <c r="AT93" s="457" t="e">
        <f t="shared" si="73"/>
        <v>#REF!</v>
      </c>
      <c r="AU93" s="457" t="e">
        <f t="shared" si="73"/>
        <v>#REF!</v>
      </c>
      <c r="AV93" s="457" t="e">
        <f t="shared" si="73"/>
        <v>#REF!</v>
      </c>
      <c r="AW93" s="457" t="e">
        <f t="shared" ref="AW93:BC94" si="74">+M93/AE93*1000000</f>
        <v>#REF!</v>
      </c>
      <c r="AX93" s="457" t="e">
        <f t="shared" si="74"/>
        <v>#REF!</v>
      </c>
      <c r="AY93" s="457" t="e">
        <f t="shared" si="74"/>
        <v>#REF!</v>
      </c>
      <c r="AZ93" s="457" t="e">
        <f t="shared" si="74"/>
        <v>#REF!</v>
      </c>
      <c r="BA93" s="457" t="e">
        <f t="shared" si="74"/>
        <v>#REF!</v>
      </c>
      <c r="BB93" s="457" t="e">
        <f t="shared" si="74"/>
        <v>#REF!</v>
      </c>
      <c r="BC93" s="456" t="e">
        <f t="shared" si="74"/>
        <v>#REF!</v>
      </c>
    </row>
    <row r="94" spans="1:57" s="453" customFormat="1" ht="21">
      <c r="A94" s="444" t="s">
        <v>410</v>
      </c>
      <c r="B94" s="444"/>
      <c r="C94" s="441" t="e">
        <f t="shared" ref="C94:S94" si="75">+C23+C42+C61+C76+C190+C191</f>
        <v>#REF!</v>
      </c>
      <c r="D94" s="441" t="e">
        <f t="shared" si="75"/>
        <v>#REF!</v>
      </c>
      <c r="E94" s="441" t="e">
        <f t="shared" si="75"/>
        <v>#REF!</v>
      </c>
      <c r="F94" s="441" t="e">
        <f t="shared" si="75"/>
        <v>#REF!</v>
      </c>
      <c r="G94" s="441" t="e">
        <f t="shared" si="75"/>
        <v>#REF!</v>
      </c>
      <c r="H94" s="441" t="e">
        <f t="shared" si="75"/>
        <v>#REF!</v>
      </c>
      <c r="I94" s="441" t="e">
        <f t="shared" si="75"/>
        <v>#REF!</v>
      </c>
      <c r="J94" s="441" t="e">
        <f t="shared" si="75"/>
        <v>#REF!</v>
      </c>
      <c r="K94" s="441" t="e">
        <f t="shared" si="75"/>
        <v>#REF!</v>
      </c>
      <c r="L94" s="441" t="e">
        <f t="shared" si="75"/>
        <v>#REF!</v>
      </c>
      <c r="M94" s="441" t="e">
        <f t="shared" si="75"/>
        <v>#REF!</v>
      </c>
      <c r="N94" s="441" t="e">
        <f t="shared" si="75"/>
        <v>#REF!</v>
      </c>
      <c r="O94" s="441" t="e">
        <f t="shared" si="75"/>
        <v>#REF!</v>
      </c>
      <c r="P94" s="441" t="e">
        <f t="shared" si="75"/>
        <v>#REF!</v>
      </c>
      <c r="Q94" s="441" t="e">
        <f t="shared" si="75"/>
        <v>#REF!</v>
      </c>
      <c r="R94" s="441" t="e">
        <f t="shared" si="75"/>
        <v>#REF!</v>
      </c>
      <c r="S94" s="441" t="e">
        <f t="shared" si="75"/>
        <v>#REF!</v>
      </c>
      <c r="T94" s="454"/>
      <c r="U94" s="455" t="e">
        <f t="shared" ref="U94:AK94" si="76">+(U23*158.984*0.0006468)+(U42*1000)+U61+U76+U190+U191</f>
        <v>#REF!</v>
      </c>
      <c r="V94" s="455" t="e">
        <f t="shared" si="76"/>
        <v>#REF!</v>
      </c>
      <c r="W94" s="455" t="e">
        <f t="shared" si="76"/>
        <v>#REF!</v>
      </c>
      <c r="X94" s="455" t="e">
        <f t="shared" si="76"/>
        <v>#REF!</v>
      </c>
      <c r="Y94" s="455" t="e">
        <f t="shared" si="76"/>
        <v>#REF!</v>
      </c>
      <c r="Z94" s="455" t="e">
        <f t="shared" si="76"/>
        <v>#REF!</v>
      </c>
      <c r="AA94" s="455" t="e">
        <f t="shared" si="76"/>
        <v>#REF!</v>
      </c>
      <c r="AB94" s="455" t="e">
        <f t="shared" si="76"/>
        <v>#REF!</v>
      </c>
      <c r="AC94" s="455" t="e">
        <f t="shared" si="76"/>
        <v>#REF!</v>
      </c>
      <c r="AD94" s="455" t="e">
        <f t="shared" si="76"/>
        <v>#REF!</v>
      </c>
      <c r="AE94" s="455" t="e">
        <f t="shared" si="76"/>
        <v>#REF!</v>
      </c>
      <c r="AF94" s="455" t="e">
        <f t="shared" si="76"/>
        <v>#REF!</v>
      </c>
      <c r="AG94" s="455" t="e">
        <f t="shared" si="76"/>
        <v>#REF!</v>
      </c>
      <c r="AH94" s="455" t="e">
        <f t="shared" si="76"/>
        <v>#REF!</v>
      </c>
      <c r="AI94" s="455" t="e">
        <f t="shared" si="76"/>
        <v>#REF!</v>
      </c>
      <c r="AJ94" s="455" t="e">
        <f t="shared" si="76"/>
        <v>#REF!</v>
      </c>
      <c r="AK94" s="455" t="e">
        <f t="shared" si="76"/>
        <v>#REF!</v>
      </c>
      <c r="AL94" s="454"/>
      <c r="AM94" s="438" t="e">
        <f t="shared" si="73"/>
        <v>#REF!</v>
      </c>
      <c r="AN94" s="438" t="e">
        <f t="shared" si="73"/>
        <v>#REF!</v>
      </c>
      <c r="AO94" s="438" t="e">
        <f t="shared" si="73"/>
        <v>#REF!</v>
      </c>
      <c r="AP94" s="438" t="e">
        <f t="shared" si="73"/>
        <v>#REF!</v>
      </c>
      <c r="AQ94" s="438" t="e">
        <f t="shared" si="73"/>
        <v>#REF!</v>
      </c>
      <c r="AR94" s="438" t="e">
        <f t="shared" si="73"/>
        <v>#REF!</v>
      </c>
      <c r="AS94" s="438" t="e">
        <f t="shared" si="73"/>
        <v>#REF!</v>
      </c>
      <c r="AT94" s="438" t="e">
        <f t="shared" si="73"/>
        <v>#REF!</v>
      </c>
      <c r="AU94" s="438" t="e">
        <f t="shared" si="73"/>
        <v>#REF!</v>
      </c>
      <c r="AV94" s="438" t="e">
        <f t="shared" si="73"/>
        <v>#REF!</v>
      </c>
      <c r="AW94" s="438" t="e">
        <f t="shared" si="74"/>
        <v>#REF!</v>
      </c>
      <c r="AX94" s="438" t="e">
        <f t="shared" si="74"/>
        <v>#REF!</v>
      </c>
      <c r="AY94" s="438" t="e">
        <f t="shared" si="74"/>
        <v>#REF!</v>
      </c>
      <c r="AZ94" s="438" t="e">
        <f t="shared" si="74"/>
        <v>#REF!</v>
      </c>
      <c r="BA94" s="438" t="e">
        <f t="shared" si="74"/>
        <v>#REF!</v>
      </c>
      <c r="BB94" s="438" t="e">
        <f t="shared" si="74"/>
        <v>#REF!</v>
      </c>
      <c r="BC94" s="438" t="e">
        <f t="shared" si="74"/>
        <v>#REF!</v>
      </c>
      <c r="BE94" s="453" t="e">
        <f>36000*BC94/1000000</f>
        <v>#REF!</v>
      </c>
    </row>
    <row r="95" spans="1:57">
      <c r="D95" s="237"/>
      <c r="E95" s="237"/>
      <c r="G95" s="237"/>
      <c r="H95" s="237"/>
      <c r="I95" s="237"/>
    </row>
    <row r="96" spans="1:57" ht="23.5">
      <c r="A96" s="1388" t="s">
        <v>381</v>
      </c>
      <c r="B96" s="1388"/>
      <c r="C96" s="269" t="s">
        <v>315</v>
      </c>
      <c r="D96" s="269"/>
      <c r="E96" s="269"/>
      <c r="F96" s="268" t="str">
        <f>+C96</f>
        <v>MMBAHT</v>
      </c>
      <c r="G96" s="269"/>
      <c r="H96" s="269"/>
      <c r="I96" s="269"/>
      <c r="J96" s="268"/>
      <c r="K96" s="268"/>
      <c r="L96" s="268"/>
      <c r="M96" s="268"/>
      <c r="N96" s="268"/>
      <c r="O96" s="268"/>
      <c r="P96" s="268"/>
      <c r="Q96" s="268"/>
      <c r="R96" s="267"/>
      <c r="S96" s="267"/>
      <c r="U96" s="266" t="s">
        <v>314</v>
      </c>
      <c r="V96" s="266"/>
      <c r="W96" s="266"/>
      <c r="X96" s="265" t="str">
        <f>+U96</f>
        <v>VOLUME</v>
      </c>
      <c r="Y96" s="266"/>
      <c r="Z96" s="266"/>
      <c r="AA96" s="266"/>
      <c r="AB96" s="265"/>
      <c r="AC96" s="265"/>
      <c r="AD96" s="265"/>
      <c r="AE96" s="265"/>
      <c r="AF96" s="265"/>
      <c r="AG96" s="265"/>
      <c r="AH96" s="265"/>
      <c r="AI96" s="265"/>
      <c r="AJ96" s="264"/>
      <c r="AK96" s="264"/>
      <c r="AM96" s="263" t="s">
        <v>343</v>
      </c>
      <c r="AN96" s="263"/>
      <c r="AO96" s="263"/>
      <c r="AP96" s="263" t="s">
        <v>343</v>
      </c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2"/>
      <c r="BC96" s="262"/>
    </row>
    <row r="97" spans="1:58">
      <c r="A97" s="261"/>
      <c r="B97" s="261"/>
      <c r="C97" s="260" t="s">
        <v>311</v>
      </c>
      <c r="D97" s="260" t="s">
        <v>310</v>
      </c>
      <c r="E97" s="260" t="s">
        <v>182</v>
      </c>
      <c r="F97" s="258" t="s">
        <v>309</v>
      </c>
      <c r="G97" s="260" t="s">
        <v>308</v>
      </c>
      <c r="H97" s="260" t="s">
        <v>307</v>
      </c>
      <c r="I97" s="260" t="s">
        <v>306</v>
      </c>
      <c r="J97" s="258" t="s">
        <v>305</v>
      </c>
      <c r="K97" s="259" t="s">
        <v>304</v>
      </c>
      <c r="L97" s="259" t="s">
        <v>303</v>
      </c>
      <c r="M97" s="259" t="s">
        <v>302</v>
      </c>
      <c r="N97" s="258" t="s">
        <v>301</v>
      </c>
      <c r="O97" s="259" t="s">
        <v>300</v>
      </c>
      <c r="P97" s="259" t="s">
        <v>299</v>
      </c>
      <c r="Q97" s="259" t="s">
        <v>298</v>
      </c>
      <c r="R97" s="258" t="s">
        <v>297</v>
      </c>
      <c r="S97" s="257" t="s">
        <v>312</v>
      </c>
      <c r="T97" s="252"/>
      <c r="U97" s="256" t="s">
        <v>311</v>
      </c>
      <c r="V97" s="256" t="s">
        <v>310</v>
      </c>
      <c r="W97" s="256" t="s">
        <v>182</v>
      </c>
      <c r="X97" s="254" t="s">
        <v>309</v>
      </c>
      <c r="Y97" s="256" t="s">
        <v>308</v>
      </c>
      <c r="Z97" s="256" t="s">
        <v>307</v>
      </c>
      <c r="AA97" s="256" t="s">
        <v>306</v>
      </c>
      <c r="AB97" s="254" t="s">
        <v>305</v>
      </c>
      <c r="AC97" s="255" t="s">
        <v>304</v>
      </c>
      <c r="AD97" s="255" t="s">
        <v>303</v>
      </c>
      <c r="AE97" s="255" t="s">
        <v>302</v>
      </c>
      <c r="AF97" s="254" t="s">
        <v>301</v>
      </c>
      <c r="AG97" s="255" t="s">
        <v>300</v>
      </c>
      <c r="AH97" s="255" t="s">
        <v>299</v>
      </c>
      <c r="AI97" s="255" t="s">
        <v>298</v>
      </c>
      <c r="AJ97" s="254" t="s">
        <v>297</v>
      </c>
      <c r="AK97" s="253" t="s">
        <v>296</v>
      </c>
      <c r="AL97" s="252"/>
      <c r="AM97" s="251" t="s">
        <v>311</v>
      </c>
      <c r="AN97" s="251" t="s">
        <v>310</v>
      </c>
      <c r="AO97" s="251" t="s">
        <v>182</v>
      </c>
      <c r="AP97" s="250" t="s">
        <v>309</v>
      </c>
      <c r="AQ97" s="251" t="s">
        <v>308</v>
      </c>
      <c r="AR97" s="251" t="s">
        <v>307</v>
      </c>
      <c r="AS97" s="251" t="s">
        <v>306</v>
      </c>
      <c r="AT97" s="250" t="s">
        <v>305</v>
      </c>
      <c r="AU97" s="251" t="s">
        <v>304</v>
      </c>
      <c r="AV97" s="251" t="s">
        <v>303</v>
      </c>
      <c r="AW97" s="251" t="s">
        <v>302</v>
      </c>
      <c r="AX97" s="250" t="s">
        <v>301</v>
      </c>
      <c r="AY97" s="251" t="s">
        <v>300</v>
      </c>
      <c r="AZ97" s="251" t="s">
        <v>299</v>
      </c>
      <c r="BA97" s="251" t="s">
        <v>298</v>
      </c>
      <c r="BB97" s="250" t="s">
        <v>297</v>
      </c>
      <c r="BC97" s="249" t="s">
        <v>296</v>
      </c>
      <c r="BD97" s="313"/>
    </row>
    <row r="98" spans="1:58">
      <c r="A98" s="294" t="s">
        <v>409</v>
      </c>
      <c r="B98" s="233" t="s">
        <v>408</v>
      </c>
      <c r="C98" s="237">
        <f t="shared" ref="C98:E104" si="77">+U98*AM98/1000000</f>
        <v>0</v>
      </c>
      <c r="D98" s="237">
        <f t="shared" si="77"/>
        <v>0</v>
      </c>
      <c r="E98" s="237">
        <f t="shared" si="77"/>
        <v>0</v>
      </c>
      <c r="F98" s="246">
        <f t="shared" ref="F98:F104" si="78">SUM(C98:E98)</f>
        <v>0</v>
      </c>
      <c r="G98" s="237">
        <f t="shared" ref="G98:I104" si="79">+Y98*AQ98/1000000</f>
        <v>0</v>
      </c>
      <c r="H98" s="237">
        <f t="shared" si="79"/>
        <v>0</v>
      </c>
      <c r="I98" s="237">
        <f t="shared" si="79"/>
        <v>0</v>
      </c>
      <c r="J98" s="246">
        <f t="shared" ref="J98:J104" si="80">SUM(G98:I98)</f>
        <v>0</v>
      </c>
      <c r="K98" s="237">
        <f t="shared" ref="K98:M104" si="81">+AC98*AU98/1000000</f>
        <v>0</v>
      </c>
      <c r="L98" s="237">
        <f t="shared" si="81"/>
        <v>0</v>
      </c>
      <c r="M98" s="237">
        <f t="shared" si="81"/>
        <v>0</v>
      </c>
      <c r="N98" s="246">
        <f t="shared" ref="N98:N104" si="82">SUM(K98:M98)</f>
        <v>0</v>
      </c>
      <c r="O98" s="237">
        <f t="shared" ref="O98:Q104" si="83">+AG98*AY98/1000000</f>
        <v>0</v>
      </c>
      <c r="P98" s="237">
        <f t="shared" si="83"/>
        <v>0</v>
      </c>
      <c r="Q98" s="237">
        <f t="shared" si="83"/>
        <v>0</v>
      </c>
      <c r="R98" s="246">
        <f t="shared" ref="R98:R104" si="84">SUM(O98:Q98)</f>
        <v>0</v>
      </c>
      <c r="S98" s="245">
        <f t="shared" ref="S98:S104" si="85">+F98+J98+N98+R98</f>
        <v>0</v>
      </c>
      <c r="U98" s="452"/>
      <c r="V98" s="452"/>
      <c r="W98" s="452"/>
      <c r="X98" s="287">
        <f t="shared" ref="X98:X104" si="86">SUM(U98:W98)</f>
        <v>0</v>
      </c>
      <c r="Y98" s="452"/>
      <c r="Z98" s="452"/>
      <c r="AA98" s="452"/>
      <c r="AB98" s="287">
        <f t="shared" ref="AB98:AB104" si="87">SUM(Y98:AA98)</f>
        <v>0</v>
      </c>
      <c r="AC98" s="452"/>
      <c r="AD98" s="452"/>
      <c r="AE98" s="452"/>
      <c r="AF98" s="287">
        <f t="shared" ref="AF98:AF104" si="88">SUM(AC98:AE98)</f>
        <v>0</v>
      </c>
      <c r="AG98" s="452"/>
      <c r="AH98" s="452"/>
      <c r="AI98" s="452"/>
      <c r="AJ98" s="287">
        <f t="shared" ref="AJ98:AJ104" si="89">SUM(AG98:AI98)</f>
        <v>0</v>
      </c>
      <c r="AK98" s="286">
        <f t="shared" ref="AK98:AK104" si="90">+X98+AB98+AF98+AJ98</f>
        <v>0</v>
      </c>
      <c r="AM98" s="241">
        <f>[17]PP21!B613</f>
        <v>1273.6607300000001</v>
      </c>
      <c r="AN98" s="241">
        <f>[17]PP21!C613</f>
        <v>1270.6245899999999</v>
      </c>
      <c r="AO98" s="241">
        <f>[17]PP21!D613</f>
        <v>1297.1908149999999</v>
      </c>
      <c r="AP98" s="284">
        <f t="shared" ref="AP98:AP106" si="91">IF(X98=0,0,+F98/X98*1000000)</f>
        <v>0</v>
      </c>
      <c r="AQ98" s="241">
        <f>[17]PP21!F613</f>
        <v>1278.2149400000001</v>
      </c>
      <c r="AR98" s="241">
        <f>[17]PP21!G613</f>
        <v>1278.2149400000001</v>
      </c>
      <c r="AS98" s="241">
        <f>[17]PP21!H613</f>
        <v>1303.263095</v>
      </c>
      <c r="AT98" s="284">
        <f t="shared" ref="AT98:AT106" si="92">IF(AB98=0,0,+J98/AB98*1000000)</f>
        <v>0</v>
      </c>
      <c r="AU98" s="241">
        <f>[17]PP21!J613</f>
        <v>1341.214845</v>
      </c>
      <c r="AV98" s="241">
        <f>[17]PP21!K613</f>
        <v>1340.4558099999999</v>
      </c>
      <c r="AW98" s="241">
        <f>[17]PP21!L613</f>
        <v>1363.985895</v>
      </c>
      <c r="AX98" s="284">
        <f t="shared" ref="AX98:AX106" si="93">IF(AF98=0,0,+N98/AF98*1000000)</f>
        <v>0</v>
      </c>
      <c r="AY98" s="241">
        <f>[17]PP21!N613</f>
        <v>1390.5521199999998</v>
      </c>
      <c r="AZ98" s="241">
        <f>[17]PP21!O613</f>
        <v>1424.708695</v>
      </c>
      <c r="BA98" s="241">
        <f>[17]PP21!P613</f>
        <v>1411.046065</v>
      </c>
      <c r="BB98" s="240">
        <f t="shared" ref="BB98:BB106" si="94">IF(AJ98=0,0,+R98/AJ98*1000000)</f>
        <v>0</v>
      </c>
      <c r="BC98" s="311">
        <f t="shared" ref="BC98:BC106" si="95">IF(AK98=0,0,+S98/AK98*1000000)</f>
        <v>0</v>
      </c>
    </row>
    <row r="99" spans="1:58">
      <c r="A99" s="294" t="s">
        <v>407</v>
      </c>
      <c r="B99" s="233" t="s">
        <v>406</v>
      </c>
      <c r="C99" s="237">
        <f t="shared" si="77"/>
        <v>34.964399999999998</v>
      </c>
      <c r="D99" s="237">
        <f t="shared" si="77"/>
        <v>33.941400000000002</v>
      </c>
      <c r="E99" s="237">
        <f t="shared" si="77"/>
        <v>34.685400000000001</v>
      </c>
      <c r="F99" s="246">
        <f t="shared" si="78"/>
        <v>103.5912</v>
      </c>
      <c r="G99" s="237">
        <f t="shared" si="79"/>
        <v>33.848399999999998</v>
      </c>
      <c r="H99" s="237">
        <f t="shared" si="79"/>
        <v>32.732400000000005</v>
      </c>
      <c r="I99" s="237">
        <f t="shared" si="79"/>
        <v>33.476400000000005</v>
      </c>
      <c r="J99" s="246">
        <f t="shared" si="80"/>
        <v>100.05720000000002</v>
      </c>
      <c r="K99" s="237">
        <f t="shared" si="81"/>
        <v>34.034399999999998</v>
      </c>
      <c r="L99" s="237">
        <f t="shared" si="81"/>
        <v>35.243400000000001</v>
      </c>
      <c r="M99" s="237">
        <f t="shared" si="81"/>
        <v>35.615400000000001</v>
      </c>
      <c r="N99" s="246">
        <f t="shared" si="82"/>
        <v>104.89320000000001</v>
      </c>
      <c r="O99" s="237">
        <f t="shared" si="83"/>
        <v>35.987400000000001</v>
      </c>
      <c r="P99" s="237">
        <f t="shared" si="83"/>
        <v>36.731400000000001</v>
      </c>
      <c r="Q99" s="237">
        <f t="shared" si="83"/>
        <v>36.359400000000001</v>
      </c>
      <c r="R99" s="246">
        <f t="shared" si="84"/>
        <v>109.07820000000001</v>
      </c>
      <c r="S99" s="245">
        <f t="shared" si="85"/>
        <v>417.61980000000005</v>
      </c>
      <c r="U99" s="244">
        <f>+[18]Production_M!U202</f>
        <v>3000</v>
      </c>
      <c r="V99" s="244">
        <f>+[18]Production_M!V202</f>
        <v>3000</v>
      </c>
      <c r="W99" s="244">
        <f>+[18]Production_M!W202</f>
        <v>3000</v>
      </c>
      <c r="X99" s="287">
        <f t="shared" si="86"/>
        <v>9000</v>
      </c>
      <c r="Y99" s="244">
        <f>+[18]Production_M!Y202</f>
        <v>3000</v>
      </c>
      <c r="Z99" s="244">
        <f>+[18]Production_M!Z202</f>
        <v>3000</v>
      </c>
      <c r="AA99" s="244">
        <f>+[18]Production_M!AA202</f>
        <v>3000</v>
      </c>
      <c r="AB99" s="287">
        <f t="shared" si="87"/>
        <v>9000</v>
      </c>
      <c r="AC99" s="244">
        <f>+[18]Production_M!AC202</f>
        <v>3000</v>
      </c>
      <c r="AD99" s="244">
        <f>+[18]Production_M!AD202</f>
        <v>3000</v>
      </c>
      <c r="AE99" s="244">
        <f>+[18]Production_M!AE202</f>
        <v>3000</v>
      </c>
      <c r="AF99" s="287">
        <f t="shared" si="88"/>
        <v>9000</v>
      </c>
      <c r="AG99" s="244">
        <f>+[18]Production_M!AG202</f>
        <v>3000</v>
      </c>
      <c r="AH99" s="244">
        <f>+[18]Production_M!AH202</f>
        <v>3000</v>
      </c>
      <c r="AI99" s="244">
        <f>+[18]Production_M!AI202</f>
        <v>3000</v>
      </c>
      <c r="AJ99" s="287">
        <f t="shared" si="89"/>
        <v>9000</v>
      </c>
      <c r="AK99" s="286">
        <f t="shared" si="90"/>
        <v>36000</v>
      </c>
      <c r="AM99" s="241">
        <f>[17]PP21!B$245*AM2</f>
        <v>11654.800000000001</v>
      </c>
      <c r="AN99" s="241">
        <f>[17]PP21!C$245*AN2</f>
        <v>11313.800000000001</v>
      </c>
      <c r="AO99" s="241">
        <f>[17]PP21!D$245*AO2</f>
        <v>11561.800000000001</v>
      </c>
      <c r="AP99" s="284">
        <f t="shared" si="91"/>
        <v>11510.133333333333</v>
      </c>
      <c r="AQ99" s="241">
        <f>[17]PP21!F$245*AQ2</f>
        <v>11282.800000000001</v>
      </c>
      <c r="AR99" s="241">
        <f>[17]PP21!G$245*AR2</f>
        <v>10910.800000000001</v>
      </c>
      <c r="AS99" s="241">
        <f>[17]PP21!H$245*AS2</f>
        <v>11158.800000000001</v>
      </c>
      <c r="AT99" s="284">
        <f t="shared" si="92"/>
        <v>11117.466666666669</v>
      </c>
      <c r="AU99" s="241">
        <f>[17]PP21!J$245*AU2</f>
        <v>11344.800000000001</v>
      </c>
      <c r="AV99" s="241">
        <f>[17]PP21!K$245*AV2</f>
        <v>11747.800000000001</v>
      </c>
      <c r="AW99" s="241">
        <f>[17]PP21!L$245*AW2</f>
        <v>11871.800000000001</v>
      </c>
      <c r="AX99" s="284">
        <f t="shared" si="93"/>
        <v>11654.800000000001</v>
      </c>
      <c r="AY99" s="241">
        <f>[17]PP21!N$245*AY2</f>
        <v>11995.800000000001</v>
      </c>
      <c r="AZ99" s="241">
        <f>[17]PP21!O$245*AZ2</f>
        <v>12243.800000000001</v>
      </c>
      <c r="BA99" s="241">
        <f>[17]PP21!P$245*BA2</f>
        <v>12119.800000000001</v>
      </c>
      <c r="BB99" s="240">
        <f t="shared" si="94"/>
        <v>12119.800000000001</v>
      </c>
      <c r="BC99" s="311">
        <f t="shared" si="95"/>
        <v>11600.550000000001</v>
      </c>
    </row>
    <row r="100" spans="1:58">
      <c r="A100" s="294"/>
      <c r="B100" s="233" t="s">
        <v>405</v>
      </c>
      <c r="C100" s="237">
        <f t="shared" si="77"/>
        <v>0</v>
      </c>
      <c r="D100" s="237">
        <f t="shared" si="77"/>
        <v>0</v>
      </c>
      <c r="E100" s="237">
        <f t="shared" si="77"/>
        <v>0</v>
      </c>
      <c r="F100" s="246">
        <f t="shared" si="78"/>
        <v>0</v>
      </c>
      <c r="G100" s="237">
        <f t="shared" si="79"/>
        <v>0</v>
      </c>
      <c r="H100" s="237">
        <f t="shared" si="79"/>
        <v>0</v>
      </c>
      <c r="I100" s="237">
        <f t="shared" si="79"/>
        <v>0</v>
      </c>
      <c r="J100" s="246">
        <f t="shared" si="80"/>
        <v>0</v>
      </c>
      <c r="K100" s="237">
        <f t="shared" si="81"/>
        <v>0</v>
      </c>
      <c r="L100" s="237">
        <f t="shared" si="81"/>
        <v>0</v>
      </c>
      <c r="M100" s="237">
        <f t="shared" si="81"/>
        <v>0</v>
      </c>
      <c r="N100" s="246">
        <f t="shared" si="82"/>
        <v>0</v>
      </c>
      <c r="O100" s="237">
        <f t="shared" si="83"/>
        <v>0</v>
      </c>
      <c r="P100" s="237">
        <f t="shared" si="83"/>
        <v>0</v>
      </c>
      <c r="Q100" s="237">
        <f t="shared" si="83"/>
        <v>0</v>
      </c>
      <c r="R100" s="246">
        <f t="shared" si="84"/>
        <v>0</v>
      </c>
      <c r="S100" s="245">
        <f t="shared" si="85"/>
        <v>0</v>
      </c>
      <c r="U100" s="244">
        <f>+[18]Production_M!U43</f>
        <v>0</v>
      </c>
      <c r="V100" s="244">
        <f>+[18]Production_M!V43</f>
        <v>0</v>
      </c>
      <c r="W100" s="244">
        <f>+[18]Production_M!W43</f>
        <v>0</v>
      </c>
      <c r="X100" s="287">
        <f t="shared" si="86"/>
        <v>0</v>
      </c>
      <c r="Y100" s="244">
        <f>+[18]Production_M!Y43</f>
        <v>0</v>
      </c>
      <c r="Z100" s="244">
        <f>+[18]Production_M!Z43</f>
        <v>0</v>
      </c>
      <c r="AA100" s="244">
        <f>+[18]Production_M!AA43</f>
        <v>0</v>
      </c>
      <c r="AB100" s="287">
        <f t="shared" si="87"/>
        <v>0</v>
      </c>
      <c r="AC100" s="244">
        <f>+[18]Production_M!AC43</f>
        <v>0</v>
      </c>
      <c r="AD100" s="244">
        <f>+[18]Production_M!AD43</f>
        <v>0</v>
      </c>
      <c r="AE100" s="244">
        <f>+[18]Production_M!AE43</f>
        <v>0</v>
      </c>
      <c r="AF100" s="287">
        <f t="shared" si="88"/>
        <v>0</v>
      </c>
      <c r="AG100" s="244">
        <f>+[18]Production_M!AG43</f>
        <v>0</v>
      </c>
      <c r="AH100" s="244">
        <f>+[18]Production_M!AH43</f>
        <v>0</v>
      </c>
      <c r="AI100" s="244">
        <f>+[18]Production_M!AI43</f>
        <v>0</v>
      </c>
      <c r="AJ100" s="287">
        <f t="shared" si="89"/>
        <v>0</v>
      </c>
      <c r="AK100" s="286">
        <f t="shared" si="90"/>
        <v>0</v>
      </c>
      <c r="AM100" s="241">
        <f>IF(U100=0,0,+[17]PP21!B678)</f>
        <v>0</v>
      </c>
      <c r="AN100" s="241">
        <f>IF(V100=0,0,+[17]PP21!C678)</f>
        <v>0</v>
      </c>
      <c r="AO100" s="241">
        <f>IF(W100=0,0,+[17]PP21!D678)</f>
        <v>0</v>
      </c>
      <c r="AP100" s="284">
        <f t="shared" si="91"/>
        <v>0</v>
      </c>
      <c r="AQ100" s="241">
        <f>IF(Y100=0,0,+[17]PP21!F678)</f>
        <v>0</v>
      </c>
      <c r="AR100" s="241">
        <f>IF(Z100=0,0,+[17]PP21!G678)</f>
        <v>0</v>
      </c>
      <c r="AS100" s="241">
        <f>IF(AA100=0,0,+[17]PP21!H678)</f>
        <v>0</v>
      </c>
      <c r="AT100" s="284">
        <f t="shared" si="92"/>
        <v>0</v>
      </c>
      <c r="AU100" s="241">
        <f>IF(AC100=0,0,+[17]PP21!J678)</f>
        <v>0</v>
      </c>
      <c r="AV100" s="241">
        <f>IF(AD100=0,0,+[17]PP21!K678)</f>
        <v>0</v>
      </c>
      <c r="AW100" s="241">
        <f>IF(AE100=0,0,+[17]PP21!L678)</f>
        <v>0</v>
      </c>
      <c r="AX100" s="284">
        <f t="shared" si="93"/>
        <v>0</v>
      </c>
      <c r="AY100" s="241">
        <f>IF(AG100=0,0,+[17]PP21!N678)</f>
        <v>0</v>
      </c>
      <c r="AZ100" s="241">
        <f>IF(AH100=0,0,+[17]PP21!O678)</f>
        <v>0</v>
      </c>
      <c r="BA100" s="241">
        <f>IF(AI100=0,0,+[17]PP21!P678)</f>
        <v>0</v>
      </c>
      <c r="BB100" s="240">
        <f t="shared" si="94"/>
        <v>0</v>
      </c>
      <c r="BC100" s="311">
        <f t="shared" si="95"/>
        <v>0</v>
      </c>
    </row>
    <row r="101" spans="1:58">
      <c r="B101" s="233" t="s">
        <v>404</v>
      </c>
      <c r="C101" s="237">
        <f t="shared" si="77"/>
        <v>78.659772000000004</v>
      </c>
      <c r="D101" s="237">
        <f t="shared" si="77"/>
        <v>69.233416000000005</v>
      </c>
      <c r="E101" s="237">
        <f t="shared" si="77"/>
        <v>78.112002000000004</v>
      </c>
      <c r="F101" s="246">
        <f t="shared" si="78"/>
        <v>226.00519000000003</v>
      </c>
      <c r="G101" s="237">
        <f t="shared" si="79"/>
        <v>74.001959999999997</v>
      </c>
      <c r="H101" s="237">
        <f t="shared" si="79"/>
        <v>74.277612000000005</v>
      </c>
      <c r="I101" s="237">
        <f t="shared" si="79"/>
        <v>73.295159999999996</v>
      </c>
      <c r="J101" s="246">
        <f t="shared" si="80"/>
        <v>221.57473199999998</v>
      </c>
      <c r="K101" s="237">
        <f t="shared" si="81"/>
        <v>76.833872</v>
      </c>
      <c r="L101" s="237">
        <f t="shared" si="81"/>
        <v>79.207542000000004</v>
      </c>
      <c r="M101" s="237">
        <f t="shared" si="81"/>
        <v>77.359260000000006</v>
      </c>
      <c r="N101" s="246">
        <f t="shared" si="82"/>
        <v>233.40067400000001</v>
      </c>
      <c r="O101" s="237">
        <f t="shared" si="83"/>
        <v>80.668261999999999</v>
      </c>
      <c r="P101" s="237">
        <f t="shared" si="83"/>
        <v>79.479659999999996</v>
      </c>
      <c r="Q101" s="237">
        <f t="shared" si="83"/>
        <v>81.398622000000003</v>
      </c>
      <c r="R101" s="246">
        <f t="shared" si="84"/>
        <v>241.54654399999998</v>
      </c>
      <c r="S101" s="245">
        <f t="shared" si="85"/>
        <v>922.52713999999992</v>
      </c>
      <c r="U101" s="244">
        <f>+[18]Production_M!U44</f>
        <v>5890</v>
      </c>
      <c r="V101" s="244">
        <f>+[18]Production_M!V44</f>
        <v>5319.9999999999991</v>
      </c>
      <c r="W101" s="244">
        <f>+[18]Production_M!W44</f>
        <v>5890</v>
      </c>
      <c r="X101" s="287">
        <f t="shared" si="86"/>
        <v>17100</v>
      </c>
      <c r="Y101" s="244">
        <f>+[18]Production_M!Y44</f>
        <v>5700</v>
      </c>
      <c r="Z101" s="244">
        <f>+[18]Production_M!Z44</f>
        <v>5890</v>
      </c>
      <c r="AA101" s="244">
        <f>+[18]Production_M!AA44</f>
        <v>5700</v>
      </c>
      <c r="AB101" s="287">
        <f t="shared" si="87"/>
        <v>17290</v>
      </c>
      <c r="AC101" s="244">
        <f>+[18]Production_M!AC44</f>
        <v>5890</v>
      </c>
      <c r="AD101" s="244">
        <f>+[18]Production_M!AD44</f>
        <v>5890</v>
      </c>
      <c r="AE101" s="244">
        <f>+[18]Production_M!AE44</f>
        <v>5700</v>
      </c>
      <c r="AF101" s="287">
        <f t="shared" si="88"/>
        <v>17480</v>
      </c>
      <c r="AG101" s="244">
        <f>+[18]Production_M!AG44</f>
        <v>5890</v>
      </c>
      <c r="AH101" s="244">
        <f>+[18]Production_M!AH44</f>
        <v>5700</v>
      </c>
      <c r="AI101" s="244">
        <f>+[18]Production_M!AI44</f>
        <v>5890</v>
      </c>
      <c r="AJ101" s="287">
        <f t="shared" si="89"/>
        <v>17480</v>
      </c>
      <c r="AK101" s="286">
        <f t="shared" si="90"/>
        <v>69350</v>
      </c>
      <c r="AM101" s="241">
        <f>IF(U101=0,0,+[17]PP21!B679)</f>
        <v>13354.800000000001</v>
      </c>
      <c r="AN101" s="241">
        <f>IF(V101=0,0,+[17]PP21!C679)</f>
        <v>13013.800000000001</v>
      </c>
      <c r="AO101" s="241">
        <f>IF(W101=0,0,+[17]PP21!D679)</f>
        <v>13261.800000000001</v>
      </c>
      <c r="AP101" s="284">
        <f t="shared" si="91"/>
        <v>13216.677777777779</v>
      </c>
      <c r="AQ101" s="241">
        <f>IF(Y101=0,0,+[17]PP21!F679)</f>
        <v>12982.800000000001</v>
      </c>
      <c r="AR101" s="241">
        <f>IF(Z101=0,0,+[17]PP21!G679)</f>
        <v>12610.800000000001</v>
      </c>
      <c r="AS101" s="241">
        <f>IF(AA101=0,0,+[17]PP21!H679)</f>
        <v>12858.800000000001</v>
      </c>
      <c r="AT101" s="284">
        <f t="shared" si="92"/>
        <v>12815.195604395603</v>
      </c>
      <c r="AU101" s="241">
        <f>IF(AC101=0,0,+[17]PP21!J679)</f>
        <v>13044.800000000001</v>
      </c>
      <c r="AV101" s="241">
        <f>IF(AD101=0,0,+[17]PP21!K679)</f>
        <v>13447.800000000001</v>
      </c>
      <c r="AW101" s="241">
        <f>IF(AE101=0,0,+[17]PP21!L679)</f>
        <v>13571.800000000001</v>
      </c>
      <c r="AX101" s="284">
        <f t="shared" si="93"/>
        <v>13352.441304347825</v>
      </c>
      <c r="AY101" s="241">
        <f>IF(AG101=0,0,+[17]PP21!N679)</f>
        <v>13695.800000000001</v>
      </c>
      <c r="AZ101" s="241">
        <f>IF(AH101=0,0,+[17]PP21!O679)</f>
        <v>13943.800000000001</v>
      </c>
      <c r="BA101" s="241">
        <f>IF(AI101=0,0,+[17]PP21!P679)</f>
        <v>13819.800000000001</v>
      </c>
      <c r="BB101" s="240">
        <f t="shared" si="94"/>
        <v>13818.452173913041</v>
      </c>
      <c r="BC101" s="311">
        <f t="shared" si="95"/>
        <v>13302.482191780822</v>
      </c>
    </row>
    <row r="102" spans="1:58">
      <c r="B102" s="233" t="s">
        <v>403</v>
      </c>
      <c r="C102" s="237">
        <f t="shared" si="77"/>
        <v>81.668999999999997</v>
      </c>
      <c r="D102" s="237">
        <f t="shared" si="77"/>
        <v>79.281999999999996</v>
      </c>
      <c r="E102" s="237">
        <f t="shared" si="77"/>
        <v>81.018000000000001</v>
      </c>
      <c r="F102" s="246">
        <f t="shared" si="78"/>
        <v>241.96899999999999</v>
      </c>
      <c r="G102" s="237">
        <f t="shared" si="79"/>
        <v>79.064999999999998</v>
      </c>
      <c r="H102" s="237">
        <f t="shared" si="79"/>
        <v>76.460999999999999</v>
      </c>
      <c r="I102" s="237">
        <f t="shared" si="79"/>
        <v>78.197000000000003</v>
      </c>
      <c r="J102" s="246">
        <f t="shared" si="80"/>
        <v>233.72300000000001</v>
      </c>
      <c r="K102" s="237">
        <f t="shared" si="81"/>
        <v>79.498999999999995</v>
      </c>
      <c r="L102" s="237">
        <f t="shared" si="81"/>
        <v>82.32</v>
      </c>
      <c r="M102" s="237">
        <f t="shared" si="81"/>
        <v>83.188000000000002</v>
      </c>
      <c r="N102" s="246">
        <f t="shared" si="82"/>
        <v>245.00700000000001</v>
      </c>
      <c r="O102" s="237">
        <f t="shared" si="83"/>
        <v>84.055999999999997</v>
      </c>
      <c r="P102" s="237">
        <f t="shared" si="83"/>
        <v>85.792000000000002</v>
      </c>
      <c r="Q102" s="237">
        <f t="shared" si="83"/>
        <v>84.924000000000007</v>
      </c>
      <c r="R102" s="246">
        <f t="shared" si="84"/>
        <v>254.77200000000002</v>
      </c>
      <c r="S102" s="245">
        <f t="shared" si="85"/>
        <v>975.47100000000012</v>
      </c>
      <c r="U102" s="244">
        <f>+[18]Production_M!U45</f>
        <v>7000</v>
      </c>
      <c r="V102" s="244">
        <f>+[18]Production_M!V45</f>
        <v>7000</v>
      </c>
      <c r="W102" s="244">
        <f>+[18]Production_M!W45</f>
        <v>7000</v>
      </c>
      <c r="X102" s="287">
        <f t="shared" si="86"/>
        <v>21000</v>
      </c>
      <c r="Y102" s="244">
        <f>+[18]Production_M!Y45</f>
        <v>7000</v>
      </c>
      <c r="Z102" s="244">
        <f>+[18]Production_M!Z45</f>
        <v>7000</v>
      </c>
      <c r="AA102" s="244">
        <f>+[18]Production_M!AA45</f>
        <v>7000</v>
      </c>
      <c r="AB102" s="287">
        <f t="shared" si="87"/>
        <v>21000</v>
      </c>
      <c r="AC102" s="244">
        <f>+[18]Production_M!AC45</f>
        <v>7000</v>
      </c>
      <c r="AD102" s="244">
        <f>+[18]Production_M!AD45</f>
        <v>7000</v>
      </c>
      <c r="AE102" s="244">
        <f>+[18]Production_M!AE45</f>
        <v>7000</v>
      </c>
      <c r="AF102" s="287">
        <f t="shared" si="88"/>
        <v>21000</v>
      </c>
      <c r="AG102" s="244">
        <f>+[18]Production_M!AG45</f>
        <v>7000</v>
      </c>
      <c r="AH102" s="244">
        <f>+[18]Production_M!AH45</f>
        <v>7000</v>
      </c>
      <c r="AI102" s="244">
        <f>+[18]Production_M!AI45</f>
        <v>7000</v>
      </c>
      <c r="AJ102" s="287">
        <f t="shared" si="89"/>
        <v>21000</v>
      </c>
      <c r="AK102" s="286">
        <f t="shared" si="90"/>
        <v>84000</v>
      </c>
      <c r="AM102" s="241">
        <f>IF(U102=0,0,+[17]PP21!B680)</f>
        <v>11667</v>
      </c>
      <c r="AN102" s="241">
        <f>IF(V102=0,0,+[17]PP21!C680)</f>
        <v>11326</v>
      </c>
      <c r="AO102" s="241">
        <f>IF(W102=0,0,+[17]PP21!D680)</f>
        <v>11574</v>
      </c>
      <c r="AP102" s="284">
        <f t="shared" si="91"/>
        <v>11522.333333333332</v>
      </c>
      <c r="AQ102" s="241">
        <f>IF(Y102=0,0,+[17]PP21!F680)</f>
        <v>11295</v>
      </c>
      <c r="AR102" s="241">
        <f>IF(Z102=0,0,+[17]PP21!G680)</f>
        <v>10923</v>
      </c>
      <c r="AS102" s="241">
        <f>IF(AA102=0,0,+[17]PP21!H680)</f>
        <v>11171</v>
      </c>
      <c r="AT102" s="284">
        <f t="shared" si="92"/>
        <v>11129.666666666668</v>
      </c>
      <c r="AU102" s="241">
        <f>IF(AC102=0,0,+[17]PP21!J680)</f>
        <v>11357</v>
      </c>
      <c r="AV102" s="241">
        <f>IF(AD102=0,0,+[17]PP21!K680)</f>
        <v>11760</v>
      </c>
      <c r="AW102" s="241">
        <f>IF(AE102=0,0,+[17]PP21!L680)</f>
        <v>11884</v>
      </c>
      <c r="AX102" s="284">
        <f t="shared" si="93"/>
        <v>11667</v>
      </c>
      <c r="AY102" s="241">
        <f>IF(AG102=0,0,+[17]PP21!N680)</f>
        <v>12008</v>
      </c>
      <c r="AZ102" s="241">
        <f>IF(AH102=0,0,+[17]PP21!O680)</f>
        <v>12256</v>
      </c>
      <c r="BA102" s="241">
        <f>IF(AI102=0,0,+[17]PP21!P680)</f>
        <v>12132</v>
      </c>
      <c r="BB102" s="240">
        <f t="shared" si="94"/>
        <v>12132</v>
      </c>
      <c r="BC102" s="311">
        <f t="shared" si="95"/>
        <v>11612.750000000002</v>
      </c>
      <c r="BD102" s="451"/>
    </row>
    <row r="103" spans="1:58">
      <c r="B103" s="407" t="s">
        <v>402</v>
      </c>
      <c r="C103" s="237">
        <f t="shared" si="77"/>
        <v>0</v>
      </c>
      <c r="D103" s="237">
        <f t="shared" si="77"/>
        <v>0</v>
      </c>
      <c r="E103" s="237">
        <f t="shared" si="77"/>
        <v>0</v>
      </c>
      <c r="F103" s="246">
        <f t="shared" si="78"/>
        <v>0</v>
      </c>
      <c r="G103" s="237">
        <f t="shared" si="79"/>
        <v>0</v>
      </c>
      <c r="H103" s="237">
        <f t="shared" si="79"/>
        <v>0</v>
      </c>
      <c r="I103" s="237">
        <f t="shared" si="79"/>
        <v>0</v>
      </c>
      <c r="J103" s="246">
        <f t="shared" si="80"/>
        <v>0</v>
      </c>
      <c r="K103" s="237">
        <f t="shared" si="81"/>
        <v>0</v>
      </c>
      <c r="L103" s="237">
        <f t="shared" si="81"/>
        <v>0</v>
      </c>
      <c r="M103" s="237">
        <f t="shared" si="81"/>
        <v>0</v>
      </c>
      <c r="N103" s="246">
        <f t="shared" si="82"/>
        <v>0</v>
      </c>
      <c r="O103" s="237">
        <f t="shared" si="83"/>
        <v>0</v>
      </c>
      <c r="P103" s="237">
        <f t="shared" si="83"/>
        <v>0</v>
      </c>
      <c r="Q103" s="237">
        <f t="shared" si="83"/>
        <v>0</v>
      </c>
      <c r="R103" s="246">
        <f t="shared" si="84"/>
        <v>0</v>
      </c>
      <c r="S103" s="245">
        <f t="shared" si="85"/>
        <v>0</v>
      </c>
      <c r="U103" s="244">
        <f>+[18]Production_M!U46</f>
        <v>0</v>
      </c>
      <c r="V103" s="244">
        <f>+[18]Production_M!V46</f>
        <v>0</v>
      </c>
      <c r="W103" s="244">
        <f>+[18]Production_M!W46</f>
        <v>0</v>
      </c>
      <c r="X103" s="287">
        <f t="shared" si="86"/>
        <v>0</v>
      </c>
      <c r="Y103" s="244">
        <f>+[18]Production_M!Y46</f>
        <v>0</v>
      </c>
      <c r="Z103" s="244">
        <f>+[18]Production_M!Z46</f>
        <v>0</v>
      </c>
      <c r="AA103" s="244">
        <f>+[18]Production_M!AA46</f>
        <v>0</v>
      </c>
      <c r="AB103" s="287">
        <f t="shared" si="87"/>
        <v>0</v>
      </c>
      <c r="AC103" s="244">
        <f>+[18]Production_M!AC46</f>
        <v>0</v>
      </c>
      <c r="AD103" s="244">
        <f>+[18]Production_M!AD46</f>
        <v>0</v>
      </c>
      <c r="AE103" s="244">
        <f>+[18]Production_M!AE46</f>
        <v>0</v>
      </c>
      <c r="AF103" s="287">
        <f t="shared" si="88"/>
        <v>0</v>
      </c>
      <c r="AG103" s="244">
        <f>+[18]Production_M!AG46</f>
        <v>0</v>
      </c>
      <c r="AH103" s="244">
        <f>+[18]Production_M!AH46</f>
        <v>0</v>
      </c>
      <c r="AI103" s="244">
        <f>+[18]Production_M!AI46</f>
        <v>0</v>
      </c>
      <c r="AJ103" s="287">
        <f t="shared" si="89"/>
        <v>0</v>
      </c>
      <c r="AK103" s="286">
        <f t="shared" si="90"/>
        <v>0</v>
      </c>
      <c r="AM103" s="241">
        <f>IF(U103=0,0,+[17]PP21!B681)</f>
        <v>0</v>
      </c>
      <c r="AN103" s="241">
        <f>IF(V103=0,0,+[17]PP21!C681)</f>
        <v>0</v>
      </c>
      <c r="AO103" s="241">
        <f>IF(W103=0,0,+[17]PP21!D681)</f>
        <v>0</v>
      </c>
      <c r="AP103" s="284">
        <f t="shared" si="91"/>
        <v>0</v>
      </c>
      <c r="AQ103" s="241">
        <f>IF(Y103=0,0,+[17]PP21!F681)</f>
        <v>0</v>
      </c>
      <c r="AR103" s="241">
        <f>IF(Z103=0,0,+[17]PP21!G681)</f>
        <v>0</v>
      </c>
      <c r="AS103" s="241">
        <f>IF(AA103=0,0,+[17]PP21!H681)</f>
        <v>0</v>
      </c>
      <c r="AT103" s="284">
        <f t="shared" si="92"/>
        <v>0</v>
      </c>
      <c r="AU103" s="241">
        <f>IF(AC103=0,0,+[17]PP21!J681)</f>
        <v>0</v>
      </c>
      <c r="AV103" s="241">
        <f>IF(AD103=0,0,+[17]PP21!K681)</f>
        <v>0</v>
      </c>
      <c r="AW103" s="241">
        <f>IF(AE103=0,0,+[17]PP21!L681)</f>
        <v>0</v>
      </c>
      <c r="AX103" s="284">
        <f t="shared" si="93"/>
        <v>0</v>
      </c>
      <c r="AY103" s="241">
        <f>IF(AG103=0,0,+[17]PP21!N681)</f>
        <v>0</v>
      </c>
      <c r="AZ103" s="241">
        <f>IF(AH103=0,0,+[17]PP21!O681)</f>
        <v>0</v>
      </c>
      <c r="BA103" s="241">
        <f>IF(AI103=0,0,+[17]PP21!P681)</f>
        <v>0</v>
      </c>
      <c r="BB103" s="240">
        <f t="shared" si="94"/>
        <v>0</v>
      </c>
      <c r="BC103" s="311">
        <f t="shared" si="95"/>
        <v>0</v>
      </c>
      <c r="BD103" s="451"/>
    </row>
    <row r="104" spans="1:58">
      <c r="B104" s="233" t="s">
        <v>401</v>
      </c>
      <c r="C104" s="450">
        <f t="shared" si="77"/>
        <v>655.4231285424695</v>
      </c>
      <c r="D104" s="450">
        <f t="shared" si="77"/>
        <v>871.66664646546565</v>
      </c>
      <c r="E104" s="450">
        <f t="shared" si="77"/>
        <v>571.32641258944716</v>
      </c>
      <c r="F104" s="246">
        <f t="shared" si="78"/>
        <v>2098.4161875973823</v>
      </c>
      <c r="G104" s="450">
        <f t="shared" si="79"/>
        <v>639.78147224845372</v>
      </c>
      <c r="H104" s="450">
        <f t="shared" si="79"/>
        <v>511.89539982481841</v>
      </c>
      <c r="I104" s="450">
        <f t="shared" si="79"/>
        <v>629.56759239519567</v>
      </c>
      <c r="J104" s="246">
        <f t="shared" si="80"/>
        <v>1781.2444644684679</v>
      </c>
      <c r="K104" s="450">
        <f t="shared" si="81"/>
        <v>901.88567541088719</v>
      </c>
      <c r="L104" s="450">
        <f t="shared" si="81"/>
        <v>434.44097104783071</v>
      </c>
      <c r="M104" s="450">
        <f t="shared" si="81"/>
        <v>894.06945165491993</v>
      </c>
      <c r="N104" s="246">
        <f t="shared" si="82"/>
        <v>2230.3960981136379</v>
      </c>
      <c r="O104" s="450">
        <f t="shared" si="83"/>
        <v>922.05208418522989</v>
      </c>
      <c r="P104" s="450">
        <f t="shared" si="83"/>
        <v>308.26179695390516</v>
      </c>
      <c r="Q104" s="450">
        <f t="shared" si="83"/>
        <v>619.13182614067989</v>
      </c>
      <c r="R104" s="246">
        <f t="shared" si="84"/>
        <v>1849.445707279815</v>
      </c>
      <c r="S104" s="245">
        <f t="shared" si="85"/>
        <v>7959.5024574593035</v>
      </c>
      <c r="U104" s="244">
        <f>+[18]Production_M!U47</f>
        <v>49077.719512270451</v>
      </c>
      <c r="V104" s="244">
        <f>+[18]Production_M!V47</f>
        <v>66980.178461745658</v>
      </c>
      <c r="W104" s="244">
        <f>+[18]Production_M!W47</f>
        <v>43080.608408319167</v>
      </c>
      <c r="X104" s="287">
        <f t="shared" si="86"/>
        <v>159138.50638233527</v>
      </c>
      <c r="Y104" s="244">
        <f>+[18]Production_M!Y47</f>
        <v>49279.159522480026</v>
      </c>
      <c r="Z104" s="244">
        <f>+[18]Production_M!Z47</f>
        <v>40591.8260399672</v>
      </c>
      <c r="AA104" s="244">
        <f>+[18]Production_M!AA47</f>
        <v>48960.057889942735</v>
      </c>
      <c r="AB104" s="287">
        <f t="shared" si="87"/>
        <v>138831.04345238995</v>
      </c>
      <c r="AC104" s="244">
        <f>+[18]Production_M!AC47</f>
        <v>69137.562508500487</v>
      </c>
      <c r="AD104" s="244">
        <f>+[18]Production_M!AD47</f>
        <v>32305.728152398955</v>
      </c>
      <c r="AE104" s="244">
        <f>+[18]Production_M!AE47</f>
        <v>65876.998751449326</v>
      </c>
      <c r="AF104" s="287">
        <f t="shared" si="88"/>
        <v>167320.28941234876</v>
      </c>
      <c r="AG104" s="244">
        <f>+[18]Production_M!AG47</f>
        <v>67323.711224260711</v>
      </c>
      <c r="AH104" s="244">
        <f>+[18]Production_M!AH47</f>
        <v>22107.445384608582</v>
      </c>
      <c r="AI104" s="244">
        <f>+[18]Production_M!AI47</f>
        <v>44800.346324887469</v>
      </c>
      <c r="AJ104" s="287">
        <f t="shared" si="89"/>
        <v>134231.50293375677</v>
      </c>
      <c r="AK104" s="286">
        <f t="shared" si="90"/>
        <v>599521.34218083078</v>
      </c>
      <c r="AL104" s="234">
        <v>3351.7000000000003</v>
      </c>
      <c r="AM104" s="241">
        <f>IF(U104=0,0,+[17]PP21!B682)</f>
        <v>13354.800000000001</v>
      </c>
      <c r="AN104" s="241">
        <f>IF(V104=0,0,+[17]PP21!C682)</f>
        <v>13013.800000000001</v>
      </c>
      <c r="AO104" s="241">
        <f>IF(W104=0,0,+[17]PP21!D682)</f>
        <v>13261.800000000001</v>
      </c>
      <c r="AP104" s="284">
        <f t="shared" si="91"/>
        <v>13186.099551266814</v>
      </c>
      <c r="AQ104" s="241">
        <f>IF(Y104=0,0,+[17]PP21!F682)</f>
        <v>12982.800000000001</v>
      </c>
      <c r="AR104" s="241">
        <f>IF(Z104=0,0,+[17]PP21!G682)</f>
        <v>12610.800000000001</v>
      </c>
      <c r="AS104" s="241">
        <f>IF(AA104=0,0,+[17]PP21!H682)</f>
        <v>12858.800000000001</v>
      </c>
      <c r="AT104" s="284">
        <f t="shared" si="92"/>
        <v>12830.303800744099</v>
      </c>
      <c r="AU104" s="241">
        <f>IF(AC104=0,0,+[17]PP21!J682)</f>
        <v>13044.800000000001</v>
      </c>
      <c r="AV104" s="241">
        <f>IF(AD104=0,0,+[17]PP21!K682)</f>
        <v>13447.800000000001</v>
      </c>
      <c r="AW104" s="241">
        <f>IF(AE104=0,0,+[17]PP21!L682)</f>
        <v>13571.800000000001</v>
      </c>
      <c r="AX104" s="284">
        <f t="shared" si="93"/>
        <v>13330.099451459757</v>
      </c>
      <c r="AY104" s="241">
        <f>IF(AG104=0,0,+[17]PP21!N682)</f>
        <v>13695.800000000001</v>
      </c>
      <c r="AZ104" s="241">
        <f>IF(AH104=0,0,+[17]PP21!O682)</f>
        <v>13943.800000000001</v>
      </c>
      <c r="BA104" s="241">
        <f>IF(AI104=0,0,+[17]PP21!P682)</f>
        <v>13819.800000000001</v>
      </c>
      <c r="BB104" s="240">
        <f t="shared" si="94"/>
        <v>13778.030245198968</v>
      </c>
      <c r="BC104" s="311">
        <f t="shared" si="95"/>
        <v>13276.428873250215</v>
      </c>
      <c r="BE104" s="449" t="s">
        <v>400</v>
      </c>
      <c r="BF104" s="294"/>
    </row>
    <row r="105" spans="1:58">
      <c r="A105" s="434" t="s">
        <v>391</v>
      </c>
      <c r="B105" s="434" t="s">
        <v>390</v>
      </c>
      <c r="C105" s="448">
        <f t="shared" ref="C105:S105" si="96">SUM(C99:C104)</f>
        <v>850.71630054246953</v>
      </c>
      <c r="D105" s="448">
        <f t="shared" si="96"/>
        <v>1054.1234624654658</v>
      </c>
      <c r="E105" s="448">
        <f t="shared" si="96"/>
        <v>765.14181458944722</v>
      </c>
      <c r="F105" s="432">
        <f t="shared" si="96"/>
        <v>2669.9815775973821</v>
      </c>
      <c r="G105" s="448">
        <f t="shared" si="96"/>
        <v>826.69683224845369</v>
      </c>
      <c r="H105" s="448">
        <f t="shared" si="96"/>
        <v>695.36641182481844</v>
      </c>
      <c r="I105" s="448">
        <f t="shared" si="96"/>
        <v>814.5361523951957</v>
      </c>
      <c r="J105" s="432">
        <f t="shared" si="96"/>
        <v>2336.5993964684676</v>
      </c>
      <c r="K105" s="433">
        <f t="shared" si="96"/>
        <v>1092.2529474108871</v>
      </c>
      <c r="L105" s="433">
        <f t="shared" si="96"/>
        <v>631.21191304783065</v>
      </c>
      <c r="M105" s="433">
        <f t="shared" si="96"/>
        <v>1090.2321116549199</v>
      </c>
      <c r="N105" s="432">
        <f t="shared" si="96"/>
        <v>2813.6969721136379</v>
      </c>
      <c r="O105" s="433">
        <f t="shared" si="96"/>
        <v>1122.7637461852298</v>
      </c>
      <c r="P105" s="433">
        <f t="shared" si="96"/>
        <v>510.26485695390517</v>
      </c>
      <c r="Q105" s="433">
        <f t="shared" si="96"/>
        <v>821.81384814067997</v>
      </c>
      <c r="R105" s="432">
        <f t="shared" si="96"/>
        <v>2454.8424512798151</v>
      </c>
      <c r="S105" s="431">
        <f t="shared" si="96"/>
        <v>10275.120397459305</v>
      </c>
      <c r="U105" s="427">
        <f t="shared" ref="U105:AK105" si="97">SUM(U99:U104)</f>
        <v>64967.719512270451</v>
      </c>
      <c r="V105" s="427">
        <f t="shared" si="97"/>
        <v>82300.178461745658</v>
      </c>
      <c r="W105" s="427">
        <f t="shared" si="97"/>
        <v>58970.608408319167</v>
      </c>
      <c r="X105" s="414">
        <f t="shared" si="97"/>
        <v>206238.50638233527</v>
      </c>
      <c r="Y105" s="427">
        <f t="shared" si="97"/>
        <v>64979.159522480026</v>
      </c>
      <c r="Z105" s="427">
        <f t="shared" si="97"/>
        <v>56481.8260399672</v>
      </c>
      <c r="AA105" s="427">
        <f t="shared" si="97"/>
        <v>64660.057889942735</v>
      </c>
      <c r="AB105" s="414">
        <f t="shared" si="97"/>
        <v>186121.04345238995</v>
      </c>
      <c r="AC105" s="430">
        <f t="shared" si="97"/>
        <v>85027.562508500487</v>
      </c>
      <c r="AD105" s="430">
        <f t="shared" si="97"/>
        <v>48195.728152398951</v>
      </c>
      <c r="AE105" s="430">
        <f t="shared" si="97"/>
        <v>81576.998751449326</v>
      </c>
      <c r="AF105" s="429">
        <f t="shared" si="97"/>
        <v>214800.28941234876</v>
      </c>
      <c r="AG105" s="430">
        <f t="shared" si="97"/>
        <v>83213.711224260711</v>
      </c>
      <c r="AH105" s="430">
        <f t="shared" si="97"/>
        <v>37807.445384608582</v>
      </c>
      <c r="AI105" s="430">
        <f t="shared" si="97"/>
        <v>60690.346324887469</v>
      </c>
      <c r="AJ105" s="429">
        <f t="shared" si="97"/>
        <v>181711.50293375677</v>
      </c>
      <c r="AK105" s="428">
        <f t="shared" si="97"/>
        <v>788871.34218083078</v>
      </c>
      <c r="AM105" s="414">
        <f t="shared" ref="AM105:AO106" si="98">IF(U105=0,0,+C105/U105*1000000)</f>
        <v>13094.446086903125</v>
      </c>
      <c r="AN105" s="414">
        <f t="shared" si="98"/>
        <v>12808.27675185951</v>
      </c>
      <c r="AO105" s="414">
        <f t="shared" si="98"/>
        <v>12974.968975926426</v>
      </c>
      <c r="AP105" s="414">
        <f t="shared" si="91"/>
        <v>12946.086666510455</v>
      </c>
      <c r="AQ105" s="414">
        <f t="shared" ref="AQ105:AS106" si="99">IF(Y105=0,0,+G105/Y105*1000000)</f>
        <v>12722.491923929114</v>
      </c>
      <c r="AR105" s="414">
        <f t="shared" si="99"/>
        <v>12311.330220322003</v>
      </c>
      <c r="AS105" s="414">
        <f t="shared" si="99"/>
        <v>12597.20728647676</v>
      </c>
      <c r="AT105" s="414">
        <f t="shared" si="92"/>
        <v>12554.192439105756</v>
      </c>
      <c r="AU105" s="414">
        <f t="shared" ref="AU105:AW106" si="100">IF(AC105=0,0,+K105/AC105*1000000)</f>
        <v>12845.869212135663</v>
      </c>
      <c r="AV105" s="414">
        <f t="shared" si="100"/>
        <v>13096.84358439166</v>
      </c>
      <c r="AW105" s="414">
        <f t="shared" si="100"/>
        <v>13364.454789231266</v>
      </c>
      <c r="AX105" s="414">
        <f t="shared" si="93"/>
        <v>13099.130265659129</v>
      </c>
      <c r="AY105" s="414">
        <f t="shared" ref="AY105:BA106" si="101">IF(AG105=0,0,+O105/AG105*1000000)</f>
        <v>13492.533017297892</v>
      </c>
      <c r="AZ105" s="414">
        <f t="shared" si="101"/>
        <v>13496.411930588521</v>
      </c>
      <c r="BA105" s="414">
        <f t="shared" si="101"/>
        <v>13541.096696686278</v>
      </c>
      <c r="BB105" s="414">
        <f t="shared" si="94"/>
        <v>13509.559998382338</v>
      </c>
      <c r="BC105" s="445">
        <f t="shared" si="95"/>
        <v>13025.090211863682</v>
      </c>
      <c r="BE105" s="437" t="e">
        <f>+BE11+BE30+BE64</f>
        <v>#REF!</v>
      </c>
      <c r="BF105" s="436" t="s">
        <v>399</v>
      </c>
    </row>
    <row r="106" spans="1:58" s="294" customFormat="1">
      <c r="A106" s="424" t="s">
        <v>398</v>
      </c>
      <c r="B106" s="423"/>
      <c r="C106" s="447">
        <f>+C98+C105</f>
        <v>850.71630054246953</v>
      </c>
      <c r="D106" s="447">
        <f>+D98+D105</f>
        <v>1054.1234624654658</v>
      </c>
      <c r="E106" s="447">
        <f>+E98+E105</f>
        <v>765.14181458944722</v>
      </c>
      <c r="F106" s="421">
        <f>SUM(C106:E106)</f>
        <v>2669.9815775973825</v>
      </c>
      <c r="G106" s="447">
        <f>+G98+G105</f>
        <v>826.69683224845369</v>
      </c>
      <c r="H106" s="447">
        <f>+H98+H105</f>
        <v>695.36641182481844</v>
      </c>
      <c r="I106" s="447">
        <f>+I98+I105</f>
        <v>814.5361523951957</v>
      </c>
      <c r="J106" s="421">
        <f>SUM(G106:I106)</f>
        <v>2336.5993964684676</v>
      </c>
      <c r="K106" s="422">
        <f>+K98+K105</f>
        <v>1092.2529474108871</v>
      </c>
      <c r="L106" s="422">
        <f>+L98+L105</f>
        <v>631.21191304783065</v>
      </c>
      <c r="M106" s="422">
        <f>+M98+M105</f>
        <v>1090.2321116549199</v>
      </c>
      <c r="N106" s="421">
        <f>SUM(K106:M106)</f>
        <v>2813.6969721136375</v>
      </c>
      <c r="O106" s="422">
        <f>+O98+O105</f>
        <v>1122.7637461852298</v>
      </c>
      <c r="P106" s="422">
        <f>+P98+P105</f>
        <v>510.26485695390517</v>
      </c>
      <c r="Q106" s="422">
        <f>+Q98+Q105</f>
        <v>821.81384814067997</v>
      </c>
      <c r="R106" s="421">
        <f>SUM(O106:Q106)</f>
        <v>2454.8424512798147</v>
      </c>
      <c r="S106" s="420">
        <f>+S98+S105</f>
        <v>10275.120397459305</v>
      </c>
      <c r="T106" s="416"/>
      <c r="U106" s="415">
        <f t="shared" ref="U106:AK106" si="102">+(U98/9.43)+U105</f>
        <v>64967.719512270451</v>
      </c>
      <c r="V106" s="415">
        <f t="shared" si="102"/>
        <v>82300.178461745658</v>
      </c>
      <c r="W106" s="415">
        <f t="shared" si="102"/>
        <v>58970.608408319167</v>
      </c>
      <c r="X106" s="446">
        <f t="shared" si="102"/>
        <v>206238.50638233527</v>
      </c>
      <c r="Y106" s="415">
        <f t="shared" si="102"/>
        <v>64979.159522480026</v>
      </c>
      <c r="Z106" s="415">
        <f t="shared" si="102"/>
        <v>56481.8260399672</v>
      </c>
      <c r="AA106" s="415">
        <f t="shared" si="102"/>
        <v>64660.057889942735</v>
      </c>
      <c r="AB106" s="446">
        <f t="shared" si="102"/>
        <v>186121.04345238995</v>
      </c>
      <c r="AC106" s="419">
        <f t="shared" si="102"/>
        <v>85027.562508500487</v>
      </c>
      <c r="AD106" s="419">
        <f t="shared" si="102"/>
        <v>48195.728152398951</v>
      </c>
      <c r="AE106" s="419">
        <f t="shared" si="102"/>
        <v>81576.998751449326</v>
      </c>
      <c r="AF106" s="418">
        <f t="shared" si="102"/>
        <v>214800.28941234876</v>
      </c>
      <c r="AG106" s="419">
        <f t="shared" si="102"/>
        <v>83213.711224260711</v>
      </c>
      <c r="AH106" s="419">
        <f t="shared" si="102"/>
        <v>37807.445384608582</v>
      </c>
      <c r="AI106" s="419">
        <f t="shared" si="102"/>
        <v>60690.346324887469</v>
      </c>
      <c r="AJ106" s="418">
        <f t="shared" si="102"/>
        <v>181711.50293375677</v>
      </c>
      <c r="AK106" s="417">
        <f t="shared" si="102"/>
        <v>788871.34218083078</v>
      </c>
      <c r="AL106" s="416"/>
      <c r="AM106" s="414">
        <f t="shared" si="98"/>
        <v>13094.446086903125</v>
      </c>
      <c r="AN106" s="414">
        <f t="shared" si="98"/>
        <v>12808.27675185951</v>
      </c>
      <c r="AO106" s="414">
        <f t="shared" si="98"/>
        <v>12974.968975926426</v>
      </c>
      <c r="AP106" s="414">
        <f t="shared" si="91"/>
        <v>12946.086666510457</v>
      </c>
      <c r="AQ106" s="414">
        <f t="shared" si="99"/>
        <v>12722.491923929114</v>
      </c>
      <c r="AR106" s="414">
        <f t="shared" si="99"/>
        <v>12311.330220322003</v>
      </c>
      <c r="AS106" s="414">
        <f t="shared" si="99"/>
        <v>12597.20728647676</v>
      </c>
      <c r="AT106" s="414">
        <f t="shared" si="92"/>
        <v>12554.192439105756</v>
      </c>
      <c r="AU106" s="414">
        <f t="shared" si="100"/>
        <v>12845.869212135663</v>
      </c>
      <c r="AV106" s="414">
        <f t="shared" si="100"/>
        <v>13096.84358439166</v>
      </c>
      <c r="AW106" s="414">
        <f t="shared" si="100"/>
        <v>13364.454789231266</v>
      </c>
      <c r="AX106" s="414">
        <f t="shared" si="93"/>
        <v>13099.130265659127</v>
      </c>
      <c r="AY106" s="414">
        <f t="shared" si="101"/>
        <v>13492.533017297892</v>
      </c>
      <c r="AZ106" s="414">
        <f t="shared" si="101"/>
        <v>13496.411930588521</v>
      </c>
      <c r="BA106" s="414">
        <f t="shared" si="101"/>
        <v>13541.096696686278</v>
      </c>
      <c r="BB106" s="414">
        <f t="shared" si="94"/>
        <v>13509.559998382334</v>
      </c>
      <c r="BC106" s="445">
        <f t="shared" si="95"/>
        <v>13025.090211863682</v>
      </c>
      <c r="BE106" s="437" t="e">
        <f>+((BE11*BE12)+(BE30*BE31)+(BE64*BE65))/(BE11+BE30+BE64)</f>
        <v>#REF!</v>
      </c>
      <c r="BF106" s="436" t="s">
        <v>397</v>
      </c>
    </row>
    <row r="107" spans="1:58" s="294" customFormat="1" ht="21">
      <c r="A107" s="444" t="s">
        <v>396</v>
      </c>
      <c r="B107" s="443"/>
      <c r="C107" s="442" t="e">
        <f t="shared" ref="C107:S107" si="103">+C94-C106</f>
        <v>#REF!</v>
      </c>
      <c r="D107" s="442" t="e">
        <f t="shared" si="103"/>
        <v>#REF!</v>
      </c>
      <c r="E107" s="442" t="e">
        <f t="shared" si="103"/>
        <v>#REF!</v>
      </c>
      <c r="F107" s="441" t="e">
        <f t="shared" si="103"/>
        <v>#REF!</v>
      </c>
      <c r="G107" s="442" t="e">
        <f t="shared" si="103"/>
        <v>#REF!</v>
      </c>
      <c r="H107" s="442" t="e">
        <f t="shared" si="103"/>
        <v>#REF!</v>
      </c>
      <c r="I107" s="442" t="e">
        <f t="shared" si="103"/>
        <v>#REF!</v>
      </c>
      <c r="J107" s="441" t="e">
        <f t="shared" si="103"/>
        <v>#REF!</v>
      </c>
      <c r="K107" s="441" t="e">
        <f t="shared" si="103"/>
        <v>#REF!</v>
      </c>
      <c r="L107" s="441" t="e">
        <f t="shared" si="103"/>
        <v>#REF!</v>
      </c>
      <c r="M107" s="441" t="e">
        <f t="shared" si="103"/>
        <v>#REF!</v>
      </c>
      <c r="N107" s="441" t="e">
        <f t="shared" si="103"/>
        <v>#REF!</v>
      </c>
      <c r="O107" s="441" t="e">
        <f t="shared" si="103"/>
        <v>#REF!</v>
      </c>
      <c r="P107" s="441" t="e">
        <f t="shared" si="103"/>
        <v>#REF!</v>
      </c>
      <c r="Q107" s="441" t="e">
        <f t="shared" si="103"/>
        <v>#REF!</v>
      </c>
      <c r="R107" s="441" t="e">
        <f t="shared" si="103"/>
        <v>#REF!</v>
      </c>
      <c r="S107" s="441" t="e">
        <f t="shared" si="103"/>
        <v>#REF!</v>
      </c>
      <c r="T107" s="416"/>
      <c r="U107" s="440" t="e">
        <f t="shared" ref="U107:AK107" si="104">+U94-U106</f>
        <v>#REF!</v>
      </c>
      <c r="V107" s="440" t="e">
        <f t="shared" si="104"/>
        <v>#REF!</v>
      </c>
      <c r="W107" s="440" t="e">
        <f t="shared" si="104"/>
        <v>#REF!</v>
      </c>
      <c r="X107" s="439" t="e">
        <f t="shared" si="104"/>
        <v>#REF!</v>
      </c>
      <c r="Y107" s="440" t="e">
        <f t="shared" si="104"/>
        <v>#REF!</v>
      </c>
      <c r="Z107" s="440" t="e">
        <f t="shared" si="104"/>
        <v>#REF!</v>
      </c>
      <c r="AA107" s="440" t="e">
        <f t="shared" si="104"/>
        <v>#REF!</v>
      </c>
      <c r="AB107" s="439" t="e">
        <f t="shared" si="104"/>
        <v>#REF!</v>
      </c>
      <c r="AC107" s="439" t="e">
        <f t="shared" si="104"/>
        <v>#REF!</v>
      </c>
      <c r="AD107" s="439" t="e">
        <f t="shared" si="104"/>
        <v>#REF!</v>
      </c>
      <c r="AE107" s="439" t="e">
        <f t="shared" si="104"/>
        <v>#REF!</v>
      </c>
      <c r="AF107" s="439" t="e">
        <f t="shared" si="104"/>
        <v>#REF!</v>
      </c>
      <c r="AG107" s="439" t="e">
        <f t="shared" si="104"/>
        <v>#REF!</v>
      </c>
      <c r="AH107" s="439" t="e">
        <f t="shared" si="104"/>
        <v>#REF!</v>
      </c>
      <c r="AI107" s="439" t="e">
        <f t="shared" si="104"/>
        <v>#REF!</v>
      </c>
      <c r="AJ107" s="439" t="e">
        <f t="shared" si="104"/>
        <v>#REF!</v>
      </c>
      <c r="AK107" s="439" t="e">
        <f t="shared" si="104"/>
        <v>#REF!</v>
      </c>
      <c r="AL107" s="416"/>
      <c r="AM107" s="438" t="e">
        <f t="shared" ref="AM107:BC107" si="105">+C107/U107*1000000</f>
        <v>#REF!</v>
      </c>
      <c r="AN107" s="438" t="e">
        <f t="shared" si="105"/>
        <v>#REF!</v>
      </c>
      <c r="AO107" s="438" t="e">
        <f t="shared" si="105"/>
        <v>#REF!</v>
      </c>
      <c r="AP107" s="438" t="e">
        <f t="shared" si="105"/>
        <v>#REF!</v>
      </c>
      <c r="AQ107" s="438" t="e">
        <f t="shared" si="105"/>
        <v>#REF!</v>
      </c>
      <c r="AR107" s="438" t="e">
        <f t="shared" si="105"/>
        <v>#REF!</v>
      </c>
      <c r="AS107" s="438" t="e">
        <f t="shared" si="105"/>
        <v>#REF!</v>
      </c>
      <c r="AT107" s="438" t="e">
        <f t="shared" si="105"/>
        <v>#REF!</v>
      </c>
      <c r="AU107" s="438" t="e">
        <f t="shared" si="105"/>
        <v>#REF!</v>
      </c>
      <c r="AV107" s="438" t="e">
        <f t="shared" si="105"/>
        <v>#REF!</v>
      </c>
      <c r="AW107" s="438" t="e">
        <f t="shared" si="105"/>
        <v>#REF!</v>
      </c>
      <c r="AX107" s="438" t="e">
        <f t="shared" si="105"/>
        <v>#REF!</v>
      </c>
      <c r="AY107" s="438" t="e">
        <f t="shared" si="105"/>
        <v>#REF!</v>
      </c>
      <c r="AZ107" s="438" t="e">
        <f t="shared" si="105"/>
        <v>#REF!</v>
      </c>
      <c r="BA107" s="438" t="e">
        <f t="shared" si="105"/>
        <v>#REF!</v>
      </c>
      <c r="BB107" s="438" t="e">
        <f t="shared" si="105"/>
        <v>#REF!</v>
      </c>
      <c r="BC107" s="438" t="e">
        <f t="shared" si="105"/>
        <v>#REF!</v>
      </c>
      <c r="BE107" s="437" t="e">
        <f>+BE106/BC2</f>
        <v>#REF!</v>
      </c>
      <c r="BF107" s="436" t="s">
        <v>393</v>
      </c>
    </row>
    <row r="108" spans="1:58">
      <c r="A108" s="294" t="s">
        <v>395</v>
      </c>
      <c r="F108" s="246"/>
      <c r="J108" s="246"/>
      <c r="N108" s="246"/>
      <c r="R108" s="246"/>
      <c r="S108" s="245"/>
      <c r="X108" s="287"/>
      <c r="AB108" s="287"/>
      <c r="AF108" s="287"/>
      <c r="AJ108" s="287"/>
      <c r="AK108" s="286"/>
      <c r="AP108" s="240"/>
      <c r="AT108" s="240"/>
      <c r="AX108" s="240"/>
      <c r="BB108" s="240"/>
      <c r="BC108" s="311"/>
    </row>
    <row r="109" spans="1:58">
      <c r="B109" s="233" t="s">
        <v>240</v>
      </c>
      <c r="C109" s="237">
        <f>'[16]data SM(64)'!C104</f>
        <v>689.50329192851177</v>
      </c>
      <c r="D109" s="237">
        <f>'[16]data SM(64)'!D104</f>
        <v>654.80115083578903</v>
      </c>
      <c r="E109" s="237">
        <f>'[16]data SM(64)'!E104</f>
        <v>722.52237401938669</v>
      </c>
      <c r="F109" s="246">
        <f>'[16]data SM(64)'!F104</f>
        <v>2066.8268167836877</v>
      </c>
      <c r="G109" s="237">
        <f>'[16]data SM(64)'!G104</f>
        <v>662.30161024048402</v>
      </c>
      <c r="H109" s="237">
        <f>'[16]data SM(64)'!H104</f>
        <v>716.82231539353666</v>
      </c>
      <c r="I109" s="237">
        <f>'[16]data SM(64)'!I104</f>
        <v>704.59428550797816</v>
      </c>
      <c r="J109" s="246">
        <f>'[16]data SM(64)'!J104</f>
        <v>2083.7182111419988</v>
      </c>
      <c r="K109" s="237">
        <f>'[16]data SM(64)'!K104</f>
        <v>729.15771254272624</v>
      </c>
      <c r="L109" s="237">
        <f>'[16]data SM(64)'!L104</f>
        <v>718.72313880493277</v>
      </c>
      <c r="M109" s="237">
        <f>'[16]data SM(64)'!M104</f>
        <v>689.25681107419143</v>
      </c>
      <c r="N109" s="246">
        <f>'[16]data SM(64)'!N104</f>
        <v>2137.1376624218506</v>
      </c>
      <c r="O109" s="237">
        <f>'[16]data SM(64)'!O104</f>
        <v>690.66412529896866</v>
      </c>
      <c r="P109" s="237">
        <f>'[16]data SM(64)'!P104</f>
        <v>653.35878784738679</v>
      </c>
      <c r="Q109" s="237">
        <f>'[16]data SM(64)'!Q104</f>
        <v>653.61060433890793</v>
      </c>
      <c r="R109" s="246">
        <f>'[16]data SM(64)'!R104</f>
        <v>1997.6335174852634</v>
      </c>
      <c r="S109" s="245">
        <f>'[16]data SM(64)'!S104</f>
        <v>8285.3162078328005</v>
      </c>
      <c r="U109" s="235">
        <f>'[16]data SM(64)'!U104</f>
        <v>119.22223247302637</v>
      </c>
      <c r="V109" s="235">
        <f>'[16]data SM(64)'!V104</f>
        <v>125.26413505820892</v>
      </c>
      <c r="W109" s="235">
        <f>'[16]data SM(64)'!W104</f>
        <v>125.27683260587499</v>
      </c>
      <c r="X109" s="287">
        <f>'[16]data SM(64)'!X104</f>
        <v>123.18740887861991</v>
      </c>
      <c r="Y109" s="235">
        <f>'[16]data SM(64)'!Y104</f>
        <v>116.89690853685792</v>
      </c>
      <c r="Z109" s="235">
        <f>'[16]data SM(64)'!Z104</f>
        <v>122.25214207099722</v>
      </c>
      <c r="AA109" s="235">
        <f>'[16]data SM(64)'!AA104</f>
        <v>124.31969457780907</v>
      </c>
      <c r="AB109" s="287">
        <f>'[16]data SM(64)'!AB104</f>
        <v>121.16829118286729</v>
      </c>
      <c r="AC109" s="235">
        <f>'[16]data SM(64)'!AC104</f>
        <v>123.55135209200212</v>
      </c>
      <c r="AD109" s="235">
        <f>'[16]data SM(64)'!AD104</f>
        <v>122.10511829471244</v>
      </c>
      <c r="AE109" s="235">
        <f>'[16]data SM(64)'!AE104</f>
        <v>121.91064956450373</v>
      </c>
      <c r="AF109" s="287">
        <f>'[16]data SM(64)'!AF104</f>
        <v>122.52902248829635</v>
      </c>
      <c r="AG109" s="235">
        <f>'[16]data SM(64)'!AG104</f>
        <v>122.76572049198295</v>
      </c>
      <c r="AH109" s="235">
        <f>'[16]data SM(64)'!AH104</f>
        <v>119.14095934112159</v>
      </c>
      <c r="AI109" s="235">
        <f>'[16]data SM(64)'!AI104</f>
        <v>115.08767114197904</v>
      </c>
      <c r="AJ109" s="287">
        <f>'[16]data SM(64)'!AJ104</f>
        <v>118.99656435746162</v>
      </c>
      <c r="AK109" s="286">
        <f>'[16]data SM(64)'!AK104</f>
        <v>121.46174051103135</v>
      </c>
      <c r="AM109" s="234">
        <f>'[16]data SM(64)'!BE104</f>
        <v>186.55951338728261</v>
      </c>
      <c r="AN109" s="234">
        <f>'[16]data SM(64)'!BF104</f>
        <v>186.69154883099901</v>
      </c>
      <c r="AO109" s="234">
        <f>'[16]data SM(64)'!BG104</f>
        <v>186.04535947032775</v>
      </c>
      <c r="AP109" s="240">
        <f>'[16]data SM(64)'!BH104</f>
        <v>186.42118230878174</v>
      </c>
      <c r="AQ109" s="234">
        <f>'[16]data SM(64)'!BI104</f>
        <v>188.8563232139592</v>
      </c>
      <c r="AR109" s="234">
        <f>'[16]data SM(64)'!BJ104</f>
        <v>189.14433812650068</v>
      </c>
      <c r="AS109" s="234">
        <f>'[16]data SM(64)'!BK104</f>
        <v>188.91999584908555</v>
      </c>
      <c r="AT109" s="240">
        <f>'[16]data SM(64)'!BL104</f>
        <v>188.97685274511346</v>
      </c>
      <c r="AU109" s="234">
        <f>'[16]data SM(64)'!BM104</f>
        <v>190.37603502810177</v>
      </c>
      <c r="AV109" s="234">
        <f>'[16]data SM(64)'!BN104</f>
        <v>189.8742469160546</v>
      </c>
      <c r="AW109" s="234">
        <f>'[16]data SM(64)'!BO104</f>
        <v>188.4595572075107</v>
      </c>
      <c r="AX109" s="240">
        <f>'[16]data SM(64)'!BP104</f>
        <v>189.58575469298592</v>
      </c>
      <c r="AY109" s="234">
        <f>'[16]data SM(64)'!BQ104</f>
        <v>181.47971456189097</v>
      </c>
      <c r="AZ109" s="234">
        <f>'[16]data SM(64)'!BR104</f>
        <v>182.79713695458429</v>
      </c>
      <c r="BA109" s="234">
        <f>'[16]data SM(64)'!BS104</f>
        <v>183.20131803848764</v>
      </c>
      <c r="BB109" s="240">
        <f>'[16]data SM(64)'!BT104</f>
        <v>182.47087986109017</v>
      </c>
      <c r="BC109" s="311">
        <f>'[16]data SM(64)'!BU104</f>
        <v>186.88598042734523</v>
      </c>
    </row>
    <row r="110" spans="1:58">
      <c r="B110" s="233" t="s">
        <v>242</v>
      </c>
      <c r="C110" s="237">
        <f>'[16]data SM(64)'!C105</f>
        <v>376.49835354593631</v>
      </c>
      <c r="D110" s="237">
        <f>'[16]data SM(64)'!D105</f>
        <v>342.37812134251948</v>
      </c>
      <c r="E110" s="237">
        <f>'[16]data SM(64)'!E105</f>
        <v>377.30766227931679</v>
      </c>
      <c r="F110" s="246">
        <f>'[16]data SM(64)'!F105</f>
        <v>1096.1841371677724</v>
      </c>
      <c r="G110" s="237">
        <f>'[16]data SM(64)'!G105</f>
        <v>369.8696147707555</v>
      </c>
      <c r="H110" s="237">
        <f>'[16]data SM(64)'!H105</f>
        <v>400.46083573893389</v>
      </c>
      <c r="I110" s="237">
        <f>'[16]data SM(64)'!I105</f>
        <v>374.58021516131203</v>
      </c>
      <c r="J110" s="246">
        <f>'[16]data SM(64)'!J105</f>
        <v>1144.9106656710014</v>
      </c>
      <c r="K110" s="237">
        <f>'[16]data SM(64)'!K105</f>
        <v>397.69015810379005</v>
      </c>
      <c r="L110" s="237">
        <f>'[16]data SM(64)'!L105</f>
        <v>398.31609143793696</v>
      </c>
      <c r="M110" s="237">
        <f>'[16]data SM(64)'!M105</f>
        <v>367.2842138884331</v>
      </c>
      <c r="N110" s="246">
        <f>'[16]data SM(64)'!N105</f>
        <v>1163.2904634301601</v>
      </c>
      <c r="O110" s="237">
        <f>'[16]data SM(64)'!O105</f>
        <v>374.11780478427517</v>
      </c>
      <c r="P110" s="237">
        <f>'[16]data SM(64)'!P105</f>
        <v>370.28304714901282</v>
      </c>
      <c r="Q110" s="237">
        <f>'[16]data SM(64)'!Q105</f>
        <v>373.61430218803918</v>
      </c>
      <c r="R110" s="246">
        <f>'[16]data SM(64)'!R105</f>
        <v>1118.0151541213272</v>
      </c>
      <c r="S110" s="245">
        <f>'[16]data SM(64)'!S105</f>
        <v>4522.4004203902614</v>
      </c>
      <c r="U110" s="235">
        <f>'[16]data SM(64)'!U105</f>
        <v>65.100449494038401</v>
      </c>
      <c r="V110" s="235">
        <f>'[16]data SM(64)'!V105</f>
        <v>65.497287501836681</v>
      </c>
      <c r="W110" s="235">
        <f>'[16]data SM(64)'!W105</f>
        <v>65.420685293562528</v>
      </c>
      <c r="X110" s="287">
        <f>'[16]data SM(64)'!X105</f>
        <v>65.334213649633952</v>
      </c>
      <c r="Y110" s="235">
        <f>'[16]data SM(64)'!Y105</f>
        <v>65.282363593711509</v>
      </c>
      <c r="Z110" s="235">
        <f>'[16]data SM(64)'!Z105</f>
        <v>68.297531945205762</v>
      </c>
      <c r="AA110" s="235">
        <f>'[16]data SM(64)'!AA105</f>
        <v>66.091506703281411</v>
      </c>
      <c r="AB110" s="287">
        <f>'[16]data SM(64)'!AB105</f>
        <v>66.57625933199084</v>
      </c>
      <c r="AC110" s="235">
        <f>'[16]data SM(64)'!AC105</f>
        <v>67.386185323420264</v>
      </c>
      <c r="AD110" s="235">
        <f>'[16]data SM(64)'!AD105</f>
        <v>67.670610333469583</v>
      </c>
      <c r="AE110" s="235">
        <f>'[16]data SM(64)'!AE105</f>
        <v>64.962516685391648</v>
      </c>
      <c r="AF110" s="287">
        <f>'[16]data SM(64)'!AF105</f>
        <v>66.691697455710155</v>
      </c>
      <c r="AG110" s="235">
        <f>'[16]data SM(64)'!AG105</f>
        <v>66.499533088300026</v>
      </c>
      <c r="AH110" s="235">
        <f>'[16]data SM(64)'!AH105</f>
        <v>67.521671531250362</v>
      </c>
      <c r="AI110" s="235">
        <f>'[16]data SM(64)'!AI105</f>
        <v>65.785958273500796</v>
      </c>
      <c r="AJ110" s="287">
        <f>'[16]data SM(64)'!AJ105</f>
        <v>66.592395414710168</v>
      </c>
      <c r="AK110" s="286">
        <f>'[16]data SM(64)'!AK105</f>
        <v>66.303165402073674</v>
      </c>
      <c r="AM110" s="234">
        <f>'[16]data SM(64)'!BE105</f>
        <v>186.55951338728261</v>
      </c>
      <c r="AN110" s="234">
        <f>'[16]data SM(64)'!BF105</f>
        <v>186.69154883099901</v>
      </c>
      <c r="AO110" s="234">
        <f>'[16]data SM(64)'!BG105</f>
        <v>186.04535947032775</v>
      </c>
      <c r="AP110" s="240">
        <f>'[16]data SM(64)'!BH105</f>
        <v>186.42336175690426</v>
      </c>
      <c r="AQ110" s="234">
        <f>'[16]data SM(64)'!BI105</f>
        <v>188.8563232139592</v>
      </c>
      <c r="AR110" s="234">
        <f>'[16]data SM(64)'!BJ105</f>
        <v>189.14433812650068</v>
      </c>
      <c r="AS110" s="234">
        <f>'[16]data SM(64)'!BK105</f>
        <v>188.91999584908555</v>
      </c>
      <c r="AT110" s="240">
        <f>'[16]data SM(64)'!BL105</f>
        <v>188.97781300321515</v>
      </c>
      <c r="AU110" s="234">
        <f>'[16]data SM(64)'!BM105</f>
        <v>190.37603502810177</v>
      </c>
      <c r="AV110" s="234">
        <f>'[16]data SM(64)'!BN105</f>
        <v>189.8742469160546</v>
      </c>
      <c r="AW110" s="234">
        <f>'[16]data SM(64)'!BO105</f>
        <v>188.4595572075107</v>
      </c>
      <c r="AX110" s="240">
        <f>'[16]data SM(64)'!BP105</f>
        <v>189.59573742174791</v>
      </c>
      <c r="AY110" s="234">
        <f>'[16]data SM(64)'!BQ105</f>
        <v>181.47971456189097</v>
      </c>
      <c r="AZ110" s="234">
        <f>'[16]data SM(64)'!BR105</f>
        <v>182.79713695458429</v>
      </c>
      <c r="BA110" s="234">
        <f>'[16]data SM(64)'!BS105</f>
        <v>183.20131803848764</v>
      </c>
      <c r="BB110" s="240">
        <f>'[16]data SM(64)'!BT105</f>
        <v>182.48838408760889</v>
      </c>
      <c r="BC110" s="311">
        <f>'[16]data SM(64)'!BU105</f>
        <v>186.87098968683625</v>
      </c>
    </row>
    <row r="111" spans="1:58">
      <c r="B111" s="233" t="s">
        <v>243</v>
      </c>
      <c r="C111" s="237">
        <f>'[16]data SM(64)'!C106</f>
        <v>1320.3449860531643</v>
      </c>
      <c r="D111" s="237">
        <f>'[16]data SM(64)'!D106</f>
        <v>1205.4170154098251</v>
      </c>
      <c r="E111" s="237">
        <f>'[16]data SM(64)'!E106</f>
        <v>1329.6358550554589</v>
      </c>
      <c r="F111" s="246">
        <f>'[16]data SM(64)'!F106</f>
        <v>3855.397856518448</v>
      </c>
      <c r="G111" s="237">
        <f>'[16]data SM(64)'!G106</f>
        <v>1292.2869006372046</v>
      </c>
      <c r="H111" s="237">
        <f>'[16]data SM(64)'!H106</f>
        <v>1387.634369352819</v>
      </c>
      <c r="I111" s="237">
        <f>'[16]data SM(64)'!I106</f>
        <v>1299.4605358600238</v>
      </c>
      <c r="J111" s="246">
        <f>'[16]data SM(64)'!J106</f>
        <v>3979.3818058500474</v>
      </c>
      <c r="K111" s="237">
        <f>'[16]data SM(64)'!K106</f>
        <v>1374.2919138721986</v>
      </c>
      <c r="L111" s="237">
        <f>'[16]data SM(64)'!L106</f>
        <v>1381.5708352423055</v>
      </c>
      <c r="M111" s="237">
        <f>'[16]data SM(64)'!M106</f>
        <v>985.47542855838185</v>
      </c>
      <c r="N111" s="246">
        <f>'[16]data SM(64)'!N106</f>
        <v>3741.3381776728861</v>
      </c>
      <c r="O111" s="237">
        <f>'[16]data SM(64)'!O106</f>
        <v>299.03183260325329</v>
      </c>
      <c r="P111" s="237">
        <f>'[16]data SM(64)'!P106</f>
        <v>1243.6893404479549</v>
      </c>
      <c r="Q111" s="237">
        <f>'[16]data SM(64)'!Q106</f>
        <v>1236.5864454043815</v>
      </c>
      <c r="R111" s="246">
        <f>'[16]data SM(64)'!R106</f>
        <v>2779.3076184555894</v>
      </c>
      <c r="S111" s="245">
        <f>'[16]data SM(64)'!S106</f>
        <v>14355.425458496971</v>
      </c>
      <c r="U111" s="235">
        <f>'[16]data SM(64)'!U106</f>
        <v>228.30126950016938</v>
      </c>
      <c r="V111" s="235">
        <f>'[16]data SM(64)'!V106</f>
        <v>230.59751747080554</v>
      </c>
      <c r="W111" s="235">
        <f>'[16]data SM(64)'!W106</f>
        <v>230.54312839325681</v>
      </c>
      <c r="X111" s="287">
        <f>'[16]data SM(64)'!X106</f>
        <v>229.78785359865296</v>
      </c>
      <c r="Y111" s="235">
        <f>'[16]data SM(64)'!Y106</f>
        <v>228.08995371808766</v>
      </c>
      <c r="Z111" s="235">
        <f>'[16]data SM(64)'!Z106</f>
        <v>236.65735625374069</v>
      </c>
      <c r="AA111" s="235">
        <f>'[16]data SM(64)'!AA106</f>
        <v>229.27880662211962</v>
      </c>
      <c r="AB111" s="287">
        <f>'[16]data SM(64)'!AB106</f>
        <v>231.4004489458481</v>
      </c>
      <c r="AC111" s="235">
        <f>'[16]data SM(64)'!AC106</f>
        <v>232.86542980653996</v>
      </c>
      <c r="AD111" s="235">
        <f>'[16]data SM(64)'!AD106</f>
        <v>234.71746095483931</v>
      </c>
      <c r="AE111" s="235">
        <f>'[16]data SM(64)'!AE106</f>
        <v>174.30360889459268</v>
      </c>
      <c r="AF111" s="287">
        <f>'[16]data SM(64)'!AF106</f>
        <v>214.39323783087545</v>
      </c>
      <c r="AG111" s="235">
        <f>'[16]data SM(64)'!AG106</f>
        <v>53.152982810110998</v>
      </c>
      <c r="AH111" s="235">
        <f>'[16]data SM(64)'!AH106</f>
        <v>226.78862502406116</v>
      </c>
      <c r="AI111" s="235">
        <f>'[16]data SM(64)'!AI106</f>
        <v>217.73798225209813</v>
      </c>
      <c r="AJ111" s="287">
        <f>'[16]data SM(64)'!AJ106</f>
        <v>165.2312898657643</v>
      </c>
      <c r="AK111" s="286">
        <f>'[16]data SM(64)'!AK106</f>
        <v>210.03781979737479</v>
      </c>
      <c r="AM111" s="234">
        <f>'[16]data SM(64)'!BE106</f>
        <v>186.55951338728261</v>
      </c>
      <c r="AN111" s="234">
        <f>'[16]data SM(64)'!BF106</f>
        <v>186.69154883099901</v>
      </c>
      <c r="AO111" s="234">
        <f>'[16]data SM(64)'!BG106</f>
        <v>186.04535947032775</v>
      </c>
      <c r="AP111" s="240">
        <f>'[16]data SM(64)'!BH106</f>
        <v>186.42305626883319</v>
      </c>
      <c r="AQ111" s="234">
        <f>'[16]data SM(64)'!BI106</f>
        <v>188.8563232139592</v>
      </c>
      <c r="AR111" s="234">
        <f>'[16]data SM(64)'!BJ106</f>
        <v>189.14433812650068</v>
      </c>
      <c r="AS111" s="234">
        <f>'[16]data SM(64)'!BK106</f>
        <v>188.91999584908555</v>
      </c>
      <c r="AT111" s="240">
        <f>'[16]data SM(64)'!BL106</f>
        <v>188.97746565820214</v>
      </c>
      <c r="AU111" s="234">
        <f>'[16]data SM(64)'!BM106</f>
        <v>190.37603502810177</v>
      </c>
      <c r="AV111" s="234">
        <f>'[16]data SM(64)'!BN106</f>
        <v>189.8742469160546</v>
      </c>
      <c r="AW111" s="234">
        <f>'[16]data SM(64)'!BO106</f>
        <v>188.4595572075107</v>
      </c>
      <c r="AX111" s="240">
        <f>'[16]data SM(64)'!BP106</f>
        <v>189.68284510265855</v>
      </c>
      <c r="AY111" s="234">
        <f>'[16]data SM(64)'!BQ106</f>
        <v>181.47971456189097</v>
      </c>
      <c r="AZ111" s="234">
        <f>'[16]data SM(64)'!BR106</f>
        <v>182.79713695458429</v>
      </c>
      <c r="BA111" s="234">
        <f>'[16]data SM(64)'!BS106</f>
        <v>183.20131803848764</v>
      </c>
      <c r="BB111" s="240">
        <f>'[16]data SM(64)'!BT106</f>
        <v>182.83380491999037</v>
      </c>
      <c r="BC111" s="311">
        <f>'[16]data SM(64)'!BU106</f>
        <v>187.25167115592475</v>
      </c>
    </row>
    <row r="112" spans="1:58">
      <c r="B112" s="233" t="s">
        <v>394</v>
      </c>
      <c r="C112" s="237">
        <f>'[16]data SM(64)'!C107</f>
        <v>153.51200009847656</v>
      </c>
      <c r="D112" s="237">
        <f>'[16]data SM(64)'!D107</f>
        <v>104.60042177316204</v>
      </c>
      <c r="E112" s="237">
        <f>'[16]data SM(64)'!E107</f>
        <v>212.89414691526321</v>
      </c>
      <c r="F112" s="246">
        <f>'[16]data SM(64)'!F107</f>
        <v>471.00656878690182</v>
      </c>
      <c r="G112" s="237">
        <f>'[16]data SM(64)'!G107</f>
        <v>207.98624483321086</v>
      </c>
      <c r="H112" s="237">
        <f>'[16]data SM(64)'!H107</f>
        <v>111.33959173642393</v>
      </c>
      <c r="I112" s="237">
        <f>'[16]data SM(64)'!I107</f>
        <v>175.67647456346461</v>
      </c>
      <c r="J112" s="246">
        <f>'[16]data SM(64)'!J107</f>
        <v>495.0023111330994</v>
      </c>
      <c r="K112" s="237">
        <f>'[16]data SM(64)'!K107</f>
        <v>213.03109254518816</v>
      </c>
      <c r="L112" s="237">
        <f>'[16]data SM(64)'!L107</f>
        <v>176.44151670228837</v>
      </c>
      <c r="M112" s="237">
        <f>'[16]data SM(64)'!M107</f>
        <v>158.11342733247426</v>
      </c>
      <c r="N112" s="246">
        <f>'[16]data SM(64)'!N107</f>
        <v>547.58603657995081</v>
      </c>
      <c r="O112" s="237">
        <f>'[16]data SM(64)'!O107</f>
        <v>192.74979428907201</v>
      </c>
      <c r="P112" s="237">
        <f>'[16]data SM(64)'!P107</f>
        <v>196.83417224484523</v>
      </c>
      <c r="Q112" s="237">
        <f>'[16]data SM(64)'!Q107</f>
        <v>195.73335500686764</v>
      </c>
      <c r="R112" s="246">
        <f>'[16]data SM(64)'!R107</f>
        <v>585.31732154078486</v>
      </c>
      <c r="S112" s="245">
        <f>'[16]data SM(64)'!S107</f>
        <v>2098.9122380407371</v>
      </c>
      <c r="U112" s="235">
        <f>'[16]data SM(64)'!U107</f>
        <v>26.543808532008271</v>
      </c>
      <c r="V112" s="235">
        <f>'[16]data SM(64)'!V107</f>
        <v>20.010168496824885</v>
      </c>
      <c r="W112" s="235">
        <f>'[16]data SM(64)'!W107</f>
        <v>36.913326652439913</v>
      </c>
      <c r="X112" s="287">
        <f>'[16]data SM(64)'!X107</f>
        <v>28.082843429211</v>
      </c>
      <c r="Y112" s="235">
        <f>'[16]data SM(64)'!Y107</f>
        <v>36.709783976463946</v>
      </c>
      <c r="Z112" s="235">
        <f>'[16]data SM(64)'!Z107</f>
        <v>18.988671662119486</v>
      </c>
      <c r="AA112" s="235">
        <f>'[16]data SM(64)'!AA107</f>
        <v>30.996626159819836</v>
      </c>
      <c r="AB112" s="287">
        <f>'[16]data SM(64)'!AB107</f>
        <v>28.789462918837557</v>
      </c>
      <c r="AC112" s="235">
        <f>'[16]data SM(64)'!AC107</f>
        <v>36.096826610816585</v>
      </c>
      <c r="AD112" s="235">
        <f>'[16]data SM(64)'!AD107</f>
        <v>29.975954725563284</v>
      </c>
      <c r="AE112" s="235">
        <f>'[16]data SM(64)'!AE107</f>
        <v>27.96593420808005</v>
      </c>
      <c r="AF112" s="287">
        <f>'[16]data SM(64)'!AF107</f>
        <v>31.382980952936713</v>
      </c>
      <c r="AG112" s="235">
        <f>'[16]data SM(64)'!AG107</f>
        <v>34.261323997878662</v>
      </c>
      <c r="AH112" s="235">
        <f>'[16]data SM(64)'!AH107</f>
        <v>35.893007867285583</v>
      </c>
      <c r="AI112" s="235">
        <f>'[16]data SM(64)'!AI107</f>
        <v>34.46470397360055</v>
      </c>
      <c r="AJ112" s="287">
        <f>'[16]data SM(64)'!AJ107</f>
        <v>34.86192503406982</v>
      </c>
      <c r="AK112" s="286">
        <f>'[16]data SM(64)'!AK107</f>
        <v>30.799529822048793</v>
      </c>
      <c r="AM112" s="234">
        <f>'[16]data SM(64)'!BE107</f>
        <v>186.55951338728261</v>
      </c>
      <c r="AN112" s="234">
        <f>'[16]data SM(64)'!BF107</f>
        <v>186.69154883099901</v>
      </c>
      <c r="AO112" s="234">
        <f>'[16]data SM(64)'!BG107</f>
        <v>186.04535947032775</v>
      </c>
      <c r="AP112" s="240">
        <f>'[16]data SM(64)'!BH107</f>
        <v>186.35599821102227</v>
      </c>
      <c r="AQ112" s="234">
        <f>'[16]data SM(64)'!BI107</f>
        <v>188.8563232139592</v>
      </c>
      <c r="AR112" s="234">
        <f>'[16]data SM(64)'!BJ107</f>
        <v>189.14433812650068</v>
      </c>
      <c r="AS112" s="234">
        <f>'[16]data SM(64)'!BK107</f>
        <v>188.91999584908555</v>
      </c>
      <c r="AT112" s="240">
        <f>'[16]data SM(64)'!BL107</f>
        <v>188.9436371898494</v>
      </c>
      <c r="AU112" s="234">
        <f>'[16]data SM(64)'!BM107</f>
        <v>190.37603502810177</v>
      </c>
      <c r="AV112" s="234">
        <f>'[16]data SM(64)'!BN107</f>
        <v>189.8742469160546</v>
      </c>
      <c r="AW112" s="234">
        <f>'[16]data SM(64)'!BO107</f>
        <v>188.4595572075107</v>
      </c>
      <c r="AX112" s="240">
        <f>'[16]data SM(64)'!BP107</f>
        <v>189.65764105278933</v>
      </c>
      <c r="AY112" s="234">
        <f>'[16]data SM(64)'!BQ107</f>
        <v>181.47971456189097</v>
      </c>
      <c r="AZ112" s="234">
        <f>'[16]data SM(64)'!BR107</f>
        <v>182.79713695458429</v>
      </c>
      <c r="BA112" s="234">
        <f>'[16]data SM(64)'!BS107</f>
        <v>183.20131803848764</v>
      </c>
      <c r="BB112" s="240">
        <f>'[16]data SM(64)'!BT107</f>
        <v>182.4955103064093</v>
      </c>
      <c r="BC112" s="311">
        <f>'[16]data SM(64)'!BU107</f>
        <v>186.70559326740786</v>
      </c>
    </row>
    <row r="113" spans="1:58">
      <c r="B113" s="233" t="s">
        <v>244</v>
      </c>
      <c r="C113" s="237">
        <f>'[16]data SM(64)'!C108</f>
        <v>1197.7050478019535</v>
      </c>
      <c r="D113" s="237">
        <f>'[16]data SM(64)'!D108</f>
        <v>1103.8783971704452</v>
      </c>
      <c r="E113" s="237">
        <f>'[16]data SM(64)'!E108</f>
        <v>1225.6534166544232</v>
      </c>
      <c r="F113" s="246">
        <f>'[16]data SM(64)'!F108</f>
        <v>3527.2368616268222</v>
      </c>
      <c r="G113" s="237">
        <f>'[16]data SM(64)'!G108</f>
        <v>1201.2233610630421</v>
      </c>
      <c r="H113" s="237">
        <f>'[16]data SM(64)'!H108</f>
        <v>1231.8791126424119</v>
      </c>
      <c r="I113" s="237">
        <f>'[16]data SM(64)'!I108</f>
        <v>1198.6226647499802</v>
      </c>
      <c r="J113" s="246">
        <f>'[16]data SM(64)'!J108</f>
        <v>3631.7251384554343</v>
      </c>
      <c r="K113" s="237">
        <f>'[16]data SM(64)'!K108</f>
        <v>1250.9376785012248</v>
      </c>
      <c r="L113" s="237">
        <f>'[16]data SM(64)'!L108</f>
        <v>1242.0025565833457</v>
      </c>
      <c r="M113" s="237">
        <f>'[16]data SM(64)'!M108</f>
        <v>1186.4553863777721</v>
      </c>
      <c r="N113" s="246">
        <f>'[16]data SM(64)'!N108</f>
        <v>3679.3956214623422</v>
      </c>
      <c r="O113" s="237">
        <f>'[16]data SM(64)'!O108</f>
        <v>1179.289812676933</v>
      </c>
      <c r="P113" s="237">
        <f>'[16]data SM(64)'!P108</f>
        <v>1141.0535823854684</v>
      </c>
      <c r="Q113" s="237">
        <f>'[16]data SM(64)'!Q108</f>
        <v>1181.2666880719055</v>
      </c>
      <c r="R113" s="246">
        <f>'[16]data SM(64)'!R108</f>
        <v>3501.6100831343065</v>
      </c>
      <c r="S113" s="245">
        <f>'[16]data SM(64)'!S108</f>
        <v>14339.967704678904</v>
      </c>
      <c r="U113" s="235">
        <f>'[16]data SM(64)'!U108</f>
        <v>207.0955589548752</v>
      </c>
      <c r="V113" s="235">
        <f>'[16]data SM(64)'!V108</f>
        <v>211.17307514579301</v>
      </c>
      <c r="W113" s="235">
        <f>'[16]data SM(64)'!W108</f>
        <v>212.51380363055026</v>
      </c>
      <c r="X113" s="287">
        <f>'[16]data SM(64)'!X108</f>
        <v>210.23040382478214</v>
      </c>
      <c r="Y113" s="235">
        <f>'[16]data SM(64)'!Y108</f>
        <v>212.01714626593881</v>
      </c>
      <c r="Z113" s="235">
        <f>'[16]data SM(64)'!Z108</f>
        <v>210.09371089455351</v>
      </c>
      <c r="AA113" s="235">
        <f>'[16]data SM(64)'!AA108</f>
        <v>211.48681824509333</v>
      </c>
      <c r="AB113" s="287">
        <f>'[16]data SM(64)'!AB108</f>
        <v>211.18707662705629</v>
      </c>
      <c r="AC113" s="235">
        <f>'[16]data SM(64)'!AC108</f>
        <v>211.96380275906378</v>
      </c>
      <c r="AD113" s="235">
        <f>'[16]data SM(64)'!AD108</f>
        <v>211.00596447487553</v>
      </c>
      <c r="AE113" s="235">
        <f>'[16]data SM(64)'!AE108</f>
        <v>209.85145813386717</v>
      </c>
      <c r="AF113" s="287">
        <f>'[16]data SM(64)'!AF108</f>
        <v>210.95224487247972</v>
      </c>
      <c r="AG113" s="235">
        <f>'[16]data SM(64)'!AG108</f>
        <v>209.61905826434776</v>
      </c>
      <c r="AH113" s="235">
        <f>'[16]data SM(64)'!AH108</f>
        <v>208.07283990612351</v>
      </c>
      <c r="AI113" s="235">
        <f>'[16]data SM(64)'!AI108</f>
        <v>207.9972864964447</v>
      </c>
      <c r="AJ113" s="287">
        <f>'[16]data SM(64)'!AJ108</f>
        <v>208.56839005182903</v>
      </c>
      <c r="AK113" s="286">
        <f>'[16]data SM(64)'!AK108</f>
        <v>210.23194172692857</v>
      </c>
      <c r="AM113" s="234">
        <f>'[16]data SM(64)'!BE108</f>
        <v>186.55951338728261</v>
      </c>
      <c r="AN113" s="234">
        <f>'[16]data SM(64)'!BF108</f>
        <v>186.69154883099901</v>
      </c>
      <c r="AO113" s="234">
        <f>'[16]data SM(64)'!BG108</f>
        <v>186.04535947032775</v>
      </c>
      <c r="AP113" s="240">
        <f>'[16]data SM(64)'!BH108</f>
        <v>186.42175428349029</v>
      </c>
      <c r="AQ113" s="234">
        <f>'[16]data SM(64)'!BI108</f>
        <v>188.8563232139592</v>
      </c>
      <c r="AR113" s="234">
        <f>'[16]data SM(64)'!BJ108</f>
        <v>189.14433812650068</v>
      </c>
      <c r="AS113" s="234">
        <f>'[16]data SM(64)'!BK108</f>
        <v>188.91999584908555</v>
      </c>
      <c r="AT113" s="240">
        <f>'[16]data SM(64)'!BL108</f>
        <v>188.97495099111219</v>
      </c>
      <c r="AU113" s="234">
        <f>'[16]data SM(64)'!BM108</f>
        <v>190.37603502810177</v>
      </c>
      <c r="AV113" s="234">
        <f>'[16]data SM(64)'!BN108</f>
        <v>189.8742469160546</v>
      </c>
      <c r="AW113" s="234">
        <f>'[16]data SM(64)'!BO108</f>
        <v>188.4595572075107</v>
      </c>
      <c r="AX113" s="240">
        <f>'[16]data SM(64)'!BP108</f>
        <v>189.58523381557234</v>
      </c>
      <c r="AY113" s="234">
        <f>'[16]data SM(64)'!BQ108</f>
        <v>181.47971456189097</v>
      </c>
      <c r="AZ113" s="234">
        <f>'[16]data SM(64)'!BR108</f>
        <v>182.79713695458429</v>
      </c>
      <c r="BA113" s="234">
        <f>'[16]data SM(64)'!BS108</f>
        <v>183.20131803848764</v>
      </c>
      <c r="BB113" s="240">
        <f>'[16]data SM(64)'!BT108</f>
        <v>182.48680519154993</v>
      </c>
      <c r="BC113" s="311">
        <f>'[16]data SM(64)'!BU108</f>
        <v>186.87732430106078</v>
      </c>
      <c r="BE113" s="435" t="s">
        <v>393</v>
      </c>
    </row>
    <row r="114" spans="1:58">
      <c r="B114" s="233" t="s">
        <v>185</v>
      </c>
      <c r="C114" s="237">
        <f>'[16]data SM(64)'!C109</f>
        <v>1805.5511250340082</v>
      </c>
      <c r="D114" s="237">
        <f>'[16]data SM(64)'!D109</f>
        <v>1624.1787906378665</v>
      </c>
      <c r="E114" s="237">
        <f>'[16]data SM(64)'!E109</f>
        <v>1726.7924769238482</v>
      </c>
      <c r="F114" s="246">
        <f>'[16]data SM(64)'!F109</f>
        <v>5156.5223925957225</v>
      </c>
      <c r="G114" s="237">
        <f>'[16]data SM(64)'!G109</f>
        <v>1775.0144439329829</v>
      </c>
      <c r="H114" s="237">
        <f>'[16]data SM(64)'!H109</f>
        <v>1880.749411524451</v>
      </c>
      <c r="I114" s="237">
        <f>'[16]data SM(64)'!I109</f>
        <v>1780.644402470668</v>
      </c>
      <c r="J114" s="246">
        <f>'[16]data SM(64)'!J109</f>
        <v>5436.4082579281021</v>
      </c>
      <c r="K114" s="237">
        <f>'[16]data SM(64)'!K109</f>
        <v>278.67961916721782</v>
      </c>
      <c r="L114" s="237">
        <f>'[16]data SM(64)'!L109</f>
        <v>1884.8107637211704</v>
      </c>
      <c r="M114" s="237">
        <f>'[16]data SM(64)'!M109</f>
        <v>1681.3089381245297</v>
      </c>
      <c r="N114" s="246">
        <f>'[16]data SM(64)'!N109</f>
        <v>3844.799321012918</v>
      </c>
      <c r="O114" s="237">
        <f>'[16]data SM(64)'!O109</f>
        <v>1320.4423956725211</v>
      </c>
      <c r="P114" s="237">
        <f>'[16]data SM(64)'!P109</f>
        <v>1728.0618247035147</v>
      </c>
      <c r="Q114" s="237">
        <f>'[16]data SM(64)'!Q109</f>
        <v>1786.4131921707303</v>
      </c>
      <c r="R114" s="246">
        <f>'[16]data SM(64)'!R109</f>
        <v>4834.9174125467662</v>
      </c>
      <c r="S114" s="245">
        <f>'[16]data SM(64)'!S109</f>
        <v>19272.64738408351</v>
      </c>
      <c r="U114" s="235">
        <f>'[16]data SM(64)'!U109</f>
        <v>312.19841658574325</v>
      </c>
      <c r="V114" s="235">
        <f>'[16]data SM(64)'!V109</f>
        <v>310.7070766895485</v>
      </c>
      <c r="W114" s="235">
        <f>'[16]data SM(64)'!W109</f>
        <v>299.40538847710297</v>
      </c>
      <c r="X114" s="287">
        <f>'[16]data SM(64)'!X109</f>
        <v>307.32795671395104</v>
      </c>
      <c r="Y114" s="235">
        <f>'[16]data SM(64)'!Y109</f>
        <v>313.2918566039632</v>
      </c>
      <c r="Z114" s="235">
        <f>'[16]data SM(64)'!Z109</f>
        <v>320.75681702431655</v>
      </c>
      <c r="AA114" s="235">
        <f>'[16]data SM(64)'!AA109</f>
        <v>314.17962481379249</v>
      </c>
      <c r="AB114" s="287">
        <f>'[16]data SM(64)'!AB109</f>
        <v>316.12753593721413</v>
      </c>
      <c r="AC114" s="235">
        <f>'[16]data SM(64)'!AC109</f>
        <v>47.220571292491726</v>
      </c>
      <c r="AD114" s="235">
        <f>'[16]data SM(64)'!AD109</f>
        <v>320.21376360582707</v>
      </c>
      <c r="AE114" s="235">
        <f>'[16]data SM(64)'!AE109</f>
        <v>297.37749627156688</v>
      </c>
      <c r="AF114" s="287">
        <f>'[16]data SM(64)'!AF109</f>
        <v>220.78031815211835</v>
      </c>
      <c r="AG114" s="235">
        <f>'[16]data SM(64)'!AG109</f>
        <v>234.70896508882154</v>
      </c>
      <c r="AH114" s="235">
        <f>'[16]data SM(64)'!AH109</f>
        <v>315.11467730351626</v>
      </c>
      <c r="AI114" s="235">
        <f>'[16]data SM(64)'!AI109</f>
        <v>314.55140510179672</v>
      </c>
      <c r="AJ114" s="287">
        <f>'[16]data SM(64)'!AJ109</f>
        <v>287.83164994581142</v>
      </c>
      <c r="AK114" s="286">
        <f>'[16]data SM(64)'!AK109</f>
        <v>282.79293956041539</v>
      </c>
      <c r="AM114" s="234">
        <f>'[16]data SM(64)'!BE109</f>
        <v>186.55951338728261</v>
      </c>
      <c r="AN114" s="234">
        <f>'[16]data SM(64)'!BF109</f>
        <v>186.69154883099901</v>
      </c>
      <c r="AO114" s="234">
        <f>'[16]data SM(64)'!BG109</f>
        <v>186.04535947032775</v>
      </c>
      <c r="AP114" s="240">
        <f>'[16]data SM(64)'!BH109</f>
        <v>186.42851064926469</v>
      </c>
      <c r="AQ114" s="234">
        <f>'[16]data SM(64)'!BI109</f>
        <v>188.8563232139592</v>
      </c>
      <c r="AR114" s="234">
        <f>'[16]data SM(64)'!BJ109</f>
        <v>189.14433812650068</v>
      </c>
      <c r="AS114" s="234">
        <f>'[16]data SM(64)'!BK109</f>
        <v>188.91999584908555</v>
      </c>
      <c r="AT114" s="240">
        <f>'[16]data SM(64)'!BL109</f>
        <v>188.97673658832133</v>
      </c>
      <c r="AU114" s="234">
        <f>'[16]data SM(64)'!BM109</f>
        <v>190.37603502810177</v>
      </c>
      <c r="AV114" s="234">
        <f>'[16]data SM(64)'!BN109</f>
        <v>189.8742469160546</v>
      </c>
      <c r="AW114" s="234">
        <f>'[16]data SM(64)'!BO109</f>
        <v>188.4595572075107</v>
      </c>
      <c r="AX114" s="240">
        <f>'[16]data SM(64)'!BP109</f>
        <v>189.28905129458767</v>
      </c>
      <c r="AY114" s="234">
        <f>'[16]data SM(64)'!BQ109</f>
        <v>181.47971456189097</v>
      </c>
      <c r="AZ114" s="234">
        <f>'[16]data SM(64)'!BR109</f>
        <v>182.79713695458429</v>
      </c>
      <c r="BA114" s="234">
        <f>'[16]data SM(64)'!BS109</f>
        <v>183.20131803848764</v>
      </c>
      <c r="BB114" s="240">
        <f>'[16]data SM(64)'!BT109</f>
        <v>182.58398666815083</v>
      </c>
      <c r="BC114" s="311">
        <f>'[16]data SM(64)'!BU109</f>
        <v>186.71531805956855</v>
      </c>
      <c r="BE114" s="425" t="e">
        <f>+S117*1000000/BE105/BC2</f>
        <v>#REF!</v>
      </c>
      <c r="BF114" s="294" t="s">
        <v>392</v>
      </c>
    </row>
    <row r="115" spans="1:58">
      <c r="A115" s="434" t="s">
        <v>391</v>
      </c>
      <c r="B115" s="434" t="s">
        <v>390</v>
      </c>
      <c r="C115" s="433">
        <f t="shared" ref="C115:S115" si="106">SUM(C109:C114)</f>
        <v>5543.1148044620513</v>
      </c>
      <c r="D115" s="433">
        <f t="shared" si="106"/>
        <v>5035.2538971696076</v>
      </c>
      <c r="E115" s="433">
        <f t="shared" si="106"/>
        <v>5594.8059318476971</v>
      </c>
      <c r="F115" s="432">
        <f t="shared" si="106"/>
        <v>16173.174633479353</v>
      </c>
      <c r="G115" s="433">
        <f t="shared" si="106"/>
        <v>5508.6821754776811</v>
      </c>
      <c r="H115" s="433">
        <f t="shared" si="106"/>
        <v>5728.8856363885761</v>
      </c>
      <c r="I115" s="433">
        <f t="shared" si="106"/>
        <v>5533.578578313427</v>
      </c>
      <c r="J115" s="432">
        <f t="shared" si="106"/>
        <v>16771.146390179681</v>
      </c>
      <c r="K115" s="433">
        <f t="shared" si="106"/>
        <v>4243.7881747323454</v>
      </c>
      <c r="L115" s="433">
        <f t="shared" si="106"/>
        <v>5801.8649024919796</v>
      </c>
      <c r="M115" s="433">
        <f t="shared" si="106"/>
        <v>5067.894205355783</v>
      </c>
      <c r="N115" s="432">
        <f t="shared" si="106"/>
        <v>15113.547282580108</v>
      </c>
      <c r="O115" s="433">
        <f t="shared" si="106"/>
        <v>4056.2957653250232</v>
      </c>
      <c r="P115" s="433">
        <f t="shared" si="106"/>
        <v>5333.2807547781831</v>
      </c>
      <c r="Q115" s="433">
        <f t="shared" si="106"/>
        <v>5427.2245871808318</v>
      </c>
      <c r="R115" s="432">
        <f t="shared" si="106"/>
        <v>14816.801107284038</v>
      </c>
      <c r="S115" s="431">
        <f t="shared" si="106"/>
        <v>62874.669413523181</v>
      </c>
      <c r="U115" s="430">
        <f t="shared" ref="U115:AK115" si="107">SUM(U109:U114)</f>
        <v>958.46173553986091</v>
      </c>
      <c r="V115" s="430">
        <f t="shared" si="107"/>
        <v>963.24926036301758</v>
      </c>
      <c r="W115" s="430">
        <f t="shared" si="107"/>
        <v>970.07316505278754</v>
      </c>
      <c r="X115" s="429">
        <f t="shared" si="107"/>
        <v>963.95068009485101</v>
      </c>
      <c r="Y115" s="430">
        <f t="shared" si="107"/>
        <v>972.28801269502299</v>
      </c>
      <c r="Z115" s="430">
        <f t="shared" si="107"/>
        <v>977.04622985093317</v>
      </c>
      <c r="AA115" s="430">
        <f t="shared" si="107"/>
        <v>976.3530771219157</v>
      </c>
      <c r="AB115" s="429">
        <f t="shared" si="107"/>
        <v>975.24907494381421</v>
      </c>
      <c r="AC115" s="430">
        <f t="shared" si="107"/>
        <v>719.08416788433453</v>
      </c>
      <c r="AD115" s="430">
        <f t="shared" si="107"/>
        <v>985.68887238928733</v>
      </c>
      <c r="AE115" s="430">
        <f t="shared" si="107"/>
        <v>896.37166375800211</v>
      </c>
      <c r="AF115" s="429">
        <f t="shared" si="107"/>
        <v>866.72950175241681</v>
      </c>
      <c r="AG115" s="430">
        <f t="shared" si="107"/>
        <v>721.00758374144198</v>
      </c>
      <c r="AH115" s="430">
        <f t="shared" si="107"/>
        <v>972.53178097335842</v>
      </c>
      <c r="AI115" s="430">
        <f t="shared" si="107"/>
        <v>955.62500723942003</v>
      </c>
      <c r="AJ115" s="429">
        <f t="shared" si="107"/>
        <v>882.08221466964642</v>
      </c>
      <c r="AK115" s="428">
        <f t="shared" si="107"/>
        <v>921.62713681987248</v>
      </c>
      <c r="AM115" s="427">
        <f t="shared" ref="AM115:BC115" si="108">+C115/(U115*C$2/1000)</f>
        <v>186.55951338728264</v>
      </c>
      <c r="AN115" s="427">
        <f t="shared" si="108"/>
        <v>186.69154883099904</v>
      </c>
      <c r="AO115" s="427">
        <f t="shared" si="108"/>
        <v>186.04535947032775</v>
      </c>
      <c r="AP115" s="414">
        <f t="shared" si="108"/>
        <v>186.422338904632</v>
      </c>
      <c r="AQ115" s="427">
        <f t="shared" si="108"/>
        <v>188.85632321395926</v>
      </c>
      <c r="AR115" s="427">
        <f t="shared" si="108"/>
        <v>189.14433812650071</v>
      </c>
      <c r="AS115" s="427">
        <f t="shared" si="108"/>
        <v>188.91999584908558</v>
      </c>
      <c r="AT115" s="414">
        <f t="shared" si="108"/>
        <v>188.97563372783947</v>
      </c>
      <c r="AU115" s="427">
        <f t="shared" si="108"/>
        <v>190.37603502810174</v>
      </c>
      <c r="AV115" s="427">
        <f t="shared" si="108"/>
        <v>189.87424691605457</v>
      </c>
      <c r="AW115" s="427">
        <f t="shared" si="108"/>
        <v>188.4595572075107</v>
      </c>
      <c r="AX115" s="414">
        <f t="shared" si="108"/>
        <v>189.5374364458381</v>
      </c>
      <c r="AY115" s="427">
        <f t="shared" si="108"/>
        <v>181.47971456189097</v>
      </c>
      <c r="AZ115" s="427">
        <f t="shared" si="108"/>
        <v>182.79713695458429</v>
      </c>
      <c r="BA115" s="427">
        <f t="shared" si="108"/>
        <v>183.20131803848761</v>
      </c>
      <c r="BB115" s="414">
        <f t="shared" si="108"/>
        <v>182.5818311154319</v>
      </c>
      <c r="BC115" s="426">
        <f t="shared" si="108"/>
        <v>186.90787344936345</v>
      </c>
      <c r="BE115" s="425" t="e">
        <f>+((#REF!-#REF!-#REF!-#REF!)*1000000)/BE105/BC2</f>
        <v>#REF!</v>
      </c>
      <c r="BF115" s="294" t="s">
        <v>389</v>
      </c>
    </row>
    <row r="116" spans="1:58">
      <c r="A116" s="294" t="s">
        <v>388</v>
      </c>
      <c r="C116" s="237">
        <f>'[16]data SM(64)'!C113</f>
        <v>88.535284413454946</v>
      </c>
      <c r="D116" s="237">
        <f>'[16]data SM(64)'!D113</f>
        <v>84.742891234221389</v>
      </c>
      <c r="E116" s="237">
        <f>'[16]data SM(64)'!E113</f>
        <v>90.1084606019094</v>
      </c>
      <c r="F116" s="246">
        <f>'[16]data SM(64)'!F113</f>
        <v>263.38663624958576</v>
      </c>
      <c r="G116" s="237">
        <f>'[16]data SM(64)'!G113</f>
        <v>83.91266614989118</v>
      </c>
      <c r="H116" s="237">
        <f>'[16]data SM(64)'!H113</f>
        <v>109.87813702045121</v>
      </c>
      <c r="I116" s="237">
        <f>'[16]data SM(64)'!I113</f>
        <v>91.700725287988789</v>
      </c>
      <c r="J116" s="246">
        <f>'[16]data SM(64)'!J113</f>
        <v>285.49152845833117</v>
      </c>
      <c r="K116" s="237">
        <f>'[16]data SM(64)'!K113</f>
        <v>86.833827569605134</v>
      </c>
      <c r="L116" s="237">
        <f>'[16]data SM(64)'!L113</f>
        <v>98.651132059624629</v>
      </c>
      <c r="M116" s="237">
        <f>'[16]data SM(64)'!M113</f>
        <v>86.82748064890022</v>
      </c>
      <c r="N116" s="246">
        <f>'[16]data SM(64)'!N113</f>
        <v>272.31244027813</v>
      </c>
      <c r="O116" s="237">
        <f>'[16]data SM(64)'!O113</f>
        <v>82.794771100074115</v>
      </c>
      <c r="P116" s="237">
        <f>'[16]data SM(64)'!P113</f>
        <v>80.553161028394285</v>
      </c>
      <c r="Q116" s="237">
        <f>'[16]data SM(64)'!Q113</f>
        <v>83.255749956442216</v>
      </c>
      <c r="R116" s="246">
        <f>'[16]data SM(64)'!R113</f>
        <v>246.60368208491064</v>
      </c>
      <c r="S116" s="245">
        <f>'[16]data SM(64)'!S113</f>
        <v>1067.7942870709576</v>
      </c>
      <c r="U116" s="235">
        <f>'[16]data SM(64)'!U113</f>
        <v>15.308664054211397</v>
      </c>
      <c r="V116" s="235">
        <f>'[16]data SM(64)'!V113</f>
        <v>16.211402437575597</v>
      </c>
      <c r="W116" s="235">
        <f>'[16]data SM(64)'!W113</f>
        <v>15.6237411339951</v>
      </c>
      <c r="X116" s="287">
        <f>'[16]data SM(64)'!X113</f>
        <v>15.698042545405757</v>
      </c>
      <c r="Y116" s="235">
        <f>'[16]data SM(64)'!Y113</f>
        <v>14.810671012027276</v>
      </c>
      <c r="Z116" s="235">
        <f>'[16]data SM(64)'!Z113</f>
        <v>18.739424441810314</v>
      </c>
      <c r="AA116" s="235">
        <f>'[16]data SM(64)'!AA113</f>
        <v>16.179816377800091</v>
      </c>
      <c r="AB116" s="287">
        <f>'[16]data SM(64)'!AB113</f>
        <v>16.600404169131217</v>
      </c>
      <c r="AC116" s="235">
        <f>'[16]data SM(64)'!AC113</f>
        <v>14.713465439645654</v>
      </c>
      <c r="AD116" s="235">
        <f>'[16]data SM(64)'!AD113</f>
        <v>16.760011609028066</v>
      </c>
      <c r="AE116" s="235">
        <f>'[16]data SM(64)'!AE113</f>
        <v>15.357402924259848</v>
      </c>
      <c r="AF116" s="287">
        <f>'[16]data SM(64)'!AF113</f>
        <v>15.613042133007399</v>
      </c>
      <c r="AG116" s="235">
        <f>'[16]data SM(64)'!AG113</f>
        <v>14.716791208272978</v>
      </c>
      <c r="AH116" s="235">
        <f>'[16]data SM(64)'!AH113</f>
        <v>14.6889902782244</v>
      </c>
      <c r="AI116" s="235">
        <f>'[16]data SM(64)'!AI113</f>
        <v>14.659661743642063</v>
      </c>
      <c r="AJ116" s="287">
        <f>'[16]data SM(64)'!AJ113</f>
        <v>14.688475541914114</v>
      </c>
      <c r="AK116" s="286">
        <f>'[16]data SM(64)'!AK113</f>
        <v>15.647123930329421</v>
      </c>
      <c r="AM116" s="234">
        <f>'[16]data SM(64)'!BE113</f>
        <v>186.55951338728261</v>
      </c>
      <c r="AN116" s="234">
        <f>'[16]data SM(64)'!BF113</f>
        <v>186.69154883099901</v>
      </c>
      <c r="AO116" s="234">
        <f>'[16]data SM(64)'!BG113</f>
        <v>186.04535947032775</v>
      </c>
      <c r="AP116" s="240">
        <f>'[16]data SM(64)'!BH113</f>
        <v>186.42567518123067</v>
      </c>
      <c r="AQ116" s="234">
        <f>'[16]data SM(64)'!BI113</f>
        <v>188.8563232139592</v>
      </c>
      <c r="AR116" s="234">
        <f>'[16]data SM(64)'!BJ113</f>
        <v>189.14433812650068</v>
      </c>
      <c r="AS116" s="234">
        <f>'[16]data SM(64)'!BK113</f>
        <v>188.91999584908555</v>
      </c>
      <c r="AT116" s="240">
        <f>'[16]data SM(64)'!BL113</f>
        <v>188.98753979327566</v>
      </c>
      <c r="AU116" s="234">
        <f>'[16]data SM(64)'!BM113</f>
        <v>190.37603502810177</v>
      </c>
      <c r="AV116" s="234">
        <f>'[16]data SM(64)'!BN113</f>
        <v>189.8742469160546</v>
      </c>
      <c r="AW116" s="234">
        <f>'[16]data SM(64)'!BO113</f>
        <v>188.4595572075107</v>
      </c>
      <c r="AX116" s="240">
        <f>'[16]data SM(64)'!BP113</f>
        <v>189.57982716594171</v>
      </c>
      <c r="AY116" s="234">
        <f>'[16]data SM(64)'!BQ113</f>
        <v>181.47971456189097</v>
      </c>
      <c r="AZ116" s="234">
        <f>'[16]data SM(64)'!BR113</f>
        <v>182.79713695458429</v>
      </c>
      <c r="BA116" s="234">
        <f>'[16]data SM(64)'!BS113</f>
        <v>183.20131803848764</v>
      </c>
      <c r="BB116" s="240">
        <f>'[16]data SM(64)'!BT113</f>
        <v>182.48829142424844</v>
      </c>
      <c r="BC116" s="311">
        <f>'[16]data SM(64)'!BU113</f>
        <v>186.96495363750947</v>
      </c>
      <c r="BE116" s="294" t="e">
        <f>+BE107-BE114-BE115</f>
        <v>#REF!</v>
      </c>
      <c r="BF116" s="294" t="s">
        <v>387</v>
      </c>
    </row>
    <row r="117" spans="1:58" s="294" customFormat="1">
      <c r="A117" s="424" t="s">
        <v>386</v>
      </c>
      <c r="B117" s="423"/>
      <c r="C117" s="422">
        <f t="shared" ref="C117:S117" si="109">+C115+C116</f>
        <v>5631.6500888755063</v>
      </c>
      <c r="D117" s="422">
        <f t="shared" si="109"/>
        <v>5119.9967884038288</v>
      </c>
      <c r="E117" s="422">
        <f t="shared" si="109"/>
        <v>5684.9143924496066</v>
      </c>
      <c r="F117" s="421">
        <f t="shared" si="109"/>
        <v>16436.56126972894</v>
      </c>
      <c r="G117" s="422">
        <f t="shared" si="109"/>
        <v>5592.5948416275724</v>
      </c>
      <c r="H117" s="422">
        <f t="shared" si="109"/>
        <v>5838.7637734090276</v>
      </c>
      <c r="I117" s="422">
        <f t="shared" si="109"/>
        <v>5625.2793036014154</v>
      </c>
      <c r="J117" s="421">
        <f t="shared" si="109"/>
        <v>17056.637918638011</v>
      </c>
      <c r="K117" s="422">
        <f t="shared" si="109"/>
        <v>4330.6220023019505</v>
      </c>
      <c r="L117" s="422">
        <f t="shared" si="109"/>
        <v>5900.5160345516042</v>
      </c>
      <c r="M117" s="422">
        <f t="shared" si="109"/>
        <v>5154.7216860046829</v>
      </c>
      <c r="N117" s="421">
        <f t="shared" si="109"/>
        <v>15385.859722858238</v>
      </c>
      <c r="O117" s="422">
        <f t="shared" si="109"/>
        <v>4139.0905364250975</v>
      </c>
      <c r="P117" s="422">
        <f t="shared" si="109"/>
        <v>5413.8339158065774</v>
      </c>
      <c r="Q117" s="422">
        <f t="shared" si="109"/>
        <v>5510.4803371372736</v>
      </c>
      <c r="R117" s="421">
        <f t="shared" si="109"/>
        <v>15063.404789368949</v>
      </c>
      <c r="S117" s="420">
        <f t="shared" si="109"/>
        <v>63942.46370059414</v>
      </c>
      <c r="T117" s="416"/>
      <c r="U117" s="419">
        <f t="shared" ref="U117:AK117" si="110">+U115+U116</f>
        <v>973.77039959407227</v>
      </c>
      <c r="V117" s="419">
        <f t="shared" si="110"/>
        <v>979.46066280059313</v>
      </c>
      <c r="W117" s="419">
        <f t="shared" si="110"/>
        <v>985.6969061867826</v>
      </c>
      <c r="X117" s="418">
        <f t="shared" si="110"/>
        <v>979.64872264025678</v>
      </c>
      <c r="Y117" s="419">
        <f t="shared" si="110"/>
        <v>987.09868370705021</v>
      </c>
      <c r="Z117" s="419">
        <f t="shared" si="110"/>
        <v>995.78565429274352</v>
      </c>
      <c r="AA117" s="419">
        <f t="shared" si="110"/>
        <v>992.53289349971578</v>
      </c>
      <c r="AB117" s="418">
        <f t="shared" si="110"/>
        <v>991.84947911294546</v>
      </c>
      <c r="AC117" s="419">
        <f t="shared" si="110"/>
        <v>733.79763332398022</v>
      </c>
      <c r="AD117" s="419">
        <f t="shared" si="110"/>
        <v>1002.4488839983154</v>
      </c>
      <c r="AE117" s="419">
        <f t="shared" si="110"/>
        <v>911.72906668226199</v>
      </c>
      <c r="AF117" s="418">
        <f t="shared" si="110"/>
        <v>882.34254388542422</v>
      </c>
      <c r="AG117" s="419">
        <f t="shared" si="110"/>
        <v>735.72437494971496</v>
      </c>
      <c r="AH117" s="419">
        <f t="shared" si="110"/>
        <v>987.22077125158285</v>
      </c>
      <c r="AI117" s="419">
        <f t="shared" si="110"/>
        <v>970.28466898306215</v>
      </c>
      <c r="AJ117" s="418">
        <f t="shared" si="110"/>
        <v>896.77069021156058</v>
      </c>
      <c r="AK117" s="417">
        <f t="shared" si="110"/>
        <v>937.27426075020185</v>
      </c>
      <c r="AL117" s="416"/>
      <c r="AM117" s="415">
        <f t="shared" ref="AM117:BC117" si="111">+C117/(U117*C$2/1000)</f>
        <v>186.55951338728264</v>
      </c>
      <c r="AN117" s="415">
        <f t="shared" si="111"/>
        <v>186.69154883099901</v>
      </c>
      <c r="AO117" s="415">
        <f t="shared" si="111"/>
        <v>186.04535947032772</v>
      </c>
      <c r="AP117" s="414">
        <f t="shared" si="111"/>
        <v>186.42239236564387</v>
      </c>
      <c r="AQ117" s="415">
        <f t="shared" si="111"/>
        <v>188.85632321395926</v>
      </c>
      <c r="AR117" s="415">
        <f t="shared" si="111"/>
        <v>189.14433812650068</v>
      </c>
      <c r="AS117" s="415">
        <f t="shared" si="111"/>
        <v>188.91999584908555</v>
      </c>
      <c r="AT117" s="414">
        <f t="shared" si="111"/>
        <v>188.97583299748922</v>
      </c>
      <c r="AU117" s="415">
        <f t="shared" si="111"/>
        <v>190.37603502810171</v>
      </c>
      <c r="AV117" s="415">
        <f t="shared" si="111"/>
        <v>189.8742469160546</v>
      </c>
      <c r="AW117" s="415">
        <f t="shared" si="111"/>
        <v>188.45955720751073</v>
      </c>
      <c r="AX117" s="414">
        <f t="shared" si="111"/>
        <v>189.53818654918925</v>
      </c>
      <c r="AY117" s="415">
        <f t="shared" si="111"/>
        <v>181.47971456189097</v>
      </c>
      <c r="AZ117" s="415">
        <f t="shared" si="111"/>
        <v>182.79713695458429</v>
      </c>
      <c r="BA117" s="415">
        <f t="shared" si="111"/>
        <v>183.20131803848759</v>
      </c>
      <c r="BB117" s="414">
        <f t="shared" si="111"/>
        <v>182.58029900083324</v>
      </c>
      <c r="BC117" s="413">
        <f t="shared" si="111"/>
        <v>186.90882636231041</v>
      </c>
    </row>
    <row r="118" spans="1:58">
      <c r="B118" s="412">
        <v>1.05</v>
      </c>
      <c r="C118" s="411"/>
      <c r="D118" s="411"/>
      <c r="E118" s="411"/>
      <c r="F118" s="410" t="s">
        <v>385</v>
      </c>
    </row>
    <row r="119" spans="1:58" ht="23.5">
      <c r="A119" s="1388" t="s">
        <v>384</v>
      </c>
      <c r="B119" s="1388"/>
      <c r="C119" s="269" t="s">
        <v>315</v>
      </c>
      <c r="D119" s="269"/>
      <c r="E119" s="269"/>
      <c r="F119" s="268" t="str">
        <f>+C119</f>
        <v>MMBAHT</v>
      </c>
      <c r="G119" s="269"/>
      <c r="H119" s="269"/>
      <c r="I119" s="269"/>
      <c r="J119" s="268"/>
      <c r="K119" s="268"/>
      <c r="L119" s="268"/>
      <c r="M119" s="268"/>
      <c r="N119" s="268"/>
      <c r="O119" s="268"/>
      <c r="P119" s="268"/>
      <c r="Q119" s="268"/>
      <c r="R119" s="267"/>
      <c r="S119" s="267"/>
      <c r="AJ119" s="409"/>
      <c r="AK119" s="409"/>
    </row>
    <row r="120" spans="1:58">
      <c r="A120" s="261"/>
      <c r="B120" s="261"/>
      <c r="C120" s="260" t="s">
        <v>311</v>
      </c>
      <c r="D120" s="260" t="s">
        <v>310</v>
      </c>
      <c r="E120" s="260" t="s">
        <v>182</v>
      </c>
      <c r="F120" s="258" t="s">
        <v>309</v>
      </c>
      <c r="G120" s="260" t="s">
        <v>308</v>
      </c>
      <c r="H120" s="260" t="s">
        <v>307</v>
      </c>
      <c r="I120" s="260" t="s">
        <v>306</v>
      </c>
      <c r="J120" s="258" t="s">
        <v>305</v>
      </c>
      <c r="K120" s="259" t="s">
        <v>304</v>
      </c>
      <c r="L120" s="259" t="s">
        <v>303</v>
      </c>
      <c r="M120" s="259" t="s">
        <v>302</v>
      </c>
      <c r="N120" s="258" t="s">
        <v>301</v>
      </c>
      <c r="O120" s="259" t="s">
        <v>300</v>
      </c>
      <c r="P120" s="259" t="s">
        <v>299</v>
      </c>
      <c r="Q120" s="259" t="s">
        <v>298</v>
      </c>
      <c r="R120" s="258" t="s">
        <v>297</v>
      </c>
      <c r="S120" s="257" t="s">
        <v>312</v>
      </c>
      <c r="Y120" s="321"/>
      <c r="AM120" s="408"/>
      <c r="AN120" s="408"/>
      <c r="AO120" s="408"/>
      <c r="AP120" s="408"/>
      <c r="AQ120" s="408"/>
      <c r="AR120" s="408"/>
      <c r="AS120" s="408"/>
      <c r="AT120" s="408"/>
      <c r="AU120" s="408"/>
      <c r="AV120" s="408"/>
      <c r="AW120" s="408"/>
      <c r="AX120" s="408"/>
      <c r="AY120" s="408"/>
      <c r="AZ120" s="408"/>
      <c r="BA120" s="408"/>
    </row>
    <row r="121" spans="1:58">
      <c r="A121" s="233" t="s">
        <v>383</v>
      </c>
      <c r="B121" s="233" t="s">
        <v>382</v>
      </c>
      <c r="C121" s="387">
        <v>21</v>
      </c>
      <c r="D121" s="387">
        <v>21</v>
      </c>
      <c r="E121" s="387">
        <v>21</v>
      </c>
      <c r="F121" s="373">
        <f>SUM(C121:E121)</f>
        <v>63</v>
      </c>
      <c r="G121" s="387">
        <v>21</v>
      </c>
      <c r="H121" s="387">
        <v>21</v>
      </c>
      <c r="I121" s="387">
        <v>21</v>
      </c>
      <c r="J121" s="373">
        <f>SUM(G121:I121)</f>
        <v>63</v>
      </c>
      <c r="K121" s="387">
        <v>21</v>
      </c>
      <c r="L121" s="387">
        <v>21</v>
      </c>
      <c r="M121" s="387">
        <v>21</v>
      </c>
      <c r="N121" s="373">
        <f>SUM(K121:M121)</f>
        <v>63</v>
      </c>
      <c r="O121" s="387">
        <v>21</v>
      </c>
      <c r="P121" s="387">
        <v>21</v>
      </c>
      <c r="Q121" s="387">
        <v>21</v>
      </c>
      <c r="R121" s="373">
        <f>SUM(O121:Q121)</f>
        <v>63</v>
      </c>
      <c r="S121" s="245">
        <f>+F121+J121+N121+R121</f>
        <v>252</v>
      </c>
      <c r="Y121" s="321"/>
    </row>
    <row r="122" spans="1:58">
      <c r="C122" s="388"/>
      <c r="D122" s="388"/>
      <c r="E122" s="388"/>
      <c r="F122" s="373"/>
      <c r="G122" s="388"/>
      <c r="H122" s="388"/>
      <c r="I122" s="388"/>
      <c r="J122" s="373"/>
      <c r="K122" s="387"/>
      <c r="L122" s="387"/>
      <c r="M122" s="387"/>
      <c r="N122" s="373"/>
      <c r="O122" s="387"/>
      <c r="P122" s="387"/>
      <c r="Q122" s="387"/>
      <c r="R122" s="373"/>
      <c r="S122" s="245"/>
      <c r="Y122" s="321"/>
    </row>
    <row r="123" spans="1:58">
      <c r="A123" s="233" t="s">
        <v>381</v>
      </c>
      <c r="B123" s="407" t="s">
        <v>380</v>
      </c>
      <c r="C123" s="389" t="e">
        <f>C185+#REF!</f>
        <v>#REF!</v>
      </c>
      <c r="D123" s="389" t="e">
        <f>D185+#REF!</f>
        <v>#REF!</v>
      </c>
      <c r="E123" s="389" t="e">
        <f>E185+#REF!</f>
        <v>#REF!</v>
      </c>
      <c r="F123" s="361" t="e">
        <f>SUM(C123:E123)</f>
        <v>#REF!</v>
      </c>
      <c r="G123" s="389" t="e">
        <f>G185+#REF!</f>
        <v>#REF!</v>
      </c>
      <c r="H123" s="389" t="e">
        <f>H185+#REF!</f>
        <v>#REF!</v>
      </c>
      <c r="I123" s="389" t="e">
        <f>I185+#REF!</f>
        <v>#REF!</v>
      </c>
      <c r="J123" s="361" t="e">
        <f>SUM(G123:I123)</f>
        <v>#REF!</v>
      </c>
      <c r="K123" s="389" t="e">
        <f>K185+#REF!</f>
        <v>#REF!</v>
      </c>
      <c r="L123" s="389" t="e">
        <f>L185+#REF!</f>
        <v>#REF!</v>
      </c>
      <c r="M123" s="389" t="e">
        <f>M185+#REF!</f>
        <v>#REF!</v>
      </c>
      <c r="N123" s="361" t="e">
        <f>SUM(K123:M123)</f>
        <v>#REF!</v>
      </c>
      <c r="O123" s="389" t="e">
        <f>O185+#REF!</f>
        <v>#REF!</v>
      </c>
      <c r="P123" s="389" t="e">
        <f>P185+#REF!</f>
        <v>#REF!</v>
      </c>
      <c r="Q123" s="389" t="e">
        <f>Q185+#REF!</f>
        <v>#REF!</v>
      </c>
      <c r="R123" s="361" t="e">
        <f>SUM(O123:Q123)</f>
        <v>#REF!</v>
      </c>
      <c r="S123" s="245" t="e">
        <f t="shared" ref="S123:S130" si="112">+F123+J123+N123+R123</f>
        <v>#REF!</v>
      </c>
      <c r="Y123" s="321"/>
      <c r="AK123" s="386"/>
      <c r="AM123" s="384"/>
      <c r="AN123" s="384"/>
      <c r="AO123" s="384"/>
      <c r="AP123" s="384"/>
      <c r="AQ123" s="384"/>
      <c r="AR123" s="384"/>
      <c r="AS123" s="384"/>
      <c r="AT123" s="384"/>
      <c r="AU123" s="384"/>
      <c r="AV123" s="384"/>
      <c r="AW123" s="384"/>
      <c r="AX123" s="384"/>
      <c r="AY123" s="384"/>
      <c r="AZ123" s="384"/>
      <c r="BA123" s="384"/>
      <c r="BB123" s="384"/>
      <c r="BC123" s="384"/>
    </row>
    <row r="124" spans="1:58">
      <c r="B124" s="233" t="s">
        <v>379</v>
      </c>
      <c r="C124" s="406">
        <f>+C117/$S117*$V$124</f>
        <v>-606.15851076937224</v>
      </c>
      <c r="D124" s="406">
        <f>+D117/$S117*$V$124</f>
        <v>-551.08708450004701</v>
      </c>
      <c r="E124" s="406">
        <f>+E117/$S117*$V$124</f>
        <v>-611.89157486641579</v>
      </c>
      <c r="F124" s="403">
        <f>SUM(C124:E124)</f>
        <v>-1769.137170135835</v>
      </c>
      <c r="G124" s="406">
        <f>+G117/$S117*$V$124</f>
        <v>-601.95482798796127</v>
      </c>
      <c r="H124" s="406">
        <f>+H117/$S117*$V$124</f>
        <v>-628.45103970770072</v>
      </c>
      <c r="I124" s="406">
        <f>+I117/$S117*$V$124</f>
        <v>-605.47279598716261</v>
      </c>
      <c r="J124" s="403">
        <f>SUM(G124:I124)</f>
        <v>-1835.8786636828245</v>
      </c>
      <c r="K124" s="406">
        <f>+K117/$S117*$V$124</f>
        <v>-466.12331060940971</v>
      </c>
      <c r="L124" s="406">
        <f>+L117/$S117*$V$124</f>
        <v>-635.09769886800007</v>
      </c>
      <c r="M124" s="406">
        <f>+M117/$S117*$V$124</f>
        <v>-554.82467328560233</v>
      </c>
      <c r="N124" s="403">
        <f>SUM(K124:M124)</f>
        <v>-1656.0456827630121</v>
      </c>
      <c r="O124" s="406">
        <f>+O117/$S117*$V$124</f>
        <v>-445.50796230310715</v>
      </c>
      <c r="P124" s="406">
        <f>+P117/$S117*$V$124</f>
        <v>-582.71402735770687</v>
      </c>
      <c r="Q124" s="406">
        <f>+Q117/$S117*$V$124</f>
        <v>-593.11649375751506</v>
      </c>
      <c r="R124" s="403">
        <f>SUM(O124:Q124)</f>
        <v>-1621.3384834183289</v>
      </c>
      <c r="S124" s="402">
        <f t="shared" si="112"/>
        <v>-6882.4000000000005</v>
      </c>
      <c r="V124" s="405">
        <f>-[14]ค่าใช้จ่ายทำการ64!$R$6</f>
        <v>-6882.4000000000005</v>
      </c>
      <c r="W124" s="236" t="s">
        <v>378</v>
      </c>
      <c r="Y124" s="321"/>
      <c r="AK124" s="386"/>
      <c r="AM124" s="400"/>
      <c r="AN124" s="400"/>
      <c r="AO124" s="400"/>
      <c r="AP124" s="384"/>
      <c r="AQ124" s="400"/>
      <c r="AR124" s="400"/>
      <c r="AS124" s="400"/>
      <c r="AT124" s="384"/>
      <c r="AU124" s="400"/>
      <c r="AV124" s="400"/>
      <c r="AW124" s="400"/>
      <c r="AX124" s="384"/>
      <c r="AY124" s="400"/>
      <c r="AZ124" s="400"/>
      <c r="BA124" s="400"/>
      <c r="BB124" s="384"/>
      <c r="BC124" s="384"/>
    </row>
    <row r="125" spans="1:58">
      <c r="B125" s="233" t="s">
        <v>377</v>
      </c>
      <c r="C125" s="404" t="e">
        <f>-C92</f>
        <v>#REF!</v>
      </c>
      <c r="D125" s="404" t="e">
        <f>-D92</f>
        <v>#REF!</v>
      </c>
      <c r="E125" s="404" t="e">
        <f>-E92</f>
        <v>#REF!</v>
      </c>
      <c r="F125" s="369" t="e">
        <f>SUM(C125:E125)</f>
        <v>#REF!</v>
      </c>
      <c r="G125" s="404" t="e">
        <f>-G92</f>
        <v>#REF!</v>
      </c>
      <c r="H125" s="404" t="e">
        <f>-H92</f>
        <v>#REF!</v>
      </c>
      <c r="I125" s="404" t="e">
        <f>-I92</f>
        <v>#REF!</v>
      </c>
      <c r="J125" s="403" t="e">
        <f>SUM(G125:I125)</f>
        <v>#REF!</v>
      </c>
      <c r="K125" s="404" t="e">
        <f>-K92</f>
        <v>#REF!</v>
      </c>
      <c r="L125" s="404" t="e">
        <f>-L92</f>
        <v>#REF!</v>
      </c>
      <c r="M125" s="404" t="e">
        <f>-M92</f>
        <v>#REF!</v>
      </c>
      <c r="N125" s="403" t="e">
        <f>SUM(K125:M125)</f>
        <v>#REF!</v>
      </c>
      <c r="O125" s="404" t="e">
        <f>-O92</f>
        <v>#REF!</v>
      </c>
      <c r="P125" s="404" t="e">
        <f>-P92</f>
        <v>#REF!</v>
      </c>
      <c r="Q125" s="404" t="e">
        <f>-Q92</f>
        <v>#REF!</v>
      </c>
      <c r="R125" s="403" t="e">
        <f>SUM(O125:Q125)</f>
        <v>#REF!</v>
      </c>
      <c r="S125" s="402" t="e">
        <f t="shared" si="112"/>
        <v>#REF!</v>
      </c>
      <c r="V125" s="401"/>
      <c r="Y125" s="321"/>
      <c r="AK125" s="386"/>
      <c r="AM125" s="400"/>
      <c r="AN125" s="400"/>
      <c r="AO125" s="400"/>
      <c r="AP125" s="384"/>
      <c r="AQ125" s="400"/>
      <c r="AR125" s="400"/>
      <c r="AS125" s="400"/>
      <c r="AT125" s="384"/>
      <c r="AU125" s="400"/>
      <c r="AV125" s="400"/>
      <c r="AW125" s="400"/>
      <c r="AX125" s="384"/>
      <c r="AY125" s="400"/>
      <c r="AZ125" s="400"/>
      <c r="BA125" s="400"/>
      <c r="BB125" s="384"/>
      <c r="BC125" s="384"/>
    </row>
    <row r="126" spans="1:58">
      <c r="A126" s="372" t="s">
        <v>364</v>
      </c>
      <c r="B126" s="371" t="s">
        <v>363</v>
      </c>
      <c r="C126" s="370">
        <f>'[19]DEP&amp;INV'!$CC$100/3</f>
        <v>395.00708397333329</v>
      </c>
      <c r="D126" s="370">
        <f>'[19]DEP&amp;INV'!$CC$100/3</f>
        <v>395.00708397333329</v>
      </c>
      <c r="E126" s="370">
        <f>'[19]DEP&amp;INV'!$CC$100/3</f>
        <v>395.00708397333329</v>
      </c>
      <c r="F126" s="369">
        <f>SUM(C126:E126)</f>
        <v>1185.0212519199999</v>
      </c>
      <c r="G126" s="399">
        <f>'[19]DEP&amp;INV'!$CD$100/3</f>
        <v>395.00708397333329</v>
      </c>
      <c r="H126" s="370">
        <f>'[19]DEP&amp;INV'!$CD$100/3</f>
        <v>395.00708397333329</v>
      </c>
      <c r="I126" s="370">
        <f>'[19]DEP&amp;INV'!$CD$100/3</f>
        <v>395.00708397333329</v>
      </c>
      <c r="J126" s="369">
        <f>SUM(G126:I126)</f>
        <v>1185.0212519199999</v>
      </c>
      <c r="K126" s="399">
        <f>'[19]DEP&amp;INV'!$CE$100/3</f>
        <v>395.00708397333329</v>
      </c>
      <c r="L126" s="399">
        <f>'[19]DEP&amp;INV'!$CE$100/3</f>
        <v>395.00708397333329</v>
      </c>
      <c r="M126" s="399">
        <f>'[19]DEP&amp;INV'!$CE$100/3</f>
        <v>395.00708397333329</v>
      </c>
      <c r="N126" s="369">
        <f>SUM(K126:M126)</f>
        <v>1185.0212519199999</v>
      </c>
      <c r="O126" s="370">
        <f>'[19]DEP&amp;INV'!$CF$100/3</f>
        <v>395.00708397333329</v>
      </c>
      <c r="P126" s="370">
        <f>'[19]DEP&amp;INV'!$CF$100/3</f>
        <v>395.00708397333329</v>
      </c>
      <c r="Q126" s="370">
        <f>'[19]DEP&amp;INV'!$CF$100/3</f>
        <v>395.00708397333329</v>
      </c>
      <c r="R126" s="369">
        <f>SUM(O126:Q126)</f>
        <v>1185.0212519199999</v>
      </c>
      <c r="S126" s="368">
        <f t="shared" si="112"/>
        <v>4740.0850076799998</v>
      </c>
      <c r="T126" s="367"/>
      <c r="U126" s="366"/>
      <c r="V126" s="241">
        <f>+'[19]DEP&amp;INV'!CL100</f>
        <v>4811.8532523599997</v>
      </c>
      <c r="W126" s="365" t="s">
        <v>376</v>
      </c>
      <c r="Y126" s="321"/>
      <c r="AK126" s="386"/>
      <c r="AM126" s="384"/>
      <c r="AN126" s="384"/>
      <c r="AO126" s="384"/>
      <c r="AP126" s="384"/>
      <c r="AQ126" s="384"/>
      <c r="AR126" s="384"/>
      <c r="AS126" s="384"/>
      <c r="AT126" s="384"/>
      <c r="AU126" s="384"/>
      <c r="AV126" s="384"/>
      <c r="AW126" s="384"/>
      <c r="AX126" s="384"/>
      <c r="AY126" s="384"/>
      <c r="AZ126" s="384"/>
      <c r="BA126" s="384"/>
      <c r="BB126" s="384"/>
      <c r="BC126" s="384"/>
    </row>
    <row r="127" spans="1:58">
      <c r="B127" s="233" t="s">
        <v>375</v>
      </c>
      <c r="C127" s="237" t="e">
        <f t="shared" ref="C127:R127" si="113">SUM(C128:C130)</f>
        <v>#REF!</v>
      </c>
      <c r="D127" s="237" t="e">
        <f t="shared" si="113"/>
        <v>#REF!</v>
      </c>
      <c r="E127" s="237" t="e">
        <f t="shared" si="113"/>
        <v>#REF!</v>
      </c>
      <c r="F127" s="246" t="e">
        <f t="shared" si="113"/>
        <v>#REF!</v>
      </c>
      <c r="G127" s="237" t="e">
        <f t="shared" si="113"/>
        <v>#REF!</v>
      </c>
      <c r="H127" s="237" t="e">
        <f t="shared" si="113"/>
        <v>#REF!</v>
      </c>
      <c r="I127" s="237" t="e">
        <f t="shared" si="113"/>
        <v>#REF!</v>
      </c>
      <c r="J127" s="246" t="e">
        <f t="shared" si="113"/>
        <v>#REF!</v>
      </c>
      <c r="K127" s="237" t="e">
        <f t="shared" si="113"/>
        <v>#REF!</v>
      </c>
      <c r="L127" s="237" t="e">
        <f t="shared" si="113"/>
        <v>#REF!</v>
      </c>
      <c r="M127" s="237" t="e">
        <f t="shared" si="113"/>
        <v>#REF!</v>
      </c>
      <c r="N127" s="246" t="e">
        <f t="shared" si="113"/>
        <v>#REF!</v>
      </c>
      <c r="O127" s="237" t="e">
        <f t="shared" si="113"/>
        <v>#REF!</v>
      </c>
      <c r="P127" s="237" t="e">
        <f t="shared" si="113"/>
        <v>#REF!</v>
      </c>
      <c r="Q127" s="237" t="e">
        <f t="shared" si="113"/>
        <v>#REF!</v>
      </c>
      <c r="R127" s="246" t="e">
        <f t="shared" si="113"/>
        <v>#REF!</v>
      </c>
      <c r="S127" s="245" t="e">
        <f t="shared" si="112"/>
        <v>#REF!</v>
      </c>
      <c r="V127" s="398">
        <f>[14]ค่าใช้จ่ายทำการ63!$Q$47+S171</f>
        <v>0</v>
      </c>
      <c r="W127" s="397" t="s">
        <v>374</v>
      </c>
      <c r="X127" s="396"/>
      <c r="Y127" s="321"/>
      <c r="AM127" s="384"/>
      <c r="AN127" s="384"/>
      <c r="AO127" s="384"/>
      <c r="AP127" s="384"/>
      <c r="AQ127" s="384"/>
      <c r="AR127" s="384"/>
      <c r="AS127" s="384"/>
      <c r="AT127" s="384"/>
      <c r="AU127" s="384"/>
      <c r="AV127" s="384"/>
      <c r="AW127" s="384"/>
      <c r="AX127" s="384"/>
      <c r="AY127" s="384"/>
      <c r="AZ127" s="384"/>
      <c r="BA127" s="384"/>
      <c r="BB127" s="384"/>
      <c r="BC127" s="384"/>
    </row>
    <row r="128" spans="1:58">
      <c r="B128" s="233" t="s">
        <v>373</v>
      </c>
      <c r="C128" s="237">
        <f>-C124</f>
        <v>606.15851076937224</v>
      </c>
      <c r="D128" s="237">
        <f>-D124</f>
        <v>551.08708450004701</v>
      </c>
      <c r="E128" s="237">
        <f>-E124</f>
        <v>611.89157486641579</v>
      </c>
      <c r="F128" s="246">
        <f>SUM(C128:E128)</f>
        <v>1769.137170135835</v>
      </c>
      <c r="G128" s="237">
        <f>-G124</f>
        <v>601.95482798796127</v>
      </c>
      <c r="H128" s="237">
        <f>-H124</f>
        <v>628.45103970770072</v>
      </c>
      <c r="I128" s="237">
        <f>-I124</f>
        <v>605.47279598716261</v>
      </c>
      <c r="J128" s="246">
        <f>SUM(G128:I128)</f>
        <v>1835.8786636828245</v>
      </c>
      <c r="K128" s="237">
        <f>-K124</f>
        <v>466.12331060940971</v>
      </c>
      <c r="L128" s="237">
        <f>-L124</f>
        <v>635.09769886800007</v>
      </c>
      <c r="M128" s="237">
        <f>-M124</f>
        <v>554.82467328560233</v>
      </c>
      <c r="N128" s="246">
        <f>SUM(K128:M128)</f>
        <v>1656.0456827630121</v>
      </c>
      <c r="O128" s="237">
        <f>-O124</f>
        <v>445.50796230310715</v>
      </c>
      <c r="P128" s="237">
        <f>-P124</f>
        <v>582.71402735770687</v>
      </c>
      <c r="Q128" s="237">
        <f>-Q124</f>
        <v>593.11649375751506</v>
      </c>
      <c r="R128" s="246">
        <f>SUM(O128:Q128)</f>
        <v>1621.3384834183289</v>
      </c>
      <c r="S128" s="245">
        <f t="shared" si="112"/>
        <v>6882.4000000000005</v>
      </c>
      <c r="V128" s="392">
        <f>-V124</f>
        <v>6882.4000000000005</v>
      </c>
      <c r="Y128" s="321"/>
      <c r="AK128" s="386"/>
      <c r="AM128" s="384"/>
      <c r="AN128" s="384"/>
      <c r="AO128" s="384"/>
      <c r="AP128" s="384"/>
      <c r="AQ128" s="384"/>
      <c r="AR128" s="384"/>
      <c r="AS128" s="384"/>
      <c r="AT128" s="384"/>
      <c r="AU128" s="384"/>
      <c r="AV128" s="384"/>
      <c r="AW128" s="384"/>
      <c r="AX128" s="384"/>
      <c r="AY128" s="384"/>
      <c r="AZ128" s="384"/>
      <c r="BA128" s="384"/>
      <c r="BB128" s="384"/>
      <c r="BC128" s="384"/>
    </row>
    <row r="129" spans="1:55">
      <c r="A129" s="234"/>
      <c r="B129" s="233" t="s">
        <v>336</v>
      </c>
      <c r="C129" s="394" t="e">
        <f>C174+#REF!</f>
        <v>#REF!</v>
      </c>
      <c r="D129" s="394" t="e">
        <f>D174+#REF!</f>
        <v>#REF!</v>
      </c>
      <c r="E129" s="394" t="e">
        <f>E174+#REF!</f>
        <v>#REF!</v>
      </c>
      <c r="F129" s="395" t="e">
        <f>SUM(C129:E129)</f>
        <v>#REF!</v>
      </c>
      <c r="G129" s="394" t="e">
        <f>G174+#REF!</f>
        <v>#REF!</v>
      </c>
      <c r="H129" s="394" t="e">
        <f>H174+#REF!</f>
        <v>#REF!</v>
      </c>
      <c r="I129" s="394" t="e">
        <f>I174+#REF!</f>
        <v>#REF!</v>
      </c>
      <c r="J129" s="395" t="e">
        <f>SUM(G129:I129)</f>
        <v>#REF!</v>
      </c>
      <c r="K129" s="394" t="e">
        <f>K174+#REF!</f>
        <v>#REF!</v>
      </c>
      <c r="L129" s="394" t="e">
        <f>L174+#REF!</f>
        <v>#REF!</v>
      </c>
      <c r="M129" s="394" t="e">
        <f>M174+#REF!</f>
        <v>#REF!</v>
      </c>
      <c r="N129" s="395" t="e">
        <f>SUM(K129:M129)</f>
        <v>#REF!</v>
      </c>
      <c r="O129" s="394" t="e">
        <f>O174+#REF!</f>
        <v>#REF!</v>
      </c>
      <c r="P129" s="394" t="e">
        <f>P174+#REF!</f>
        <v>#REF!</v>
      </c>
      <c r="Q129" s="394" t="e">
        <f>Q174+#REF!</f>
        <v>#REF!</v>
      </c>
      <c r="R129" s="343" t="e">
        <f>SUM(O129:Q129)</f>
        <v>#REF!</v>
      </c>
      <c r="S129" s="342" t="e">
        <f t="shared" si="112"/>
        <v>#REF!</v>
      </c>
      <c r="U129" s="393" t="e">
        <f>S129/V129</f>
        <v>#REF!</v>
      </c>
      <c r="V129" s="392">
        <f>+V127-V128</f>
        <v>-6882.4000000000005</v>
      </c>
      <c r="W129" s="234">
        <v>415.3</v>
      </c>
      <c r="Y129" s="321"/>
      <c r="AK129" s="386"/>
      <c r="AM129" s="384"/>
      <c r="AN129" s="384"/>
      <c r="AO129" s="384"/>
      <c r="AP129" s="384"/>
      <c r="AQ129" s="384"/>
      <c r="AR129" s="384"/>
      <c r="AS129" s="384"/>
      <c r="AT129" s="384"/>
      <c r="AU129" s="384"/>
      <c r="AV129" s="384"/>
      <c r="AW129" s="384"/>
      <c r="AX129" s="384"/>
      <c r="AY129" s="384"/>
      <c r="AZ129" s="384"/>
      <c r="BA129" s="384"/>
      <c r="BB129" s="384"/>
      <c r="BC129" s="391"/>
    </row>
    <row r="130" spans="1:55">
      <c r="A130" s="234"/>
      <c r="B130" s="233" t="s">
        <v>372</v>
      </c>
      <c r="C130" s="390"/>
      <c r="D130" s="389"/>
      <c r="E130" s="389"/>
      <c r="F130" s="361">
        <f>SUM(C130:E130)</f>
        <v>0</v>
      </c>
      <c r="G130" s="389"/>
      <c r="H130" s="389"/>
      <c r="I130" s="389"/>
      <c r="J130" s="361">
        <f>SUM(G130:I130)</f>
        <v>0</v>
      </c>
      <c r="K130" s="389"/>
      <c r="L130" s="389"/>
      <c r="M130" s="389"/>
      <c r="N130" s="361">
        <f>SUM(K130:M130)</f>
        <v>0</v>
      </c>
      <c r="O130" s="389"/>
      <c r="P130" s="389"/>
      <c r="Q130" s="389"/>
      <c r="R130" s="361">
        <f>SUM(O130:Q130)</f>
        <v>0</v>
      </c>
      <c r="S130" s="245">
        <f t="shared" si="112"/>
        <v>0</v>
      </c>
      <c r="U130" s="234"/>
      <c r="V130" s="234"/>
      <c r="W130" s="234">
        <f>+W129+D126+C126+C140+D140</f>
        <v>1382.3387264666667</v>
      </c>
      <c r="Y130" s="321"/>
      <c r="AM130" s="384"/>
      <c r="AN130" s="384"/>
      <c r="AO130" s="384"/>
      <c r="AP130" s="384"/>
      <c r="AQ130" s="384"/>
      <c r="AR130" s="384"/>
      <c r="AS130" s="384"/>
      <c r="AT130" s="384"/>
      <c r="AU130" s="384"/>
      <c r="AV130" s="384"/>
      <c r="AW130" s="384"/>
      <c r="AX130" s="384"/>
      <c r="AY130" s="384"/>
      <c r="AZ130" s="384"/>
      <c r="BA130" s="384"/>
      <c r="BB130" s="384"/>
      <c r="BC130" s="384"/>
    </row>
    <row r="131" spans="1:55" ht="9" customHeight="1">
      <c r="A131" s="234"/>
      <c r="C131" s="388"/>
      <c r="D131" s="387"/>
      <c r="E131" s="387"/>
      <c r="F131" s="373"/>
      <c r="G131" s="387"/>
      <c r="H131" s="387"/>
      <c r="I131" s="387"/>
      <c r="J131" s="373"/>
      <c r="K131" s="387"/>
      <c r="L131" s="387"/>
      <c r="M131" s="387"/>
      <c r="N131" s="373"/>
      <c r="O131" s="387"/>
      <c r="P131" s="387"/>
      <c r="Q131" s="387"/>
      <c r="R131" s="373"/>
      <c r="S131" s="245"/>
      <c r="Y131" s="321"/>
      <c r="AM131" s="384"/>
      <c r="AN131" s="384"/>
      <c r="AO131" s="384"/>
      <c r="AP131" s="384"/>
      <c r="AQ131" s="384"/>
      <c r="AR131" s="384"/>
      <c r="AS131" s="384"/>
      <c r="AT131" s="384"/>
      <c r="AU131" s="384"/>
      <c r="AV131" s="384"/>
      <c r="AW131" s="384"/>
      <c r="AX131" s="384"/>
      <c r="AY131" s="384"/>
      <c r="AZ131" s="384"/>
      <c r="BA131" s="384"/>
      <c r="BB131" s="384"/>
      <c r="BC131" s="384"/>
    </row>
    <row r="132" spans="1:55" ht="22" thickBot="1">
      <c r="B132" s="233" t="s">
        <v>371</v>
      </c>
      <c r="C132" s="344">
        <f>'[19]Data (63)'!Q133</f>
        <v>1309.8192388099999</v>
      </c>
      <c r="D132" s="344">
        <f>+C133</f>
        <v>1309.8192388099999</v>
      </c>
      <c r="E132" s="344">
        <f>+D133</f>
        <v>1309.8192388099999</v>
      </c>
      <c r="F132" s="382">
        <f>+C132</f>
        <v>1309.8192388099999</v>
      </c>
      <c r="G132" s="344">
        <f>+E133</f>
        <v>1309.8192388099999</v>
      </c>
      <c r="H132" s="344">
        <f>+G133</f>
        <v>1309.8192388099999</v>
      </c>
      <c r="I132" s="344">
        <f>+H133</f>
        <v>1309.8192388099999</v>
      </c>
      <c r="J132" s="382">
        <f>+G132</f>
        <v>1309.8192388099999</v>
      </c>
      <c r="K132" s="344">
        <f>+I133</f>
        <v>1309.8192388099999</v>
      </c>
      <c r="L132" s="344">
        <f>+K133</f>
        <v>1309.8192388099999</v>
      </c>
      <c r="M132" s="344">
        <f>+L133</f>
        <v>1309.8192388099999</v>
      </c>
      <c r="N132" s="382">
        <f>+K132</f>
        <v>1309.8192388099999</v>
      </c>
      <c r="O132" s="344">
        <f>+M133</f>
        <v>1309.8192388099999</v>
      </c>
      <c r="P132" s="344">
        <f>+O133</f>
        <v>1309.8192388099999</v>
      </c>
      <c r="Q132" s="344">
        <f>+P133</f>
        <v>1309.8192388099999</v>
      </c>
      <c r="R132" s="382">
        <f>+O132</f>
        <v>1309.8192388099999</v>
      </c>
      <c r="S132" s="381">
        <f>+F132</f>
        <v>1309.8192388099999</v>
      </c>
      <c r="Y132" s="321"/>
      <c r="AK132" s="386"/>
      <c r="AM132" s="385"/>
      <c r="AN132" s="385"/>
      <c r="AO132" s="385"/>
      <c r="AP132" s="385"/>
      <c r="AQ132" s="385"/>
      <c r="AR132" s="385"/>
      <c r="AS132" s="385"/>
      <c r="AT132" s="385"/>
      <c r="AU132" s="385"/>
      <c r="AV132" s="385"/>
      <c r="AW132" s="385"/>
      <c r="AX132" s="385"/>
      <c r="AY132" s="385"/>
      <c r="AZ132" s="385"/>
      <c r="BA132" s="385"/>
      <c r="BB132" s="384"/>
      <c r="BC132" s="383"/>
    </row>
    <row r="133" spans="1:55" ht="22" thickTop="1">
      <c r="B133" s="233" t="s">
        <v>370</v>
      </c>
      <c r="C133" s="344">
        <f>+C132</f>
        <v>1309.8192388099999</v>
      </c>
      <c r="D133" s="344">
        <f>+D132</f>
        <v>1309.8192388099999</v>
      </c>
      <c r="E133" s="344">
        <f>+E132</f>
        <v>1309.8192388099999</v>
      </c>
      <c r="F133" s="382">
        <f>+E133</f>
        <v>1309.8192388099999</v>
      </c>
      <c r="G133" s="344">
        <f>+G132</f>
        <v>1309.8192388099999</v>
      </c>
      <c r="H133" s="344">
        <f>+H132</f>
        <v>1309.8192388099999</v>
      </c>
      <c r="I133" s="344">
        <f>+I132</f>
        <v>1309.8192388099999</v>
      </c>
      <c r="J133" s="382">
        <f>+I133</f>
        <v>1309.8192388099999</v>
      </c>
      <c r="K133" s="344">
        <f>+K132</f>
        <v>1309.8192388099999</v>
      </c>
      <c r="L133" s="344">
        <f>+L132</f>
        <v>1309.8192388099999</v>
      </c>
      <c r="M133" s="344">
        <f>+M132</f>
        <v>1309.8192388099999</v>
      </c>
      <c r="N133" s="382">
        <f>+M133</f>
        <v>1309.8192388099999</v>
      </c>
      <c r="O133" s="344">
        <f>+O132</f>
        <v>1309.8192388099999</v>
      </c>
      <c r="P133" s="344">
        <f>+P132</f>
        <v>1309.8192388099999</v>
      </c>
      <c r="Q133" s="344">
        <f>+Q132</f>
        <v>1309.8192388099999</v>
      </c>
      <c r="R133" s="382">
        <f>+Q133</f>
        <v>1309.8192388099999</v>
      </c>
      <c r="S133" s="381">
        <f>+R133</f>
        <v>1309.8192388099999</v>
      </c>
      <c r="Y133" s="321"/>
    </row>
    <row r="134" spans="1:55">
      <c r="C134" s="380" t="e">
        <f t="shared" ref="C134:S134" si="114">+C135+C139</f>
        <v>#REF!</v>
      </c>
      <c r="D134" s="380" t="e">
        <f t="shared" si="114"/>
        <v>#REF!</v>
      </c>
      <c r="E134" s="380" t="e">
        <f t="shared" si="114"/>
        <v>#REF!</v>
      </c>
      <c r="F134" s="379" t="e">
        <f t="shared" si="114"/>
        <v>#REF!</v>
      </c>
      <c r="G134" s="380" t="e">
        <f t="shared" si="114"/>
        <v>#REF!</v>
      </c>
      <c r="H134" s="380" t="e">
        <f t="shared" si="114"/>
        <v>#REF!</v>
      </c>
      <c r="I134" s="380" t="e">
        <f t="shared" si="114"/>
        <v>#REF!</v>
      </c>
      <c r="J134" s="379" t="e">
        <f t="shared" si="114"/>
        <v>#REF!</v>
      </c>
      <c r="K134" s="380" t="e">
        <f t="shared" si="114"/>
        <v>#REF!</v>
      </c>
      <c r="L134" s="380" t="e">
        <f t="shared" si="114"/>
        <v>#REF!</v>
      </c>
      <c r="M134" s="380" t="e">
        <f t="shared" si="114"/>
        <v>#REF!</v>
      </c>
      <c r="N134" s="379" t="e">
        <f t="shared" si="114"/>
        <v>#REF!</v>
      </c>
      <c r="O134" s="380" t="e">
        <f t="shared" si="114"/>
        <v>#REF!</v>
      </c>
      <c r="P134" s="380" t="e">
        <f t="shared" si="114"/>
        <v>#REF!</v>
      </c>
      <c r="Q134" s="380" t="e">
        <f t="shared" si="114"/>
        <v>#REF!</v>
      </c>
      <c r="R134" s="379" t="e">
        <f t="shared" si="114"/>
        <v>#REF!</v>
      </c>
      <c r="S134" s="378" t="e">
        <f t="shared" si="114"/>
        <v>#REF!</v>
      </c>
      <c r="Y134" s="321"/>
    </row>
    <row r="135" spans="1:55">
      <c r="A135" s="233" t="s">
        <v>369</v>
      </c>
      <c r="B135" s="233" t="s">
        <v>368</v>
      </c>
      <c r="C135" s="237" t="e">
        <f t="shared" ref="C135:R135" si="115">SUM(C136:C137)</f>
        <v>#REF!</v>
      </c>
      <c r="D135" s="237" t="e">
        <f t="shared" si="115"/>
        <v>#REF!</v>
      </c>
      <c r="E135" s="237" t="e">
        <f t="shared" si="115"/>
        <v>#REF!</v>
      </c>
      <c r="F135" s="246" t="e">
        <f t="shared" si="115"/>
        <v>#REF!</v>
      </c>
      <c r="G135" s="237" t="e">
        <f t="shared" si="115"/>
        <v>#REF!</v>
      </c>
      <c r="H135" s="237" t="e">
        <f t="shared" si="115"/>
        <v>#REF!</v>
      </c>
      <c r="I135" s="237" t="e">
        <f t="shared" si="115"/>
        <v>#REF!</v>
      </c>
      <c r="J135" s="246" t="e">
        <f t="shared" si="115"/>
        <v>#REF!</v>
      </c>
      <c r="K135" s="237" t="e">
        <f t="shared" si="115"/>
        <v>#REF!</v>
      </c>
      <c r="L135" s="237" t="e">
        <f t="shared" si="115"/>
        <v>#REF!</v>
      </c>
      <c r="M135" s="237" t="e">
        <f t="shared" si="115"/>
        <v>#REF!</v>
      </c>
      <c r="N135" s="246" t="e">
        <f t="shared" si="115"/>
        <v>#REF!</v>
      </c>
      <c r="O135" s="237" t="e">
        <f t="shared" si="115"/>
        <v>#REF!</v>
      </c>
      <c r="P135" s="237" t="e">
        <f t="shared" si="115"/>
        <v>#REF!</v>
      </c>
      <c r="Q135" s="237" t="e">
        <f t="shared" si="115"/>
        <v>#REF!</v>
      </c>
      <c r="R135" s="246" t="e">
        <f t="shared" si="115"/>
        <v>#REF!</v>
      </c>
      <c r="S135" s="245" t="e">
        <f>+F135+J135+N135+R135</f>
        <v>#REF!</v>
      </c>
      <c r="Y135" s="321"/>
    </row>
    <row r="136" spans="1:55">
      <c r="B136" s="233" t="s">
        <v>367</v>
      </c>
      <c r="C136" s="377" t="e">
        <f>+C160</f>
        <v>#REF!</v>
      </c>
      <c r="D136" s="377" t="e">
        <f>+D160</f>
        <v>#REF!</v>
      </c>
      <c r="E136" s="377" t="e">
        <f>+E160</f>
        <v>#REF!</v>
      </c>
      <c r="F136" s="246" t="e">
        <f>SUM(C136:E136)</f>
        <v>#REF!</v>
      </c>
      <c r="G136" s="377" t="e">
        <f>+G160</f>
        <v>#REF!</v>
      </c>
      <c r="H136" s="377" t="e">
        <f>+H160</f>
        <v>#REF!</v>
      </c>
      <c r="I136" s="377" t="e">
        <f>+I160</f>
        <v>#REF!</v>
      </c>
      <c r="J136" s="246" t="e">
        <f>SUM(G136:I136)</f>
        <v>#REF!</v>
      </c>
      <c r="K136" s="377" t="e">
        <f>+K160</f>
        <v>#REF!</v>
      </c>
      <c r="L136" s="377" t="e">
        <f>+L160</f>
        <v>#REF!</v>
      </c>
      <c r="M136" s="377" t="e">
        <f>+M160</f>
        <v>#REF!</v>
      </c>
      <c r="N136" s="246" t="e">
        <f>SUM(K136:M136)</f>
        <v>#REF!</v>
      </c>
      <c r="O136" s="377" t="e">
        <f>+O160</f>
        <v>#REF!</v>
      </c>
      <c r="P136" s="377" t="e">
        <f>+P160</f>
        <v>#REF!</v>
      </c>
      <c r="Q136" s="377" t="e">
        <f>+Q160</f>
        <v>#REF!</v>
      </c>
      <c r="R136" s="246" t="e">
        <f>SUM(O136:Q136)</f>
        <v>#REF!</v>
      </c>
      <c r="S136" s="245" t="e">
        <f>+F136+J136+N136+R136</f>
        <v>#REF!</v>
      </c>
      <c r="Y136" s="321"/>
    </row>
    <row r="137" spans="1:55">
      <c r="B137" s="233" t="s">
        <v>366</v>
      </c>
      <c r="C137" s="376"/>
      <c r="D137" s="376"/>
      <c r="E137" s="376"/>
      <c r="F137" s="374">
        <f>SUM(C137:E137)</f>
        <v>0</v>
      </c>
      <c r="G137" s="376"/>
      <c r="H137" s="376"/>
      <c r="I137" s="376"/>
      <c r="J137" s="374">
        <f>SUM(G137:I137)</f>
        <v>0</v>
      </c>
      <c r="K137" s="375"/>
      <c r="L137" s="375"/>
      <c r="M137" s="375"/>
      <c r="N137" s="374">
        <f>SUM(K137:M137)</f>
        <v>0</v>
      </c>
      <c r="O137" s="375"/>
      <c r="P137" s="375"/>
      <c r="Q137" s="375"/>
      <c r="R137" s="374">
        <f>SUM(O137:Q137)</f>
        <v>0</v>
      </c>
      <c r="S137" s="245">
        <f>+F137+J137+N137+R137</f>
        <v>0</v>
      </c>
      <c r="Y137" s="321"/>
    </row>
    <row r="138" spans="1:55" ht="9" customHeight="1">
      <c r="F138" s="373"/>
      <c r="J138" s="373"/>
      <c r="N138" s="373"/>
      <c r="R138" s="373"/>
      <c r="S138" s="245"/>
      <c r="Y138" s="321"/>
    </row>
    <row r="139" spans="1:55">
      <c r="B139" s="233" t="s">
        <v>365</v>
      </c>
      <c r="C139" s="237">
        <f>+C149</f>
        <v>116.39645733863121</v>
      </c>
      <c r="D139" s="237">
        <f>+D149</f>
        <v>116.39645733863121</v>
      </c>
      <c r="E139" s="237">
        <f>+E149</f>
        <v>116.39645733863121</v>
      </c>
      <c r="F139" s="246">
        <f>SUM(C139:E139)</f>
        <v>349.18937201589364</v>
      </c>
      <c r="G139" s="237">
        <f>+G149</f>
        <v>116.39645733863121</v>
      </c>
      <c r="H139" s="237">
        <f>+H149</f>
        <v>116.39645733863121</v>
      </c>
      <c r="I139" s="237">
        <f>+I149</f>
        <v>116.39645733863121</v>
      </c>
      <c r="J139" s="246">
        <f>SUM(G139:I139)</f>
        <v>349.18937201589364</v>
      </c>
      <c r="K139" s="237">
        <f>+K149</f>
        <v>116.39645733863121</v>
      </c>
      <c r="L139" s="237">
        <f>+L149</f>
        <v>116.39645733863121</v>
      </c>
      <c r="M139" s="237">
        <f>+M149</f>
        <v>116.39645733863121</v>
      </c>
      <c r="N139" s="246">
        <f>SUM(K139:M139)</f>
        <v>349.18937201589364</v>
      </c>
      <c r="O139" s="237">
        <f>+O149</f>
        <v>116.39645733863121</v>
      </c>
      <c r="P139" s="237">
        <f>+P149</f>
        <v>116.39645733863121</v>
      </c>
      <c r="Q139" s="237">
        <f>+Q149</f>
        <v>116.39645733863121</v>
      </c>
      <c r="R139" s="246">
        <f>SUM(O139:Q139)</f>
        <v>349.18937201589364</v>
      </c>
      <c r="S139" s="245">
        <f>+F139+J139+N139+R139</f>
        <v>1396.7574880635746</v>
      </c>
      <c r="Y139" s="321"/>
    </row>
    <row r="140" spans="1:55">
      <c r="A140" s="372" t="s">
        <v>364</v>
      </c>
      <c r="B140" s="371" t="s">
        <v>363</v>
      </c>
      <c r="C140" s="370">
        <f>'[19]DEP&amp;INV'!$CC$101/3</f>
        <v>88.512279260000014</v>
      </c>
      <c r="D140" s="370">
        <f>'[19]DEP&amp;INV'!$CC$101/3</f>
        <v>88.512279260000014</v>
      </c>
      <c r="E140" s="370">
        <f>'[19]DEP&amp;INV'!$CC$101/3</f>
        <v>88.512279260000014</v>
      </c>
      <c r="F140" s="369">
        <f>SUM(C140:E140)</f>
        <v>265.53683778000004</v>
      </c>
      <c r="G140" s="370">
        <f>'[19]DEP&amp;INV'!$CD$101/3</f>
        <v>88.512279260000014</v>
      </c>
      <c r="H140" s="370">
        <f>'[19]DEP&amp;INV'!$CD$101/3</f>
        <v>88.512279260000014</v>
      </c>
      <c r="I140" s="370">
        <f>'[19]DEP&amp;INV'!$CD$101/3</f>
        <v>88.512279260000014</v>
      </c>
      <c r="J140" s="369">
        <f>SUM(G140:I140)</f>
        <v>265.53683778000004</v>
      </c>
      <c r="K140" s="370">
        <f>'[19]DEP&amp;INV'!$CE$101/3</f>
        <v>88.512279260000014</v>
      </c>
      <c r="L140" s="370">
        <f>'[19]DEP&amp;INV'!$CE$101/3</f>
        <v>88.512279260000014</v>
      </c>
      <c r="M140" s="370">
        <f>'[19]DEP&amp;INV'!$CE$101/3</f>
        <v>88.512279260000014</v>
      </c>
      <c r="N140" s="369">
        <f>SUM(K140:M140)</f>
        <v>265.53683778000004</v>
      </c>
      <c r="O140" s="370">
        <f>'[19]DEP&amp;INV'!$CF$101/3</f>
        <v>88.512279260000014</v>
      </c>
      <c r="P140" s="370">
        <f>'[19]DEP&amp;INV'!$CF$101/3</f>
        <v>88.512279260000014</v>
      </c>
      <c r="Q140" s="370">
        <f>'[19]DEP&amp;INV'!$CF$101/3</f>
        <v>88.512279260000014</v>
      </c>
      <c r="R140" s="369">
        <f>SUM(O140:Q140)</f>
        <v>265.53683778000004</v>
      </c>
      <c r="S140" s="368">
        <f>+F140+J140+N140+R140</f>
        <v>1062.1473511200002</v>
      </c>
      <c r="T140" s="367"/>
      <c r="U140" s="366"/>
      <c r="V140" s="241">
        <f>+'[19]DEP&amp;INV'!CL101</f>
        <v>1056.8301245000002</v>
      </c>
      <c r="W140" s="365" t="s">
        <v>362</v>
      </c>
      <c r="Y140" s="321"/>
    </row>
    <row r="141" spans="1:55">
      <c r="B141" s="233" t="s">
        <v>361</v>
      </c>
      <c r="C141" s="364"/>
      <c r="D141" s="364"/>
      <c r="E141" s="364"/>
      <c r="F141" s="361">
        <f>SUM(C141:E141)</f>
        <v>0</v>
      </c>
      <c r="G141" s="363"/>
      <c r="H141" s="363"/>
      <c r="I141" s="363"/>
      <c r="J141" s="361">
        <f>SUM(G141:I141)</f>
        <v>0</v>
      </c>
      <c r="K141" s="362"/>
      <c r="L141" s="362"/>
      <c r="M141" s="362"/>
      <c r="N141" s="361">
        <f>SUM(K141:M141)</f>
        <v>0</v>
      </c>
      <c r="O141" s="362"/>
      <c r="P141" s="362"/>
      <c r="Q141" s="362"/>
      <c r="R141" s="361">
        <f>SUM(O141:Q141)</f>
        <v>0</v>
      </c>
      <c r="S141" s="360">
        <f>+F141+J141+N141+R141</f>
        <v>0</v>
      </c>
      <c r="Y141" s="321"/>
    </row>
    <row r="142" spans="1:55">
      <c r="B142" s="233" t="s">
        <v>360</v>
      </c>
      <c r="C142" s="359"/>
      <c r="D142" s="359"/>
      <c r="E142" s="359"/>
      <c r="F142" s="343">
        <f>SUM(C142:E142)</f>
        <v>0</v>
      </c>
      <c r="G142" s="359"/>
      <c r="H142" s="359"/>
      <c r="I142" s="359"/>
      <c r="J142" s="343">
        <f>SUM(G142:I142)</f>
        <v>0</v>
      </c>
      <c r="K142" s="358"/>
      <c r="L142" s="358"/>
      <c r="M142" s="358"/>
      <c r="N142" s="343">
        <f>SUM(K142:M142)</f>
        <v>0</v>
      </c>
      <c r="O142" s="358"/>
      <c r="P142" s="358"/>
      <c r="Q142" s="358"/>
      <c r="R142" s="343">
        <f>SUM(O142:Q142)</f>
        <v>0</v>
      </c>
      <c r="S142" s="342">
        <f>+F142+J142+N142+R142</f>
        <v>0</v>
      </c>
      <c r="Y142" s="321"/>
    </row>
    <row r="143" spans="1:55">
      <c r="B143" s="357"/>
      <c r="F143" s="246"/>
      <c r="J143" s="246"/>
      <c r="N143" s="246"/>
      <c r="R143" s="246"/>
      <c r="S143" s="245"/>
      <c r="Y143" s="321"/>
    </row>
    <row r="144" spans="1:55">
      <c r="A144" s="233" t="s">
        <v>359</v>
      </c>
      <c r="C144" s="236">
        <f>+C154</f>
        <v>20.735799101111283</v>
      </c>
      <c r="D144" s="238">
        <f>+D154</f>
        <v>20.189405503764817</v>
      </c>
      <c r="E144" s="238">
        <f>+E154</f>
        <v>21.022897432783857</v>
      </c>
      <c r="F144" s="246">
        <f>SUM(C144:E144)</f>
        <v>61.948102037659957</v>
      </c>
      <c r="G144" s="238">
        <f>+G154</f>
        <v>20.879297262924968</v>
      </c>
      <c r="H144" s="238">
        <f>+H154</f>
        <v>21.499178065626026</v>
      </c>
      <c r="I144" s="238">
        <f>+I154</f>
        <v>20.739603232879645</v>
      </c>
      <c r="J144" s="246">
        <f>SUM(G144:I144)</f>
        <v>63.118078561430636</v>
      </c>
      <c r="K144" s="237">
        <f>+K154</f>
        <v>21.153410704808817</v>
      </c>
      <c r="L144" s="237">
        <f>+L154</f>
        <v>21.278797409437026</v>
      </c>
      <c r="M144" s="237">
        <f>+M154</f>
        <v>20.576904903296533</v>
      </c>
      <c r="N144" s="246">
        <f>SUM(K144:M144)</f>
        <v>63.009113017542376</v>
      </c>
      <c r="O144" s="237">
        <f>+O154</f>
        <v>20.745887746607707</v>
      </c>
      <c r="P144" s="237">
        <f>+P154</f>
        <v>20.291051016094119</v>
      </c>
      <c r="Q144" s="237">
        <f>+Q154</f>
        <v>18.995873282545084</v>
      </c>
      <c r="R144" s="246">
        <f>SUM(O144:Q144)</f>
        <v>60.032812045246907</v>
      </c>
      <c r="S144" s="245">
        <f>+F144+J144+N144+R144</f>
        <v>248.10810566187988</v>
      </c>
      <c r="Y144" s="321"/>
    </row>
    <row r="145" spans="1:25">
      <c r="Y145" s="321"/>
    </row>
    <row r="146" spans="1:25">
      <c r="A146" s="346" t="s">
        <v>358</v>
      </c>
      <c r="B146" s="346"/>
      <c r="W146" s="337"/>
      <c r="Y146" s="321"/>
    </row>
    <row r="147" spans="1:25">
      <c r="A147" s="346" t="s">
        <v>357</v>
      </c>
      <c r="B147" s="313"/>
      <c r="C147" s="356">
        <f>$V150/12</f>
        <v>116.39645733863121</v>
      </c>
      <c r="D147" s="356">
        <f>$V150/12</f>
        <v>116.39645733863121</v>
      </c>
      <c r="E147" s="356">
        <f>$V150/12</f>
        <v>116.39645733863121</v>
      </c>
      <c r="F147" s="355">
        <f>SUM(C147:E147)</f>
        <v>349.18937201589364</v>
      </c>
      <c r="G147" s="356">
        <f>$V150/12</f>
        <v>116.39645733863121</v>
      </c>
      <c r="H147" s="356">
        <f>$V150/12</f>
        <v>116.39645733863121</v>
      </c>
      <c r="I147" s="356">
        <f>$V150/12</f>
        <v>116.39645733863121</v>
      </c>
      <c r="J147" s="355">
        <f>SUM(G147:I147)</f>
        <v>349.18937201589364</v>
      </c>
      <c r="K147" s="356">
        <f>$V150/12</f>
        <v>116.39645733863121</v>
      </c>
      <c r="L147" s="356">
        <f>$V150/12</f>
        <v>116.39645733863121</v>
      </c>
      <c r="M147" s="356">
        <f>$V150/12</f>
        <v>116.39645733863121</v>
      </c>
      <c r="N147" s="355">
        <f>SUM(K147:M147)</f>
        <v>349.18937201589364</v>
      </c>
      <c r="O147" s="356">
        <f>$V150/12</f>
        <v>116.39645733863121</v>
      </c>
      <c r="P147" s="356">
        <f>$V150/12</f>
        <v>116.39645733863121</v>
      </c>
      <c r="Q147" s="356">
        <f>$V150/12</f>
        <v>116.39645733863121</v>
      </c>
      <c r="R147" s="355">
        <f>SUM(O147:Q147)</f>
        <v>349.18937201589364</v>
      </c>
      <c r="S147" s="354">
        <f>+F147+J147+N147+R147</f>
        <v>1396.7574880635746</v>
      </c>
      <c r="V147" s="353">
        <f>[14]ค่าใช้จ่ายทำการ64!$R$52</f>
        <v>1396.7574880635746</v>
      </c>
      <c r="Y147" s="321"/>
    </row>
    <row r="148" spans="1:25" hidden="1">
      <c r="A148" s="346" t="s">
        <v>356</v>
      </c>
      <c r="B148" s="313"/>
      <c r="C148" s="352"/>
      <c r="D148" s="351"/>
      <c r="E148" s="351"/>
      <c r="F148" s="350"/>
      <c r="G148" s="351"/>
      <c r="H148" s="351"/>
      <c r="I148" s="351"/>
      <c r="J148" s="350"/>
      <c r="K148" s="349"/>
      <c r="L148" s="349"/>
      <c r="M148" s="349"/>
      <c r="N148" s="350"/>
      <c r="O148" s="349"/>
      <c r="P148" s="349"/>
      <c r="Q148" s="349"/>
      <c r="R148" s="348"/>
      <c r="S148" s="245"/>
      <c r="V148" s="347"/>
      <c r="Y148" s="321"/>
    </row>
    <row r="149" spans="1:25" ht="22" thickBot="1">
      <c r="A149" s="346"/>
      <c r="B149" s="313"/>
      <c r="C149" s="319">
        <f t="shared" ref="C149:S149" si="116">SUM(C147:C148)</f>
        <v>116.39645733863121</v>
      </c>
      <c r="D149" s="319">
        <f t="shared" si="116"/>
        <v>116.39645733863121</v>
      </c>
      <c r="E149" s="319">
        <f t="shared" si="116"/>
        <v>116.39645733863121</v>
      </c>
      <c r="F149" s="318">
        <f t="shared" si="116"/>
        <v>349.18937201589364</v>
      </c>
      <c r="G149" s="319">
        <f t="shared" si="116"/>
        <v>116.39645733863121</v>
      </c>
      <c r="H149" s="319">
        <f t="shared" si="116"/>
        <v>116.39645733863121</v>
      </c>
      <c r="I149" s="319">
        <f t="shared" si="116"/>
        <v>116.39645733863121</v>
      </c>
      <c r="J149" s="318">
        <f t="shared" si="116"/>
        <v>349.18937201589364</v>
      </c>
      <c r="K149" s="302">
        <f t="shared" si="116"/>
        <v>116.39645733863121</v>
      </c>
      <c r="L149" s="302">
        <f t="shared" si="116"/>
        <v>116.39645733863121</v>
      </c>
      <c r="M149" s="302">
        <f t="shared" si="116"/>
        <v>116.39645733863121</v>
      </c>
      <c r="N149" s="341">
        <f t="shared" si="116"/>
        <v>349.18937201589364</v>
      </c>
      <c r="O149" s="302">
        <f t="shared" si="116"/>
        <v>116.39645733863121</v>
      </c>
      <c r="P149" s="302">
        <f t="shared" si="116"/>
        <v>116.39645733863121</v>
      </c>
      <c r="Q149" s="302">
        <f t="shared" si="116"/>
        <v>116.39645733863121</v>
      </c>
      <c r="R149" s="341">
        <f t="shared" si="116"/>
        <v>349.18937201589364</v>
      </c>
      <c r="S149" s="340">
        <f t="shared" si="116"/>
        <v>1396.7574880635746</v>
      </c>
      <c r="V149" s="345"/>
      <c r="W149" s="236" t="s">
        <v>355</v>
      </c>
      <c r="Y149" s="321"/>
    </row>
    <row r="150" spans="1:25" ht="22" thickTop="1">
      <c r="A150" s="313"/>
      <c r="B150" s="316" t="s">
        <v>344</v>
      </c>
      <c r="C150" s="315">
        <f t="shared" ref="C150:S150" si="117">+C139-C149</f>
        <v>0</v>
      </c>
      <c r="D150" s="315">
        <f t="shared" si="117"/>
        <v>0</v>
      </c>
      <c r="E150" s="315">
        <f t="shared" si="117"/>
        <v>0</v>
      </c>
      <c r="F150" s="314">
        <f t="shared" si="117"/>
        <v>0</v>
      </c>
      <c r="G150" s="315">
        <f t="shared" si="117"/>
        <v>0</v>
      </c>
      <c r="H150" s="315">
        <f t="shared" si="117"/>
        <v>0</v>
      </c>
      <c r="I150" s="315">
        <f t="shared" si="117"/>
        <v>0</v>
      </c>
      <c r="J150" s="314">
        <f t="shared" si="117"/>
        <v>0</v>
      </c>
      <c r="K150" s="314">
        <f t="shared" si="117"/>
        <v>0</v>
      </c>
      <c r="L150" s="314">
        <f t="shared" si="117"/>
        <v>0</v>
      </c>
      <c r="M150" s="314">
        <f t="shared" si="117"/>
        <v>0</v>
      </c>
      <c r="N150" s="314">
        <f t="shared" si="117"/>
        <v>0</v>
      </c>
      <c r="O150" s="314">
        <f t="shared" si="117"/>
        <v>0</v>
      </c>
      <c r="P150" s="314">
        <f t="shared" si="117"/>
        <v>0</v>
      </c>
      <c r="Q150" s="314">
        <f t="shared" si="117"/>
        <v>0</v>
      </c>
      <c r="R150" s="314">
        <f t="shared" si="117"/>
        <v>0</v>
      </c>
      <c r="S150" s="314">
        <f t="shared" si="117"/>
        <v>0</v>
      </c>
      <c r="V150" s="234">
        <f>SUM(V147:V149)</f>
        <v>1396.7574880635746</v>
      </c>
      <c r="Y150" s="321"/>
    </row>
    <row r="151" spans="1:25">
      <c r="A151" s="313" t="s">
        <v>354</v>
      </c>
      <c r="B151" s="313"/>
      <c r="Y151" s="321"/>
    </row>
    <row r="152" spans="1:25">
      <c r="A152" s="313" t="s">
        <v>353</v>
      </c>
      <c r="B152" s="313"/>
      <c r="C152" s="344">
        <f>12+20/12</f>
        <v>13.666666666666666</v>
      </c>
      <c r="D152" s="344">
        <f>12+20/12</f>
        <v>13.666666666666666</v>
      </c>
      <c r="E152" s="344">
        <f>12+20/12</f>
        <v>13.666666666666666</v>
      </c>
      <c r="F152" s="307">
        <f>SUM(C152:E152)</f>
        <v>41</v>
      </c>
      <c r="G152" s="344">
        <v>13.666666666666666</v>
      </c>
      <c r="H152" s="344">
        <v>13.666666666666666</v>
      </c>
      <c r="I152" s="344">
        <v>13.666666666666666</v>
      </c>
      <c r="J152" s="307">
        <f>SUM(G152:I152)</f>
        <v>41</v>
      </c>
      <c r="K152" s="344">
        <v>13.666666666666666</v>
      </c>
      <c r="L152" s="344">
        <v>13.666666666666666</v>
      </c>
      <c r="M152" s="344">
        <v>13.666666666666666</v>
      </c>
      <c r="N152" s="307">
        <f>SUM(K152:M152)</f>
        <v>41</v>
      </c>
      <c r="O152" s="344">
        <v>13.666666666666666</v>
      </c>
      <c r="P152" s="344">
        <v>13.666666666666666</v>
      </c>
      <c r="Q152" s="344">
        <v>13.666666666666666</v>
      </c>
      <c r="R152" s="307">
        <f>SUM(O152:Q152)</f>
        <v>41</v>
      </c>
      <c r="S152" s="306">
        <f>+F152+J152+N152+R152</f>
        <v>164</v>
      </c>
      <c r="Y152" s="321"/>
    </row>
    <row r="153" spans="1:25">
      <c r="A153" s="313" t="s">
        <v>352</v>
      </c>
      <c r="B153" s="313"/>
      <c r="C153" s="344">
        <v>7.0691324344446169</v>
      </c>
      <c r="D153" s="344">
        <v>6.5227388370981503</v>
      </c>
      <c r="E153" s="344">
        <v>7.3562307661171911</v>
      </c>
      <c r="F153" s="307">
        <f>SUM(C153:E153)</f>
        <v>20.948102037659957</v>
      </c>
      <c r="G153" s="344">
        <v>7.2126305962583013</v>
      </c>
      <c r="H153" s="344">
        <v>7.8325113989593582</v>
      </c>
      <c r="I153" s="344">
        <v>7.0729365662129782</v>
      </c>
      <c r="J153" s="307">
        <f>SUM(G153:I153)</f>
        <v>22.118078561430636</v>
      </c>
      <c r="K153" s="344">
        <v>7.4867440381421506</v>
      </c>
      <c r="L153" s="344">
        <v>7.6121307427703577</v>
      </c>
      <c r="M153" s="344">
        <v>6.9102382366298665</v>
      </c>
      <c r="N153" s="307">
        <f>SUM(K153:M153)</f>
        <v>22.009113017542376</v>
      </c>
      <c r="O153" s="344">
        <v>7.0792210799410391</v>
      </c>
      <c r="P153" s="344">
        <v>6.6243843494274524</v>
      </c>
      <c r="Q153" s="344">
        <v>5.3292066158784195</v>
      </c>
      <c r="R153" s="343">
        <f>SUM(O153:Q153)</f>
        <v>19.03281204524691</v>
      </c>
      <c r="S153" s="342">
        <f>+F153+J153+N153+R153</f>
        <v>84.108105661879875</v>
      </c>
      <c r="Y153" s="321"/>
    </row>
    <row r="154" spans="1:25" ht="22" thickBot="1">
      <c r="A154" s="313"/>
      <c r="B154" s="313"/>
      <c r="C154" s="302">
        <f t="shared" ref="C154:S154" si="118">SUM(C152:C153)</f>
        <v>20.735799101111283</v>
      </c>
      <c r="D154" s="302">
        <f t="shared" si="118"/>
        <v>20.189405503764817</v>
      </c>
      <c r="E154" s="302">
        <f t="shared" si="118"/>
        <v>21.022897432783857</v>
      </c>
      <c r="F154" s="341">
        <f t="shared" si="118"/>
        <v>61.948102037659957</v>
      </c>
      <c r="G154" s="302">
        <f t="shared" si="118"/>
        <v>20.879297262924968</v>
      </c>
      <c r="H154" s="302">
        <f t="shared" si="118"/>
        <v>21.499178065626026</v>
      </c>
      <c r="I154" s="302">
        <f t="shared" si="118"/>
        <v>20.739603232879645</v>
      </c>
      <c r="J154" s="341">
        <f t="shared" si="118"/>
        <v>63.118078561430636</v>
      </c>
      <c r="K154" s="302">
        <f t="shared" si="118"/>
        <v>21.153410704808817</v>
      </c>
      <c r="L154" s="302">
        <f t="shared" si="118"/>
        <v>21.278797409437026</v>
      </c>
      <c r="M154" s="302">
        <f t="shared" si="118"/>
        <v>20.576904903296533</v>
      </c>
      <c r="N154" s="341">
        <f t="shared" si="118"/>
        <v>63.009113017542376</v>
      </c>
      <c r="O154" s="302">
        <f t="shared" si="118"/>
        <v>20.745887746607707</v>
      </c>
      <c r="P154" s="302">
        <f t="shared" si="118"/>
        <v>20.291051016094119</v>
      </c>
      <c r="Q154" s="302">
        <f t="shared" si="118"/>
        <v>18.995873282545084</v>
      </c>
      <c r="R154" s="341">
        <f t="shared" si="118"/>
        <v>60.032812045246914</v>
      </c>
      <c r="S154" s="340">
        <f t="shared" si="118"/>
        <v>248.10810566187988</v>
      </c>
      <c r="Y154" s="321"/>
    </row>
    <row r="155" spans="1:25" ht="22" thickTop="1">
      <c r="A155" s="313"/>
      <c r="B155" s="316" t="s">
        <v>344</v>
      </c>
      <c r="C155" s="315">
        <f t="shared" ref="C155:K155" si="119">+C144-C154</f>
        <v>0</v>
      </c>
      <c r="D155" s="315">
        <f t="shared" si="119"/>
        <v>0</v>
      </c>
      <c r="E155" s="315">
        <f t="shared" si="119"/>
        <v>0</v>
      </c>
      <c r="F155" s="314">
        <f t="shared" si="119"/>
        <v>0</v>
      </c>
      <c r="G155" s="315">
        <f t="shared" si="119"/>
        <v>0</v>
      </c>
      <c r="H155" s="315">
        <f t="shared" si="119"/>
        <v>0</v>
      </c>
      <c r="I155" s="315">
        <f t="shared" si="119"/>
        <v>0</v>
      </c>
      <c r="J155" s="314">
        <f t="shared" si="119"/>
        <v>0</v>
      </c>
      <c r="K155" s="314">
        <f t="shared" si="119"/>
        <v>0</v>
      </c>
      <c r="L155" s="314"/>
      <c r="M155" s="314">
        <f t="shared" ref="M155:S155" si="120">+M144-M154</f>
        <v>0</v>
      </c>
      <c r="N155" s="314">
        <f t="shared" si="120"/>
        <v>0</v>
      </c>
      <c r="O155" s="314">
        <f t="shared" si="120"/>
        <v>0</v>
      </c>
      <c r="P155" s="314">
        <f t="shared" si="120"/>
        <v>0</v>
      </c>
      <c r="Q155" s="314">
        <f t="shared" si="120"/>
        <v>0</v>
      </c>
      <c r="R155" s="314">
        <f t="shared" si="120"/>
        <v>0</v>
      </c>
      <c r="S155" s="314">
        <f t="shared" si="120"/>
        <v>0</v>
      </c>
      <c r="V155" s="339">
        <f>'[13]PL (64)'!U24</f>
        <v>0</v>
      </c>
      <c r="W155" s="236" t="s">
        <v>351</v>
      </c>
      <c r="Y155" s="321"/>
    </row>
    <row r="156" spans="1:25">
      <c r="A156" s="338" t="s">
        <v>350</v>
      </c>
      <c r="B156" s="313"/>
      <c r="W156" s="337"/>
      <c r="Y156" s="321"/>
    </row>
    <row r="157" spans="1:25">
      <c r="A157" s="313" t="s">
        <v>349</v>
      </c>
      <c r="B157" s="313"/>
      <c r="C157" s="335">
        <f>$V157/12-($V157*0.01)</f>
        <v>119.85103211219598</v>
      </c>
      <c r="D157" s="335">
        <f>($V157-C157)/11-($V157*0.01)</f>
        <v>121.33678870862818</v>
      </c>
      <c r="E157" s="335">
        <f>+($V157-$C157-$D157)/10-($V157*0.01)</f>
        <v>122.97112096470357</v>
      </c>
      <c r="F157" s="336">
        <f>SUM(C157:E157)</f>
        <v>364.15894178552776</v>
      </c>
      <c r="G157" s="335">
        <f>+($V157-$C157-$D157-$E1401)/9-($V157*0.01)</f>
        <v>138.45050357864332</v>
      </c>
      <c r="H157" s="335">
        <f>+($V157-$C157-$D157-$E157-$G157)/8-($V157*0.01)</f>
        <v>125.1220287781496</v>
      </c>
      <c r="I157" s="335">
        <f>+($V157-$C157-$D157-$E157-$G157-$H157)/7-($V157*0.01)</f>
        <v>127.4567891439716</v>
      </c>
      <c r="J157" s="336">
        <f>SUM(G157:I157)</f>
        <v>391.02932150076452</v>
      </c>
      <c r="K157" s="335">
        <f>+($V157-$C157-$D157-$E157-$G157-$H157-$I157)/6-($V157*0.01)</f>
        <v>130.18067623743059</v>
      </c>
      <c r="L157" s="335">
        <f>+($V157-$C157-$D157-$E157-$G157-$H157-$I157-$K157)/5-($V157*0.01)</f>
        <v>133.44934074958141</v>
      </c>
      <c r="M157" s="335">
        <f>+($V157-$C157-$D157-$E157-$G157-$H157-$I157-$K157-$L157)/4-($V157*0.01)</f>
        <v>137.53517138976989</v>
      </c>
      <c r="N157" s="336">
        <f>SUM(K157:M157)</f>
        <v>401.16518837678188</v>
      </c>
      <c r="O157" s="335">
        <f>+($V157-$C157-$D157-$E157-$G157-$H157-$I157-$K157-$L157-$M157)/3-($V157*0.005)</f>
        <v>151.15460685706486</v>
      </c>
      <c r="P157" s="335">
        <f>+($V157-$C157-$D157-$E157-$G157-$H157-$I157-$K157-$L157-$M157-$O157)/2-($V157*0.003)</f>
        <v>158.50910200940419</v>
      </c>
      <c r="Q157" s="335">
        <f>+($V157-$C157-$D157-$E157-$G157-$H157-$I157-$K157-$L157-$M157-$O157-$P157)/1</f>
        <v>168.31509554585656</v>
      </c>
      <c r="R157" s="334">
        <f>SUM(O157:Q157)</f>
        <v>477.97880441232564</v>
      </c>
      <c r="S157" s="333">
        <f>+F157+J157+N157+R157</f>
        <v>1634.3322560754</v>
      </c>
      <c r="U157" s="305"/>
      <c r="V157" s="332">
        <f>+[14]ค่าใช้จ่ายทำการ64!$R$48</f>
        <v>1634.3322560753998</v>
      </c>
      <c r="W157" s="331" t="s">
        <v>348</v>
      </c>
      <c r="Y157" s="321"/>
    </row>
    <row r="158" spans="1:25">
      <c r="A158" s="326" t="s">
        <v>347</v>
      </c>
      <c r="B158" s="313"/>
      <c r="C158" s="330" t="e">
        <f>+SUM(#REF!)</f>
        <v>#REF!</v>
      </c>
      <c r="D158" s="330" t="e">
        <f>+SUM(#REF!)</f>
        <v>#REF!</v>
      </c>
      <c r="E158" s="330" t="e">
        <f>+SUM(#REF!)</f>
        <v>#REF!</v>
      </c>
      <c r="F158" s="323" t="e">
        <f>SUM(C158:E158)</f>
        <v>#REF!</v>
      </c>
      <c r="G158" s="330" t="e">
        <f>+SUM(#REF!)</f>
        <v>#REF!</v>
      </c>
      <c r="H158" s="330" t="e">
        <f>+SUM(#REF!)</f>
        <v>#REF!</v>
      </c>
      <c r="I158" s="330" t="e">
        <f>+SUM(#REF!)</f>
        <v>#REF!</v>
      </c>
      <c r="J158" s="329" t="e">
        <f>SUM(G158:I158)</f>
        <v>#REF!</v>
      </c>
      <c r="K158" s="308" t="e">
        <f>+SUM(#REF!)</f>
        <v>#REF!</v>
      </c>
      <c r="L158" s="308" t="e">
        <f>+SUM(#REF!)</f>
        <v>#REF!</v>
      </c>
      <c r="M158" s="308" t="e">
        <f>+SUM(#REF!)</f>
        <v>#REF!</v>
      </c>
      <c r="N158" s="329" t="e">
        <f>SUM(K158:M158)</f>
        <v>#REF!</v>
      </c>
      <c r="O158" s="308" t="e">
        <f>+SUM(#REF!)</f>
        <v>#REF!</v>
      </c>
      <c r="P158" s="308" t="e">
        <f>+SUM(#REF!)</f>
        <v>#REF!</v>
      </c>
      <c r="Q158" s="308" t="e">
        <f>+SUM(#REF!)</f>
        <v>#REF!</v>
      </c>
      <c r="R158" s="329" t="e">
        <f>SUM(O158:Q158)</f>
        <v>#REF!</v>
      </c>
      <c r="S158" s="322" t="e">
        <f>+F158+J158+N158+R158</f>
        <v>#REF!</v>
      </c>
      <c r="V158" s="328"/>
      <c r="W158" s="327" t="s">
        <v>346</v>
      </c>
      <c r="Y158" s="321"/>
    </row>
    <row r="159" spans="1:25">
      <c r="A159" s="326" t="s">
        <v>345</v>
      </c>
      <c r="B159" s="320"/>
      <c r="C159" s="325"/>
      <c r="D159" s="325">
        <v>0</v>
      </c>
      <c r="E159" s="325"/>
      <c r="F159" s="323">
        <f>SUM(C159:E159)</f>
        <v>0</v>
      </c>
      <c r="G159" s="325"/>
      <c r="H159" s="325"/>
      <c r="I159" s="325"/>
      <c r="J159" s="323">
        <f>SUM(G159:I159)</f>
        <v>0</v>
      </c>
      <c r="K159" s="324"/>
      <c r="L159" s="324"/>
      <c r="M159" s="324"/>
      <c r="N159" s="323">
        <f>SUM(K159:M159)</f>
        <v>0</v>
      </c>
      <c r="O159" s="324"/>
      <c r="P159" s="324"/>
      <c r="Q159" s="324"/>
      <c r="R159" s="323">
        <f>SUM(O159:Q159)</f>
        <v>0</v>
      </c>
      <c r="S159" s="322">
        <f>+F159+J159+N159+R159</f>
        <v>0</v>
      </c>
      <c r="U159" s="305">
        <f>S157/V157</f>
        <v>1.0000000000000002</v>
      </c>
      <c r="Y159" s="321"/>
    </row>
    <row r="160" spans="1:25" ht="22" thickBot="1">
      <c r="B160" s="320"/>
      <c r="C160" s="319" t="e">
        <f t="shared" ref="C160:S160" si="121">SUM(C157:C159)</f>
        <v>#REF!</v>
      </c>
      <c r="D160" s="319" t="e">
        <f t="shared" si="121"/>
        <v>#REF!</v>
      </c>
      <c r="E160" s="319" t="e">
        <f t="shared" si="121"/>
        <v>#REF!</v>
      </c>
      <c r="F160" s="318" t="e">
        <f t="shared" si="121"/>
        <v>#REF!</v>
      </c>
      <c r="G160" s="319" t="e">
        <f t="shared" si="121"/>
        <v>#REF!</v>
      </c>
      <c r="H160" s="319" t="e">
        <f t="shared" si="121"/>
        <v>#REF!</v>
      </c>
      <c r="I160" s="319" t="e">
        <f t="shared" si="121"/>
        <v>#REF!</v>
      </c>
      <c r="J160" s="318" t="e">
        <f t="shared" si="121"/>
        <v>#REF!</v>
      </c>
      <c r="K160" s="319" t="e">
        <f t="shared" si="121"/>
        <v>#REF!</v>
      </c>
      <c r="L160" s="319" t="e">
        <f t="shared" si="121"/>
        <v>#REF!</v>
      </c>
      <c r="M160" s="319" t="e">
        <f t="shared" si="121"/>
        <v>#REF!</v>
      </c>
      <c r="N160" s="318" t="e">
        <f t="shared" si="121"/>
        <v>#REF!</v>
      </c>
      <c r="O160" s="319" t="e">
        <f t="shared" si="121"/>
        <v>#REF!</v>
      </c>
      <c r="P160" s="319" t="e">
        <f t="shared" si="121"/>
        <v>#REF!</v>
      </c>
      <c r="Q160" s="319" t="e">
        <f t="shared" si="121"/>
        <v>#REF!</v>
      </c>
      <c r="R160" s="318" t="e">
        <f t="shared" si="121"/>
        <v>#REF!</v>
      </c>
      <c r="S160" s="317" t="e">
        <f t="shared" si="121"/>
        <v>#REF!</v>
      </c>
    </row>
    <row r="161" spans="1:57" ht="22" thickTop="1">
      <c r="B161" s="316" t="s">
        <v>344</v>
      </c>
      <c r="C161" s="315" t="e">
        <f t="shared" ref="C161:S161" si="122">+C136-C160</f>
        <v>#REF!</v>
      </c>
      <c r="D161" s="315" t="e">
        <f t="shared" si="122"/>
        <v>#REF!</v>
      </c>
      <c r="E161" s="315" t="e">
        <f t="shared" si="122"/>
        <v>#REF!</v>
      </c>
      <c r="F161" s="314" t="e">
        <f t="shared" si="122"/>
        <v>#REF!</v>
      </c>
      <c r="G161" s="315" t="e">
        <f t="shared" si="122"/>
        <v>#REF!</v>
      </c>
      <c r="H161" s="315" t="e">
        <f t="shared" si="122"/>
        <v>#REF!</v>
      </c>
      <c r="I161" s="315" t="e">
        <f t="shared" si="122"/>
        <v>#REF!</v>
      </c>
      <c r="J161" s="314" t="e">
        <f t="shared" si="122"/>
        <v>#REF!</v>
      </c>
      <c r="K161" s="314" t="e">
        <f t="shared" si="122"/>
        <v>#REF!</v>
      </c>
      <c r="L161" s="314" t="e">
        <f t="shared" si="122"/>
        <v>#REF!</v>
      </c>
      <c r="M161" s="314" t="e">
        <f t="shared" si="122"/>
        <v>#REF!</v>
      </c>
      <c r="N161" s="314" t="e">
        <f t="shared" si="122"/>
        <v>#REF!</v>
      </c>
      <c r="O161" s="314" t="e">
        <f t="shared" si="122"/>
        <v>#REF!</v>
      </c>
      <c r="P161" s="314" t="e">
        <f t="shared" si="122"/>
        <v>#REF!</v>
      </c>
      <c r="Q161" s="314" t="e">
        <f t="shared" si="122"/>
        <v>#REF!</v>
      </c>
      <c r="R161" s="314" t="e">
        <f t="shared" si="122"/>
        <v>#REF!</v>
      </c>
      <c r="S161" s="314" t="e">
        <f t="shared" si="122"/>
        <v>#REF!</v>
      </c>
    </row>
    <row r="163" spans="1:57" ht="26">
      <c r="A163" s="297" t="s">
        <v>331</v>
      </c>
    </row>
    <row r="164" spans="1:57" ht="23.5">
      <c r="A164" s="1388" t="s">
        <v>316</v>
      </c>
      <c r="B164" s="1388"/>
      <c r="C164" s="269" t="s">
        <v>315</v>
      </c>
      <c r="D164" s="269"/>
      <c r="E164" s="269"/>
      <c r="F164" s="268" t="str">
        <f>+C164</f>
        <v>MMBAHT</v>
      </c>
      <c r="G164" s="269"/>
      <c r="H164" s="269"/>
      <c r="I164" s="269"/>
      <c r="J164" s="268"/>
      <c r="K164" s="268"/>
      <c r="L164" s="268"/>
      <c r="M164" s="268"/>
      <c r="N164" s="268"/>
      <c r="O164" s="268"/>
      <c r="P164" s="268"/>
      <c r="Q164" s="268"/>
      <c r="R164" s="267"/>
      <c r="S164" s="267"/>
      <c r="U164" s="266" t="s">
        <v>314</v>
      </c>
      <c r="V164" s="266"/>
      <c r="W164" s="266"/>
      <c r="X164" s="265" t="str">
        <f>+U164</f>
        <v>VOLUME</v>
      </c>
      <c r="Y164" s="266"/>
      <c r="Z164" s="266"/>
      <c r="AA164" s="266"/>
      <c r="AB164" s="265"/>
      <c r="AC164" s="265"/>
      <c r="AD164" s="265"/>
      <c r="AE164" s="265"/>
      <c r="AF164" s="265"/>
      <c r="AG164" s="265"/>
      <c r="AH164" s="265"/>
      <c r="AI164" s="265"/>
      <c r="AJ164" s="264"/>
      <c r="AK164" s="264"/>
      <c r="AM164" s="263" t="s">
        <v>343</v>
      </c>
      <c r="AN164" s="263"/>
      <c r="AO164" s="263"/>
      <c r="AP164" s="263" t="s">
        <v>343</v>
      </c>
      <c r="AQ164" s="263"/>
      <c r="AR164" s="263"/>
      <c r="AS164" s="263"/>
      <c r="AT164" s="263"/>
      <c r="AU164" s="263"/>
      <c r="AV164" s="263"/>
      <c r="AW164" s="263"/>
      <c r="AX164" s="263"/>
      <c r="AY164" s="263"/>
      <c r="AZ164" s="262"/>
      <c r="BA164" s="262"/>
      <c r="BB164" s="262"/>
      <c r="BC164" s="262"/>
    </row>
    <row r="165" spans="1:57">
      <c r="A165" s="261"/>
      <c r="B165" s="261"/>
      <c r="C165" s="260" t="s">
        <v>311</v>
      </c>
      <c r="D165" s="260" t="s">
        <v>310</v>
      </c>
      <c r="E165" s="260" t="s">
        <v>182</v>
      </c>
      <c r="F165" s="258" t="s">
        <v>309</v>
      </c>
      <c r="G165" s="260" t="s">
        <v>308</v>
      </c>
      <c r="H165" s="260" t="s">
        <v>307</v>
      </c>
      <c r="I165" s="260" t="s">
        <v>306</v>
      </c>
      <c r="J165" s="258" t="s">
        <v>305</v>
      </c>
      <c r="K165" s="259" t="s">
        <v>304</v>
      </c>
      <c r="L165" s="259" t="s">
        <v>303</v>
      </c>
      <c r="M165" s="259" t="s">
        <v>302</v>
      </c>
      <c r="N165" s="258" t="s">
        <v>301</v>
      </c>
      <c r="O165" s="259" t="s">
        <v>300</v>
      </c>
      <c r="P165" s="259" t="s">
        <v>299</v>
      </c>
      <c r="Q165" s="259" t="s">
        <v>298</v>
      </c>
      <c r="R165" s="258" t="s">
        <v>297</v>
      </c>
      <c r="S165" s="257" t="s">
        <v>312</v>
      </c>
      <c r="T165" s="252"/>
      <c r="U165" s="256" t="s">
        <v>311</v>
      </c>
      <c r="V165" s="256" t="s">
        <v>310</v>
      </c>
      <c r="W165" s="256" t="s">
        <v>182</v>
      </c>
      <c r="X165" s="254" t="s">
        <v>309</v>
      </c>
      <c r="Y165" s="256" t="s">
        <v>308</v>
      </c>
      <c r="Z165" s="256" t="s">
        <v>307</v>
      </c>
      <c r="AA165" s="256" t="s">
        <v>306</v>
      </c>
      <c r="AB165" s="254" t="s">
        <v>305</v>
      </c>
      <c r="AC165" s="255" t="s">
        <v>304</v>
      </c>
      <c r="AD165" s="255" t="s">
        <v>303</v>
      </c>
      <c r="AE165" s="255" t="s">
        <v>302</v>
      </c>
      <c r="AF165" s="254" t="s">
        <v>301</v>
      </c>
      <c r="AG165" s="255" t="s">
        <v>300</v>
      </c>
      <c r="AH165" s="255" t="s">
        <v>299</v>
      </c>
      <c r="AI165" s="255" t="s">
        <v>298</v>
      </c>
      <c r="AJ165" s="254" t="s">
        <v>297</v>
      </c>
      <c r="AK165" s="253" t="s">
        <v>296</v>
      </c>
      <c r="AL165" s="252"/>
      <c r="AM165" s="251" t="s">
        <v>311</v>
      </c>
      <c r="AN165" s="251" t="s">
        <v>310</v>
      </c>
      <c r="AO165" s="251" t="s">
        <v>182</v>
      </c>
      <c r="AP165" s="250" t="s">
        <v>309</v>
      </c>
      <c r="AQ165" s="251" t="s">
        <v>308</v>
      </c>
      <c r="AR165" s="251" t="s">
        <v>307</v>
      </c>
      <c r="AS165" s="251" t="s">
        <v>306</v>
      </c>
      <c r="AT165" s="250" t="s">
        <v>305</v>
      </c>
      <c r="AU165" s="251" t="s">
        <v>304</v>
      </c>
      <c r="AV165" s="251" t="s">
        <v>303</v>
      </c>
      <c r="AW165" s="251" t="s">
        <v>302</v>
      </c>
      <c r="AX165" s="250" t="s">
        <v>301</v>
      </c>
      <c r="AY165" s="251" t="s">
        <v>300</v>
      </c>
      <c r="AZ165" s="251" t="s">
        <v>299</v>
      </c>
      <c r="BA165" s="251" t="s">
        <v>298</v>
      </c>
      <c r="BB165" s="250" t="s">
        <v>297</v>
      </c>
      <c r="BC165" s="249" t="s">
        <v>296</v>
      </c>
      <c r="BD165" s="313"/>
    </row>
    <row r="166" spans="1:57">
      <c r="A166" s="294" t="s">
        <v>342</v>
      </c>
      <c r="B166" s="233" t="s">
        <v>341</v>
      </c>
      <c r="C166" s="292">
        <f t="shared" ref="C166:E168" si="123">+U166*AM166/1000000</f>
        <v>0</v>
      </c>
      <c r="D166" s="292">
        <f t="shared" si="123"/>
        <v>0</v>
      </c>
      <c r="E166" s="292">
        <f t="shared" si="123"/>
        <v>0</v>
      </c>
      <c r="F166" s="291">
        <f>SUM(C166:E166)</f>
        <v>0</v>
      </c>
      <c r="G166" s="292">
        <f t="shared" ref="G166:I168" si="124">+Y166*AQ166/1000000</f>
        <v>0</v>
      </c>
      <c r="H166" s="292">
        <f t="shared" si="124"/>
        <v>0</v>
      </c>
      <c r="I166" s="292">
        <f t="shared" si="124"/>
        <v>0</v>
      </c>
      <c r="J166" s="291">
        <f>SUM(G166:I166)</f>
        <v>0</v>
      </c>
      <c r="K166" s="292">
        <f t="shared" ref="K166:M168" si="125">+AC166*AU166/1000000</f>
        <v>0</v>
      </c>
      <c r="L166" s="292">
        <f t="shared" si="125"/>
        <v>0</v>
      </c>
      <c r="M166" s="292">
        <f t="shared" si="125"/>
        <v>0</v>
      </c>
      <c r="N166" s="291">
        <f>SUM(K166:M166)</f>
        <v>0</v>
      </c>
      <c r="O166" s="292">
        <f t="shared" ref="O166:Q168" si="126">+AG166*AY166/1000000</f>
        <v>0</v>
      </c>
      <c r="P166" s="292">
        <f t="shared" si="126"/>
        <v>0</v>
      </c>
      <c r="Q166" s="292">
        <f t="shared" si="126"/>
        <v>13.90262166474932</v>
      </c>
      <c r="R166" s="291">
        <f>SUM(O166:Q166)</f>
        <v>13.90262166474932</v>
      </c>
      <c r="S166" s="290">
        <f>+F166+J166+N166+R166</f>
        <v>13.90262166474932</v>
      </c>
      <c r="T166" s="285"/>
      <c r="U166" s="241">
        <f>+[18]Production_M!B89</f>
        <v>0</v>
      </c>
      <c r="V166" s="241">
        <f>+[18]Production_M!C89</f>
        <v>0</v>
      </c>
      <c r="W166" s="241">
        <f>+[18]Production_M!D89</f>
        <v>0</v>
      </c>
      <c r="X166" s="240">
        <f>SUM(U166:W166)</f>
        <v>0</v>
      </c>
      <c r="Y166" s="241">
        <f>+[18]Production_M!F89</f>
        <v>0</v>
      </c>
      <c r="Z166" s="241">
        <f>+[18]Production_M!G89</f>
        <v>0</v>
      </c>
      <c r="AA166" s="241">
        <f>+[18]Production_M!H89</f>
        <v>0</v>
      </c>
      <c r="AB166" s="240">
        <f>SUM(Y166:AA166)</f>
        <v>0</v>
      </c>
      <c r="AC166" s="241">
        <f>+[18]Production_M!J89</f>
        <v>0</v>
      </c>
      <c r="AD166" s="241">
        <f>+[18]Production_M!K89</f>
        <v>0</v>
      </c>
      <c r="AE166" s="241">
        <f>+[18]Production_M!L89</f>
        <v>0</v>
      </c>
      <c r="AF166" s="240">
        <f>SUM(AC166:AE166)</f>
        <v>0</v>
      </c>
      <c r="AG166" s="241">
        <f>+[18]Production_M!N89</f>
        <v>0</v>
      </c>
      <c r="AH166" s="241">
        <f>+[18]Production_M!O89</f>
        <v>0</v>
      </c>
      <c r="AI166" s="241">
        <f>+[18]Production_M!P89</f>
        <v>11321.659025595125</v>
      </c>
      <c r="AJ166" s="240">
        <f>SUM(AG166:AI166)</f>
        <v>11321.659025595125</v>
      </c>
      <c r="AK166" s="311">
        <f>+X166+AB166+AF166+AJ166</f>
        <v>11321.659025595125</v>
      </c>
      <c r="AL166" s="285"/>
      <c r="AM166" s="241">
        <f>[17]PP21!B607</f>
        <v>1090.5814880000003</v>
      </c>
      <c r="AN166" s="241">
        <f>[17]PP21!C607</f>
        <v>1087.5453479999999</v>
      </c>
      <c r="AO166" s="241">
        <f>[17]PP21!D607</f>
        <v>1114.1115729999999</v>
      </c>
      <c r="AP166" s="247">
        <f>IF(X166=0,0,+F166/X166*1000000)</f>
        <v>0</v>
      </c>
      <c r="AQ166" s="241">
        <f>[17]PP21!F607</f>
        <v>1095.1356979999998</v>
      </c>
      <c r="AR166" s="241">
        <f>[17]PP21!G607</f>
        <v>1095.1356979999998</v>
      </c>
      <c r="AS166" s="241">
        <f>[17]PP21!H607</f>
        <v>1120.183853</v>
      </c>
      <c r="AT166" s="247">
        <f>IF(AB166=0,0,+J166/AB166*1000000)</f>
        <v>0</v>
      </c>
      <c r="AU166" s="241">
        <f>[17]PP21!J607</f>
        <v>1158.1356029999999</v>
      </c>
      <c r="AV166" s="241">
        <f>[17]PP21!K607</f>
        <v>1157.3765680000001</v>
      </c>
      <c r="AW166" s="241">
        <f>[17]PP21!L607</f>
        <v>1180.9066529999998</v>
      </c>
      <c r="AX166" s="247">
        <f>IF(AF166=0,0,+N166/AF166*1000000)</f>
        <v>0</v>
      </c>
      <c r="AY166" s="241">
        <f>[17]PP21!N607</f>
        <v>1207.472878</v>
      </c>
      <c r="AZ166" s="241">
        <f>[17]PP21!O607</f>
        <v>1241.629453</v>
      </c>
      <c r="BA166" s="241">
        <f>[17]PP21!P607</f>
        <v>1227.966823</v>
      </c>
      <c r="BB166" s="247">
        <f t="shared" ref="BB166:BC169" si="127">IF(AJ166=0,0,+R166/AJ166*1000000)</f>
        <v>1227.966823</v>
      </c>
      <c r="BC166" s="282">
        <f t="shared" si="127"/>
        <v>1227.966823</v>
      </c>
    </row>
    <row r="167" spans="1:57">
      <c r="B167" s="233" t="s">
        <v>340</v>
      </c>
      <c r="C167" s="292">
        <f t="shared" si="123"/>
        <v>0</v>
      </c>
      <c r="D167" s="292">
        <f t="shared" si="123"/>
        <v>0</v>
      </c>
      <c r="E167" s="292">
        <f t="shared" si="123"/>
        <v>0</v>
      </c>
      <c r="F167" s="291">
        <f>SUM(C167:E167)</f>
        <v>0</v>
      </c>
      <c r="G167" s="292">
        <f t="shared" si="124"/>
        <v>0</v>
      </c>
      <c r="H167" s="292">
        <f t="shared" si="124"/>
        <v>0</v>
      </c>
      <c r="I167" s="292">
        <f t="shared" si="124"/>
        <v>0</v>
      </c>
      <c r="J167" s="291">
        <f>SUM(G167:I167)</f>
        <v>0</v>
      </c>
      <c r="K167" s="292">
        <f t="shared" si="125"/>
        <v>0</v>
      </c>
      <c r="L167" s="292">
        <f t="shared" si="125"/>
        <v>0</v>
      </c>
      <c r="M167" s="292">
        <f t="shared" si="125"/>
        <v>0</v>
      </c>
      <c r="N167" s="291">
        <f>SUM(K167:M167)</f>
        <v>0</v>
      </c>
      <c r="O167" s="292">
        <f t="shared" si="126"/>
        <v>0</v>
      </c>
      <c r="P167" s="292">
        <f t="shared" si="126"/>
        <v>0</v>
      </c>
      <c r="Q167" s="292">
        <f t="shared" si="126"/>
        <v>0</v>
      </c>
      <c r="R167" s="291">
        <f>SUM(O167:Q167)</f>
        <v>0</v>
      </c>
      <c r="S167" s="290">
        <f>+F167+J167+N167+R167</f>
        <v>0</v>
      </c>
      <c r="U167" s="241">
        <f>[18]Production_M!B98</f>
        <v>0</v>
      </c>
      <c r="V167" s="241">
        <f>[18]Production_M!C98</f>
        <v>0</v>
      </c>
      <c r="W167" s="312"/>
      <c r="X167" s="240">
        <f>SUM(U167:W167)</f>
        <v>0</v>
      </c>
      <c r="Y167" s="241">
        <f>[18]Production_M!F98</f>
        <v>0</v>
      </c>
      <c r="Z167" s="241">
        <f>[18]Production_M!G98</f>
        <v>0</v>
      </c>
      <c r="AA167" s="312">
        <v>0</v>
      </c>
      <c r="AB167" s="240">
        <f>SUM(Y167:AA167)</f>
        <v>0</v>
      </c>
      <c r="AC167" s="241">
        <f>[18]Production_M!J98</f>
        <v>0</v>
      </c>
      <c r="AD167" s="241">
        <f>[18]Production_M!K98</f>
        <v>0</v>
      </c>
      <c r="AE167" s="241">
        <f>[18]Production_M!L98</f>
        <v>0</v>
      </c>
      <c r="AF167" s="240">
        <f>SUM(AC167:AE167)</f>
        <v>0</v>
      </c>
      <c r="AG167" s="241">
        <f>[18]Production_M!N98</f>
        <v>0</v>
      </c>
      <c r="AH167" s="241">
        <f>[18]Production_M!O98</f>
        <v>0</v>
      </c>
      <c r="AI167" s="241">
        <f>[18]Production_M!P98</f>
        <v>0</v>
      </c>
      <c r="AJ167" s="240">
        <f>SUM(AG167:AI167)</f>
        <v>0</v>
      </c>
      <c r="AK167" s="311">
        <f>+X167+AB167+AF167+AJ167</f>
        <v>0</v>
      </c>
      <c r="AM167" s="241">
        <f>[17]PP21!B615</f>
        <v>1090.5814880000003</v>
      </c>
      <c r="AN167" s="241">
        <f>[17]PP21!C615</f>
        <v>1087.5453479999999</v>
      </c>
      <c r="AO167" s="241">
        <f>[17]PP21!D615</f>
        <v>1114.1115729999999</v>
      </c>
      <c r="AP167" s="247">
        <f>IF(X167=0,0,+F167/X167*1000000)</f>
        <v>0</v>
      </c>
      <c r="AQ167" s="241">
        <f>[17]PP21!F615</f>
        <v>1095.1356979999998</v>
      </c>
      <c r="AR167" s="241">
        <f>[17]PP21!G615</f>
        <v>1095.1356979999998</v>
      </c>
      <c r="AS167" s="241">
        <f>[17]PP21!H615</f>
        <v>1120.183853</v>
      </c>
      <c r="AT167" s="247">
        <f>IF(AB167=0,0,+J167/AB167*1000000)</f>
        <v>0</v>
      </c>
      <c r="AU167" s="241">
        <f>[17]PP21!J615</f>
        <v>1158.1356029999999</v>
      </c>
      <c r="AV167" s="241">
        <f>[17]PP21!K615</f>
        <v>1157.3765680000001</v>
      </c>
      <c r="AW167" s="241">
        <f>[17]PP21!L615</f>
        <v>1180.9066529999998</v>
      </c>
      <c r="AX167" s="247">
        <f>IF(AF167=0,0,+N167/AF167*1000000)</f>
        <v>0</v>
      </c>
      <c r="AY167" s="241">
        <f>[17]PP21!N615</f>
        <v>1207.472878</v>
      </c>
      <c r="AZ167" s="241">
        <f>[17]PP21!O615</f>
        <v>1241.629453</v>
      </c>
      <c r="BA167" s="241">
        <f>[17]PP21!P615</f>
        <v>1227.966823</v>
      </c>
      <c r="BB167" s="247">
        <f t="shared" si="127"/>
        <v>0</v>
      </c>
      <c r="BC167" s="282">
        <f t="shared" si="127"/>
        <v>0</v>
      </c>
    </row>
    <row r="168" spans="1:57">
      <c r="B168" s="233" t="s">
        <v>339</v>
      </c>
      <c r="C168" s="292">
        <f t="shared" si="123"/>
        <v>28.636003133152908</v>
      </c>
      <c r="D168" s="292">
        <f t="shared" si="123"/>
        <v>18.759843618066466</v>
      </c>
      <c r="E168" s="292">
        <f t="shared" si="123"/>
        <v>41.521176550684082</v>
      </c>
      <c r="F168" s="291">
        <f>SUM(C168:E168)</f>
        <v>88.917023301903455</v>
      </c>
      <c r="G168" s="292">
        <f t="shared" si="124"/>
        <v>39.22982090985851</v>
      </c>
      <c r="H168" s="292">
        <f t="shared" si="124"/>
        <v>19.68820705478743</v>
      </c>
      <c r="I168" s="292">
        <f t="shared" si="124"/>
        <v>33.377472350899012</v>
      </c>
      <c r="J168" s="291">
        <f>SUM(G168:I168)</f>
        <v>92.295500315544956</v>
      </c>
      <c r="K168" s="292">
        <f t="shared" si="125"/>
        <v>42.211058857976639</v>
      </c>
      <c r="L168" s="292">
        <f t="shared" si="125"/>
        <v>34.388027827166873</v>
      </c>
      <c r="M168" s="292">
        <f t="shared" si="125"/>
        <v>31.818887698020589</v>
      </c>
      <c r="N168" s="291">
        <f>SUM(K168:M168)</f>
        <v>108.41797438316409</v>
      </c>
      <c r="O168" s="292">
        <f t="shared" si="126"/>
        <v>41.662603636948255</v>
      </c>
      <c r="P168" s="292">
        <f t="shared" si="126"/>
        <v>43.667921093542155</v>
      </c>
      <c r="Q168" s="292">
        <f t="shared" si="126"/>
        <v>42.671042943564615</v>
      </c>
      <c r="R168" s="291">
        <f>SUM(O168:Q168)</f>
        <v>128.00156767405502</v>
      </c>
      <c r="S168" s="290">
        <f>+F168+J168+N168+R168</f>
        <v>417.63206567466756</v>
      </c>
      <c r="T168" s="285"/>
      <c r="U168" s="241">
        <f>+[18]Production_M!U90</f>
        <v>27049.547190433961</v>
      </c>
      <c r="V168" s="241">
        <f>+[18]Production_M!V90</f>
        <v>17772.576967520694</v>
      </c>
      <c r="W168" s="241">
        <f>+[18]Production_M!W90</f>
        <v>38350.545224267742</v>
      </c>
      <c r="X168" s="240">
        <f>SUM(U168:W168)</f>
        <v>83172.669382222404</v>
      </c>
      <c r="Y168" s="241">
        <f>+[18]Production_M!Y90</f>
        <v>36894.405068991357</v>
      </c>
      <c r="Z168" s="241">
        <f>+[18]Production_M!Z90</f>
        <v>18516.135667062383</v>
      </c>
      <c r="AA168" s="241">
        <f>+[18]Production_M!AA90</f>
        <v>30653.171714750559</v>
      </c>
      <c r="AB168" s="240">
        <f>SUM(Y168:AA168)</f>
        <v>86063.712450804291</v>
      </c>
      <c r="AC168" s="241">
        <f>+[18]Production_M!AC90</f>
        <v>37433.596149408389</v>
      </c>
      <c r="AD168" s="241">
        <f>+[18]Production_M!AD90</f>
        <v>30516.952413512769</v>
      </c>
      <c r="AE168" s="241">
        <f>+[18]Production_M!AE90</f>
        <v>27647.56180994512</v>
      </c>
      <c r="AF168" s="240">
        <f>SUM(AC168:AE168)</f>
        <v>95598.110372866286</v>
      </c>
      <c r="AG168" s="241">
        <f>+[18]Production_M!AG90</f>
        <v>35367.235685015497</v>
      </c>
      <c r="AH168" s="241">
        <f>+[18]Production_M!AH90</f>
        <v>36003.645135353734</v>
      </c>
      <c r="AI168" s="241">
        <f>+[18]Production_M!AI90</f>
        <v>35591.086134299156</v>
      </c>
      <c r="AJ168" s="240">
        <f>SUM(AG168:AI168)</f>
        <v>106961.96695466839</v>
      </c>
      <c r="AK168" s="311">
        <f>+X168+AB168+AF168+AJ168</f>
        <v>371796.45916056138</v>
      </c>
      <c r="AL168" s="285"/>
      <c r="AM168" s="241">
        <f>[17]PP21!B608</f>
        <v>1058.6499999999999</v>
      </c>
      <c r="AN168" s="241">
        <f>[17]PP21!C608</f>
        <v>1055.55</v>
      </c>
      <c r="AO168" s="241">
        <f>[17]PP21!D608</f>
        <v>1082.675</v>
      </c>
      <c r="AP168" s="247">
        <f>IF(X168=0,0,+F168/X168*1000000)</f>
        <v>1069.0654028823183</v>
      </c>
      <c r="AQ168" s="241">
        <f>[17]PP21!F608</f>
        <v>1063.3</v>
      </c>
      <c r="AR168" s="241">
        <f>[17]PP21!G608</f>
        <v>1063.3</v>
      </c>
      <c r="AS168" s="241">
        <f>[17]PP21!H608</f>
        <v>1088.875</v>
      </c>
      <c r="AT168" s="247">
        <f>IF(AB168=0,0,+J168/AB168*1000000)</f>
        <v>1072.4090059245686</v>
      </c>
      <c r="AU168" s="241">
        <f>[17]PP21!J608</f>
        <v>1127.625</v>
      </c>
      <c r="AV168" s="241">
        <f>[17]PP21!K608</f>
        <v>1126.8500000000001</v>
      </c>
      <c r="AW168" s="241">
        <f>[17]PP21!L608</f>
        <v>1150.875</v>
      </c>
      <c r="AX168" s="247">
        <f>IF(AF168=0,0,+N168/AF168*1000000)</f>
        <v>1134.1016465733037</v>
      </c>
      <c r="AY168" s="241">
        <f>[17]PP21!N608</f>
        <v>1178</v>
      </c>
      <c r="AZ168" s="241">
        <f>[17]PP21!O608</f>
        <v>1212.875</v>
      </c>
      <c r="BA168" s="241">
        <f>[17]PP21!P608</f>
        <v>1198.925</v>
      </c>
      <c r="BB168" s="247">
        <f t="shared" si="127"/>
        <v>1196.701699850971</v>
      </c>
      <c r="BC168" s="282">
        <f t="shared" si="127"/>
        <v>1123.2814497953891</v>
      </c>
    </row>
    <row r="169" spans="1:57" ht="22" thickBot="1">
      <c r="C169" s="302">
        <f t="shared" ref="C169:S169" si="128">SUM(C166:C168)</f>
        <v>28.636003133152908</v>
      </c>
      <c r="D169" s="302">
        <f t="shared" si="128"/>
        <v>18.759843618066466</v>
      </c>
      <c r="E169" s="302">
        <f t="shared" si="128"/>
        <v>41.521176550684082</v>
      </c>
      <c r="F169" s="280">
        <f t="shared" si="128"/>
        <v>88.917023301903455</v>
      </c>
      <c r="G169" s="302">
        <f t="shared" si="128"/>
        <v>39.22982090985851</v>
      </c>
      <c r="H169" s="302">
        <f t="shared" si="128"/>
        <v>19.68820705478743</v>
      </c>
      <c r="I169" s="302">
        <f t="shared" si="128"/>
        <v>33.377472350899012</v>
      </c>
      <c r="J169" s="280">
        <f t="shared" si="128"/>
        <v>92.295500315544956</v>
      </c>
      <c r="K169" s="302">
        <f t="shared" si="128"/>
        <v>42.211058857976639</v>
      </c>
      <c r="L169" s="302">
        <f t="shared" si="128"/>
        <v>34.388027827166873</v>
      </c>
      <c r="M169" s="302">
        <f t="shared" si="128"/>
        <v>31.818887698020589</v>
      </c>
      <c r="N169" s="280">
        <f t="shared" si="128"/>
        <v>108.41797438316409</v>
      </c>
      <c r="O169" s="302">
        <f t="shared" si="128"/>
        <v>41.662603636948255</v>
      </c>
      <c r="P169" s="302">
        <f t="shared" si="128"/>
        <v>43.667921093542155</v>
      </c>
      <c r="Q169" s="302">
        <f t="shared" si="128"/>
        <v>56.573664608313933</v>
      </c>
      <c r="R169" s="280">
        <f t="shared" si="128"/>
        <v>141.90418933880434</v>
      </c>
      <c r="S169" s="279">
        <f t="shared" si="128"/>
        <v>431.53468733941691</v>
      </c>
      <c r="U169" s="273">
        <f t="shared" ref="U169:AK169" si="129">SUM(U166:U168)</f>
        <v>27049.547190433961</v>
      </c>
      <c r="V169" s="273">
        <f t="shared" si="129"/>
        <v>17772.576967520694</v>
      </c>
      <c r="W169" s="273">
        <f t="shared" si="129"/>
        <v>38350.545224267742</v>
      </c>
      <c r="X169" s="278">
        <f t="shared" si="129"/>
        <v>83172.669382222404</v>
      </c>
      <c r="Y169" s="273">
        <f t="shared" si="129"/>
        <v>36894.405068991357</v>
      </c>
      <c r="Z169" s="273">
        <f t="shared" si="129"/>
        <v>18516.135667062383</v>
      </c>
      <c r="AA169" s="273">
        <f t="shared" si="129"/>
        <v>30653.171714750559</v>
      </c>
      <c r="AB169" s="278">
        <f t="shared" si="129"/>
        <v>86063.712450804291</v>
      </c>
      <c r="AC169" s="273">
        <f t="shared" si="129"/>
        <v>37433.596149408389</v>
      </c>
      <c r="AD169" s="273">
        <f t="shared" si="129"/>
        <v>30516.952413512769</v>
      </c>
      <c r="AE169" s="273">
        <f t="shared" si="129"/>
        <v>27647.56180994512</v>
      </c>
      <c r="AF169" s="278">
        <f t="shared" si="129"/>
        <v>95598.110372866286</v>
      </c>
      <c r="AG169" s="273">
        <f t="shared" si="129"/>
        <v>35367.235685015497</v>
      </c>
      <c r="AH169" s="273">
        <f t="shared" si="129"/>
        <v>36003.645135353734</v>
      </c>
      <c r="AI169" s="273">
        <f t="shared" si="129"/>
        <v>46912.745159894279</v>
      </c>
      <c r="AJ169" s="278">
        <f t="shared" si="129"/>
        <v>118283.62598026352</v>
      </c>
      <c r="AK169" s="310">
        <f t="shared" si="129"/>
        <v>383118.1181861565</v>
      </c>
      <c r="AM169" s="273">
        <f>IF(U169=0,0,+C169*1000000/U169)</f>
        <v>1058.6499999999999</v>
      </c>
      <c r="AN169" s="273">
        <f>IF(V169=0,0,+D169*1000000/V169)</f>
        <v>1055.55</v>
      </c>
      <c r="AO169" s="273">
        <f>IF(W169=0,0,+E169*1000000/W169)</f>
        <v>1082.675</v>
      </c>
      <c r="AP169" s="274">
        <f>IF(X169=0,0,+F169/X169*1000000)</f>
        <v>1069.0654028823183</v>
      </c>
      <c r="AQ169" s="273">
        <f>IF(Y169=0,0,+G169*1000000/Y169)</f>
        <v>1063.3</v>
      </c>
      <c r="AR169" s="273">
        <f>IF(Z169=0,0,+H169*1000000/Z169)</f>
        <v>1063.3</v>
      </c>
      <c r="AS169" s="273">
        <f>IF(AA169=0,0,+I169*1000000/AA169)</f>
        <v>1088.8749999999998</v>
      </c>
      <c r="AT169" s="274">
        <f>IF(AB169=0,0,+J169/AB169*1000000)</f>
        <v>1072.4090059245686</v>
      </c>
      <c r="AU169" s="273">
        <f>IF(AC169=0,0,+K169*1000000/AC169)</f>
        <v>1127.625</v>
      </c>
      <c r="AV169" s="273">
        <f>IF(AD169=0,0,+L169*1000000/AD169)</f>
        <v>1126.8500000000001</v>
      </c>
      <c r="AW169" s="273">
        <f>IF(AE169=0,0,+M169*1000000/AE169)</f>
        <v>1150.875</v>
      </c>
      <c r="AX169" s="274">
        <f>IF(AF169=0,0,+N169/AF169*1000000)</f>
        <v>1134.1016465733037</v>
      </c>
      <c r="AY169" s="273">
        <f>IF(AG169=0,0,+O169*1000000/AG169)</f>
        <v>1178</v>
      </c>
      <c r="AZ169" s="273">
        <f>IF(AH169=0,0,+P169*1000000/AH169)</f>
        <v>1212.875</v>
      </c>
      <c r="BA169" s="273">
        <f>IF(AI169=0,0,+Q169*1000000/AI169)</f>
        <v>1205.9337908172292</v>
      </c>
      <c r="BB169" s="272">
        <f t="shared" si="127"/>
        <v>1199.6942785849506</v>
      </c>
      <c r="BC169" s="271">
        <f t="shared" si="127"/>
        <v>1126.3750442878686</v>
      </c>
    </row>
    <row r="170" spans="1:57" ht="22" thickTop="1"/>
    <row r="171" spans="1:57">
      <c r="B171" s="233" t="s">
        <v>338</v>
      </c>
      <c r="F171" s="237">
        <f>SUM(C171:E171)</f>
        <v>0</v>
      </c>
      <c r="J171" s="237">
        <f>SUM(G171:I171)</f>
        <v>0</v>
      </c>
      <c r="N171" s="237">
        <f>SUM(K171:M171)</f>
        <v>0</v>
      </c>
      <c r="R171" s="237">
        <f>SUM(O171:Q171)</f>
        <v>0</v>
      </c>
      <c r="S171" s="290">
        <f>+F171+J171+N171+R171</f>
        <v>0</v>
      </c>
    </row>
    <row r="172" spans="1:57">
      <c r="B172" s="233" t="s">
        <v>337</v>
      </c>
    </row>
    <row r="173" spans="1:57">
      <c r="B173" s="233" t="s">
        <v>336</v>
      </c>
      <c r="C173" s="308">
        <f>+($V173)/12-($V173*0.01)</f>
        <v>274.03728557368686</v>
      </c>
      <c r="D173" s="308">
        <f>+($V173-$C173)/11-($V173*0.01)</f>
        <v>277.43444200641852</v>
      </c>
      <c r="E173" s="308">
        <f>+($V173-$C173-$D173)/10-($V173*0.01)</f>
        <v>281.17131408242329</v>
      </c>
      <c r="F173" s="309">
        <f>SUM(C173:E173)</f>
        <v>832.64304166252873</v>
      </c>
      <c r="G173" s="308">
        <f>+($V173-$C173-$D173-$E173)/9-($V173*0.01)</f>
        <v>285.32339416687313</v>
      </c>
      <c r="H173" s="308">
        <f>+($V173-$C173-$D173-$E173-$G173)/8-($V173*0.01)</f>
        <v>289.99448426187917</v>
      </c>
      <c r="I173" s="308">
        <f>+($V173-$C173-$D173-$E173-$G173-$H173)/7-($V173*0.01)</f>
        <v>295.33287294188602</v>
      </c>
      <c r="J173" s="309">
        <f>SUM(G173:I173)</f>
        <v>870.65075137063832</v>
      </c>
      <c r="K173" s="308">
        <f>+($V173-$C173-$D173-$E173-$G173-$H173-$I173)/6-($V173*0.01)</f>
        <v>301.56099306856072</v>
      </c>
      <c r="L173" s="308">
        <f>+($V173-$C173-$D173-$E173-$G173-$H173-$I173-$K173)/5-($V173*0.01)</f>
        <v>309.03473722057038</v>
      </c>
      <c r="M173" s="308">
        <f>+($V173-$C173-$D173-$E173-$G173-$H173-$I173-$K173-$L173)/4-($V173*0.01)</f>
        <v>318.37691741058245</v>
      </c>
      <c r="N173" s="309">
        <f>SUM(K173:M173)</f>
        <v>928.97264769971355</v>
      </c>
      <c r="O173" s="308">
        <f>+($V173-$C173-$D173-$E173-$G173-$H173-$I173-$K173-$L173-$M173)/3-($V173*0.005)</f>
        <v>349.51751804395599</v>
      </c>
      <c r="P173" s="308">
        <f>+($V173-$C173-$D173-$E173-$G173-$H173-$I173-$K173-$L173-$M173-$O173)/2-($V173*0.003)</f>
        <v>366.33344238597761</v>
      </c>
      <c r="Q173" s="308">
        <f>+($V173-$C173-$D173-$E173-$G173-$H173-$I173-$K173-$L173-$M173-$O173-$P173)/1</f>
        <v>388.75467484200658</v>
      </c>
      <c r="R173" s="307">
        <f>SUM(O173:Q173)</f>
        <v>1104.6056352719402</v>
      </c>
      <c r="S173" s="306">
        <f>+F173+J173+N173+R173</f>
        <v>3736.8720760048209</v>
      </c>
      <c r="U173" s="305">
        <f>S173/V173</f>
        <v>1</v>
      </c>
      <c r="V173" s="304">
        <f>[14]ค่าใช้จ่ายทำการ64!$R$47-[14]ค่าใช้จ่ายทำการ64!$R$6</f>
        <v>3736.8720760048209</v>
      </c>
    </row>
    <row r="174" spans="1:57" ht="22" thickBot="1">
      <c r="B174" s="303" t="s">
        <v>335</v>
      </c>
      <c r="C174" s="302">
        <f>C171+C173</f>
        <v>274.03728557368686</v>
      </c>
      <c r="D174" s="302">
        <f>D171+D173</f>
        <v>277.43444200641852</v>
      </c>
      <c r="E174" s="302">
        <f>E171+E173</f>
        <v>281.17131408242329</v>
      </c>
      <c r="F174" s="301">
        <f>SUM(C174:E174)</f>
        <v>832.64304166252873</v>
      </c>
      <c r="G174" s="302">
        <f>G171+G173</f>
        <v>285.32339416687313</v>
      </c>
      <c r="H174" s="302">
        <f>H171+H173</f>
        <v>289.99448426187917</v>
      </c>
      <c r="I174" s="302">
        <f>I171+I173</f>
        <v>295.33287294188602</v>
      </c>
      <c r="J174" s="301">
        <f>SUM(G174:I174)</f>
        <v>870.65075137063832</v>
      </c>
      <c r="K174" s="302">
        <f>K171+K173</f>
        <v>301.56099306856072</v>
      </c>
      <c r="L174" s="302">
        <f>L171+L173</f>
        <v>309.03473722057038</v>
      </c>
      <c r="M174" s="302">
        <f>M171+M173</f>
        <v>318.37691741058245</v>
      </c>
      <c r="N174" s="301">
        <f>SUM(K174:M174)</f>
        <v>928.97264769971355</v>
      </c>
      <c r="O174" s="302">
        <f>O171+O173</f>
        <v>349.51751804395599</v>
      </c>
      <c r="P174" s="302">
        <f>P171+P173</f>
        <v>366.33344238597761</v>
      </c>
      <c r="Q174" s="302">
        <f>Q171+Q173</f>
        <v>388.75467484200658</v>
      </c>
      <c r="R174" s="301">
        <f>SUM(O174:Q174)</f>
        <v>1104.6056352719402</v>
      </c>
      <c r="S174" s="300">
        <f>+F174+J174+N174+R174</f>
        <v>3736.8720760048209</v>
      </c>
    </row>
    <row r="175" spans="1:57" ht="22" thickTop="1">
      <c r="V175" s="236">
        <v>1941.3293298047392</v>
      </c>
    </row>
    <row r="176" spans="1:57">
      <c r="AL176" s="234">
        <v>14.3758</v>
      </c>
      <c r="AM176" s="234">
        <f>$AL$176-2.17-0.217-AM183</f>
        <v>-1.4176960000000012</v>
      </c>
      <c r="AN176" s="234">
        <f>$AL$176-2.17-0.217-AN183</f>
        <v>-1.0250000000000004</v>
      </c>
      <c r="AO176" s="234">
        <f>$AL$176-2.17-0.217-AO183</f>
        <v>-1.2730000000000015</v>
      </c>
      <c r="AQ176" s="234">
        <f>$AL$176-2.17-0.217-AQ183</f>
        <v>-0.99400000000000155</v>
      </c>
      <c r="AR176" s="234">
        <f>$AL$176-2.17-0.217-AR183</f>
        <v>-0.62199999999999989</v>
      </c>
      <c r="AS176" s="234">
        <f>$AL$176-2.17-0.217-AS183</f>
        <v>-0.87000000000000099</v>
      </c>
      <c r="AU176" s="234">
        <f>$AL$176-2.17-0.217-AU183</f>
        <v>-1.0560000000000009</v>
      </c>
      <c r="AV176" s="234">
        <f>$AL$176-2.17-0.217-AV183</f>
        <v>-1.4590000000000014</v>
      </c>
      <c r="AW176" s="234">
        <f>$AL$176-2.17-0.217-AW183</f>
        <v>-1.583000000000002</v>
      </c>
      <c r="AY176" s="234">
        <f>$AL$176-2.17-0.217-AY183</f>
        <v>-1.7070000000000007</v>
      </c>
      <c r="AZ176" s="234">
        <f>$AL$176-2.17-0.217-AZ183</f>
        <v>-1.9550000000000018</v>
      </c>
      <c r="BA176" s="234">
        <f>$AL$176-2.17-0.217-BA183</f>
        <v>-1.8310000000000013</v>
      </c>
      <c r="BE176" s="234" t="s">
        <v>334</v>
      </c>
    </row>
    <row r="177" spans="1:57">
      <c r="H177" s="299"/>
      <c r="AL177" s="298">
        <f>2.17+0.217</f>
        <v>2.387</v>
      </c>
      <c r="AM177" s="234">
        <f>2.17+0.217</f>
        <v>2.387</v>
      </c>
      <c r="AN177" s="234">
        <f>2.17+0.217</f>
        <v>2.387</v>
      </c>
      <c r="AO177" s="234">
        <f>2.17+0.217</f>
        <v>2.387</v>
      </c>
      <c r="AQ177" s="234">
        <f>2.17+0.217</f>
        <v>2.387</v>
      </c>
      <c r="AR177" s="234">
        <f>2.17+0.217</f>
        <v>2.387</v>
      </c>
      <c r="AS177" s="234">
        <f>2.17+0.217</f>
        <v>2.387</v>
      </c>
      <c r="AU177" s="234">
        <f>2.17+0.217</f>
        <v>2.387</v>
      </c>
      <c r="AV177" s="234">
        <f>2.17+0.217</f>
        <v>2.387</v>
      </c>
      <c r="AW177" s="234">
        <f>2.17+0.217</f>
        <v>2.387</v>
      </c>
      <c r="AY177" s="234">
        <f>2.17+0.217</f>
        <v>2.387</v>
      </c>
      <c r="AZ177" s="234">
        <f>2.17+0.217</f>
        <v>2.387</v>
      </c>
      <c r="BA177" s="234">
        <f>2.17+0.217</f>
        <v>2.387</v>
      </c>
      <c r="BE177" s="233" t="s">
        <v>333</v>
      </c>
    </row>
    <row r="178" spans="1:57">
      <c r="AM178" s="234" t="s">
        <v>332</v>
      </c>
    </row>
    <row r="179" spans="1:57">
      <c r="U179" s="235"/>
      <c r="V179" s="235"/>
      <c r="W179" s="235"/>
      <c r="Y179" s="235"/>
      <c r="Z179" s="235"/>
      <c r="AA179" s="235"/>
      <c r="AM179" s="241">
        <f>[17]PP21!B18</f>
        <v>31</v>
      </c>
      <c r="AN179" s="241">
        <f>[17]PP21!C18</f>
        <v>31</v>
      </c>
      <c r="AO179" s="241">
        <f>[17]PP21!D18</f>
        <v>31</v>
      </c>
      <c r="AP179" s="241">
        <f>[17]PP21!E18</f>
        <v>31</v>
      </c>
      <c r="AQ179" s="241">
        <f>[17]PP21!F18</f>
        <v>31</v>
      </c>
      <c r="AR179" s="241">
        <f>[17]PP21!G18</f>
        <v>31</v>
      </c>
      <c r="AS179" s="241">
        <f>[17]PP21!H18</f>
        <v>31</v>
      </c>
      <c r="AT179" s="241">
        <f>[17]PP21!I18</f>
        <v>31</v>
      </c>
      <c r="AU179" s="241">
        <f>[17]PP21!J18</f>
        <v>31</v>
      </c>
      <c r="AV179" s="241">
        <f>[17]PP21!K18</f>
        <v>31</v>
      </c>
      <c r="AW179" s="241">
        <f>[17]PP21!L18</f>
        <v>31</v>
      </c>
      <c r="AX179" s="241">
        <f>[17]PP21!M18</f>
        <v>31</v>
      </c>
      <c r="AY179" s="241">
        <f>[17]PP21!N18</f>
        <v>31</v>
      </c>
      <c r="AZ179" s="241">
        <f>[17]PP21!O18</f>
        <v>31</v>
      </c>
      <c r="BA179" s="241">
        <f>[17]PP21!P18</f>
        <v>31</v>
      </c>
      <c r="BB179" s="241">
        <f>[17]PP21!Q18</f>
        <v>31</v>
      </c>
      <c r="BC179" s="241">
        <f>[17]PP21!R18</f>
        <v>31</v>
      </c>
      <c r="BD179" s="234" t="str">
        <f>[17]PP18!S18</f>
        <v>v</v>
      </c>
    </row>
    <row r="180" spans="1:57" ht="26">
      <c r="A180" s="297" t="s">
        <v>331</v>
      </c>
      <c r="E180" s="238">
        <v>315.57639498318719</v>
      </c>
      <c r="T180" s="296" t="s">
        <v>330</v>
      </c>
      <c r="U180" s="234">
        <f>[18]Production_M!U$23/1000</f>
        <v>13.599294362335167</v>
      </c>
      <c r="V180" s="234">
        <f>[18]Production_M!C$23/1000</f>
        <v>21.035776000000002</v>
      </c>
      <c r="W180" s="234">
        <f>[18]Production_M!D$23/1000</f>
        <v>16.765103</v>
      </c>
      <c r="X180" s="234"/>
      <c r="Y180" s="234">
        <f>[18]Production_M!F$23/1000</f>
        <v>14.945212</v>
      </c>
      <c r="Z180" s="234">
        <f>[18]Production_M!G$23/1000</f>
        <v>15.248165800000002</v>
      </c>
      <c r="AA180" s="234">
        <f>[18]Production_M!H$23/1000</f>
        <v>14.057628999999999</v>
      </c>
      <c r="AB180" s="234"/>
      <c r="AC180" s="234">
        <f>[18]Production_M!J$23/1000</f>
        <v>15.894864999999998</v>
      </c>
      <c r="AD180" s="234">
        <f>[18]Production_M!K$23/1000</f>
        <v>13.058482000000001</v>
      </c>
      <c r="AE180" s="234">
        <f>[18]Production_M!L$23/1000</f>
        <v>15.938622000000001</v>
      </c>
      <c r="AG180" s="234">
        <f>[18]Production_M!N$23/1000</f>
        <v>15.871922999999997</v>
      </c>
      <c r="AH180" s="234">
        <f>[18]Production_M!O$23/1000</f>
        <v>16.2</v>
      </c>
      <c r="AI180" s="234">
        <f>[18]Production_M!P$23/1000</f>
        <v>16.12</v>
      </c>
      <c r="AM180" s="295">
        <v>1</v>
      </c>
      <c r="AN180" s="234">
        <f t="shared" ref="AN180:BC180" si="130">AM180</f>
        <v>1</v>
      </c>
      <c r="AO180" s="234">
        <f t="shared" si="130"/>
        <v>1</v>
      </c>
      <c r="AP180" s="234">
        <f t="shared" si="130"/>
        <v>1</v>
      </c>
      <c r="AQ180" s="234">
        <f t="shared" si="130"/>
        <v>1</v>
      </c>
      <c r="AR180" s="234">
        <f t="shared" si="130"/>
        <v>1</v>
      </c>
      <c r="AS180" s="234">
        <f t="shared" si="130"/>
        <v>1</v>
      </c>
      <c r="AT180" s="234">
        <f t="shared" si="130"/>
        <v>1</v>
      </c>
      <c r="AU180" s="234">
        <f t="shared" si="130"/>
        <v>1</v>
      </c>
      <c r="AV180" s="234">
        <f t="shared" si="130"/>
        <v>1</v>
      </c>
      <c r="AW180" s="234">
        <f t="shared" si="130"/>
        <v>1</v>
      </c>
      <c r="AX180" s="234">
        <f t="shared" si="130"/>
        <v>1</v>
      </c>
      <c r="AY180" s="234">
        <f t="shared" si="130"/>
        <v>1</v>
      </c>
      <c r="AZ180" s="234">
        <f t="shared" si="130"/>
        <v>1</v>
      </c>
      <c r="BA180" s="234">
        <f t="shared" si="130"/>
        <v>1</v>
      </c>
      <c r="BB180" s="234">
        <f t="shared" si="130"/>
        <v>1</v>
      </c>
      <c r="BC180" s="234">
        <f t="shared" si="130"/>
        <v>1</v>
      </c>
    </row>
    <row r="181" spans="1:57" ht="23.5">
      <c r="A181" s="1388" t="s">
        <v>316</v>
      </c>
      <c r="B181" s="1388"/>
      <c r="C181" s="269" t="s">
        <v>315</v>
      </c>
      <c r="D181" s="269"/>
      <c r="E181" s="269"/>
      <c r="F181" s="268" t="str">
        <f>+C181</f>
        <v>MMBAHT</v>
      </c>
      <c r="G181" s="269"/>
      <c r="H181" s="269"/>
      <c r="I181" s="269"/>
      <c r="J181" s="268"/>
      <c r="K181" s="268"/>
      <c r="L181" s="268"/>
      <c r="M181" s="268"/>
      <c r="N181" s="268"/>
      <c r="O181" s="268"/>
      <c r="P181" s="268"/>
      <c r="Q181" s="268"/>
      <c r="R181" s="267"/>
      <c r="S181" s="267"/>
      <c r="U181" s="266" t="s">
        <v>329</v>
      </c>
      <c r="V181" s="266"/>
      <c r="W181" s="266"/>
      <c r="X181" s="265" t="s">
        <v>329</v>
      </c>
      <c r="Y181" s="266"/>
      <c r="Z181" s="266"/>
      <c r="AA181" s="266"/>
      <c r="AB181" s="265"/>
      <c r="AC181" s="265"/>
      <c r="AD181" s="265"/>
      <c r="AE181" s="265"/>
      <c r="AF181" s="265"/>
      <c r="AG181" s="265"/>
      <c r="AH181" s="265"/>
      <c r="AI181" s="265"/>
      <c r="AJ181" s="264"/>
      <c r="AK181" s="264"/>
      <c r="AM181" s="263" t="s">
        <v>328</v>
      </c>
      <c r="AN181" s="263"/>
      <c r="AO181" s="263"/>
      <c r="AP181" s="263" t="s">
        <v>328</v>
      </c>
      <c r="AQ181" s="263"/>
      <c r="AR181" s="263"/>
      <c r="AS181" s="263"/>
      <c r="AT181" s="263"/>
      <c r="AU181" s="263"/>
      <c r="AV181" s="263"/>
      <c r="AW181" s="263"/>
      <c r="AX181" s="263"/>
      <c r="AY181" s="263"/>
      <c r="AZ181" s="262"/>
      <c r="BA181" s="262"/>
      <c r="BB181" s="262"/>
      <c r="BC181" s="262"/>
    </row>
    <row r="182" spans="1:57">
      <c r="A182" s="261"/>
      <c r="B182" s="261"/>
      <c r="C182" s="260" t="s">
        <v>311</v>
      </c>
      <c r="D182" s="260" t="s">
        <v>310</v>
      </c>
      <c r="E182" s="260" t="s">
        <v>182</v>
      </c>
      <c r="F182" s="258" t="s">
        <v>309</v>
      </c>
      <c r="G182" s="260" t="s">
        <v>308</v>
      </c>
      <c r="H182" s="260" t="s">
        <v>307</v>
      </c>
      <c r="I182" s="260" t="s">
        <v>306</v>
      </c>
      <c r="J182" s="258" t="s">
        <v>305</v>
      </c>
      <c r="K182" s="259" t="s">
        <v>304</v>
      </c>
      <c r="L182" s="259" t="s">
        <v>303</v>
      </c>
      <c r="M182" s="259" t="s">
        <v>302</v>
      </c>
      <c r="N182" s="258" t="s">
        <v>301</v>
      </c>
      <c r="O182" s="259" t="s">
        <v>300</v>
      </c>
      <c r="P182" s="259" t="s">
        <v>299</v>
      </c>
      <c r="Q182" s="259" t="s">
        <v>298</v>
      </c>
      <c r="R182" s="258" t="s">
        <v>297</v>
      </c>
      <c r="S182" s="257" t="s">
        <v>312</v>
      </c>
      <c r="U182" s="256" t="s">
        <v>311</v>
      </c>
      <c r="V182" s="256" t="s">
        <v>310</v>
      </c>
      <c r="W182" s="256" t="s">
        <v>182</v>
      </c>
      <c r="X182" s="254" t="s">
        <v>309</v>
      </c>
      <c r="Y182" s="256" t="s">
        <v>308</v>
      </c>
      <c r="Z182" s="256" t="s">
        <v>307</v>
      </c>
      <c r="AA182" s="256" t="s">
        <v>306</v>
      </c>
      <c r="AB182" s="254" t="s">
        <v>305</v>
      </c>
      <c r="AC182" s="255" t="s">
        <v>304</v>
      </c>
      <c r="AD182" s="255" t="s">
        <v>303</v>
      </c>
      <c r="AE182" s="255" t="s">
        <v>302</v>
      </c>
      <c r="AF182" s="254" t="s">
        <v>301</v>
      </c>
      <c r="AG182" s="255" t="s">
        <v>300</v>
      </c>
      <c r="AH182" s="255" t="s">
        <v>299</v>
      </c>
      <c r="AI182" s="255" t="s">
        <v>298</v>
      </c>
      <c r="AJ182" s="254" t="s">
        <v>297</v>
      </c>
      <c r="AK182" s="253" t="s">
        <v>296</v>
      </c>
      <c r="AL182" s="252"/>
      <c r="AM182" s="251" t="s">
        <v>311</v>
      </c>
      <c r="AN182" s="251" t="s">
        <v>310</v>
      </c>
      <c r="AO182" s="251" t="s">
        <v>182</v>
      </c>
      <c r="AP182" s="250" t="s">
        <v>309</v>
      </c>
      <c r="AQ182" s="251" t="s">
        <v>308</v>
      </c>
      <c r="AR182" s="251" t="s">
        <v>307</v>
      </c>
      <c r="AS182" s="251" t="s">
        <v>306</v>
      </c>
      <c r="AT182" s="250" t="s">
        <v>305</v>
      </c>
      <c r="AU182" s="251" t="s">
        <v>304</v>
      </c>
      <c r="AV182" s="251" t="s">
        <v>303</v>
      </c>
      <c r="AW182" s="251" t="s">
        <v>302</v>
      </c>
      <c r="AX182" s="250" t="s">
        <v>301</v>
      </c>
      <c r="AY182" s="251" t="s">
        <v>300</v>
      </c>
      <c r="AZ182" s="251" t="s">
        <v>299</v>
      </c>
      <c r="BA182" s="251" t="s">
        <v>298</v>
      </c>
      <c r="BB182" s="250" t="s">
        <v>297</v>
      </c>
      <c r="BC182" s="249" t="s">
        <v>296</v>
      </c>
    </row>
    <row r="183" spans="1:57">
      <c r="A183" s="294" t="s">
        <v>327</v>
      </c>
      <c r="B183" s="233" t="s">
        <v>326</v>
      </c>
      <c r="C183" s="292" t="e">
        <f>U183*AM185</f>
        <v>#REF!</v>
      </c>
      <c r="D183" s="292" t="e">
        <f>V183*AN185</f>
        <v>#REF!</v>
      </c>
      <c r="E183" s="292" t="e">
        <f>W183*AO185</f>
        <v>#REF!</v>
      </c>
      <c r="F183" s="291" t="e">
        <f>SUM(C183:E183)</f>
        <v>#REF!</v>
      </c>
      <c r="G183" s="292" t="e">
        <f>Y183*AQ185</f>
        <v>#REF!</v>
      </c>
      <c r="H183" s="292" t="e">
        <f>Z183*AR185</f>
        <v>#REF!</v>
      </c>
      <c r="I183" s="292" t="e">
        <f>AA183*AS185</f>
        <v>#REF!</v>
      </c>
      <c r="J183" s="291" t="e">
        <f>SUM(G183:I183)</f>
        <v>#REF!</v>
      </c>
      <c r="K183" s="292" t="e">
        <f>AC183*AU185</f>
        <v>#REF!</v>
      </c>
      <c r="L183" s="292" t="e">
        <f>AD183*AV185</f>
        <v>#REF!</v>
      </c>
      <c r="M183" s="292" t="e">
        <f>AE183*AW185</f>
        <v>#REF!</v>
      </c>
      <c r="N183" s="291" t="e">
        <f>SUM(K183:M183)</f>
        <v>#REF!</v>
      </c>
      <c r="O183" s="292" t="e">
        <f>AG183*AY185</f>
        <v>#REF!</v>
      </c>
      <c r="P183" s="292" t="e">
        <f>AH183*AZ185</f>
        <v>#REF!</v>
      </c>
      <c r="Q183" s="292" t="e">
        <f>AI183*BA185</f>
        <v>#REF!</v>
      </c>
      <c r="R183" s="291" t="e">
        <f>SUM(O183:Q183)</f>
        <v>#REF!</v>
      </c>
      <c r="S183" s="290" t="e">
        <f>+F183+J183+N183+R183</f>
        <v>#REF!</v>
      </c>
      <c r="T183" s="234" t="s">
        <v>325</v>
      </c>
      <c r="U183" s="293" t="e">
        <f>SUM(U27:U28,U30:U31)+SUM(U49,U191)/1000-SUM(U99:U104)/1000</f>
        <v>#REF!</v>
      </c>
      <c r="V183" s="293" t="e">
        <f>SUM(V27:V28,V30:V31)+SUM(V49,V191)/1000-SUM(V99:V104)/1000</f>
        <v>#REF!</v>
      </c>
      <c r="W183" s="293" t="e">
        <f>SUM(W27:W28,W30:W31)+SUM(W49,W191)/1000-SUM(W99:W104)/1000</f>
        <v>#REF!</v>
      </c>
      <c r="X183" s="240"/>
      <c r="Y183" s="293" t="e">
        <f>SUM(Y27:Y28,Y30:Y31)+SUM(Y49,Y191)/1000-SUM(Y99:Y104)/1000</f>
        <v>#REF!</v>
      </c>
      <c r="Z183" s="293" t="e">
        <f>SUM(Z27:Z28,Z30:Z31)+SUM(Z49,Z191)/1000-SUM(Z99:Z104)/1000</f>
        <v>#REF!</v>
      </c>
      <c r="AA183" s="293" t="e">
        <f>SUM(AA27:AA28,AA30:AA31)+SUM(AA49,AA191)/1000-SUM(AA99:AA104)/1000</f>
        <v>#REF!</v>
      </c>
      <c r="AB183" s="287"/>
      <c r="AC183" s="293" t="e">
        <f>SUM(AC27:AC28,AC30:AC31)+SUM(AC49,AC191)/1000-SUM(AC99:AC104)/1000</f>
        <v>#REF!</v>
      </c>
      <c r="AD183" s="293" t="e">
        <f>SUM(AD27:AD28,AD30:AD31)+SUM(AD49,AD191)/1000-SUM(AD99:AD104)/1000</f>
        <v>#REF!</v>
      </c>
      <c r="AE183" s="293" t="e">
        <f>SUM(AE27:AE28,AE30:AE31)+SUM(AE49,AE191)/1000-SUM(AE99:AE104)/1000</f>
        <v>#REF!</v>
      </c>
      <c r="AF183" s="287"/>
      <c r="AG183" s="293" t="e">
        <f>SUM(AG27:AG28,AG30:AG31)+SUM(AG49,AG191)/1000-SUM(AG99:AG104)/1000</f>
        <v>#REF!</v>
      </c>
      <c r="AH183" s="293" t="e">
        <f>SUM(AH27:AH28,AH30:AH31)+SUM(AH49,AH191)/1000-SUM(AH99:AH104)/1000</f>
        <v>#REF!</v>
      </c>
      <c r="AI183" s="293" t="e">
        <f>SUM(AI27:AI28,AI30:AI31)+SUM(AI49,AI191)/1000-SUM(AI99:AI104)/1000</f>
        <v>#REF!</v>
      </c>
      <c r="AJ183" s="287"/>
      <c r="AK183" s="286"/>
      <c r="AL183" s="285" t="s">
        <v>324</v>
      </c>
      <c r="AM183" s="283">
        <f>[17]PP21!B21</f>
        <v>13.406496000000001</v>
      </c>
      <c r="AN183" s="283">
        <f>[17]PP21!C21</f>
        <v>13.0138</v>
      </c>
      <c r="AO183" s="283">
        <f>[17]PP21!D21</f>
        <v>13.261800000000001</v>
      </c>
      <c r="AP183" s="284">
        <f>IF(X183=0,0,+F183/X183*1000/AP$2)</f>
        <v>0</v>
      </c>
      <c r="AQ183" s="283">
        <f>[17]PP21!F21</f>
        <v>12.982800000000001</v>
      </c>
      <c r="AR183" s="283">
        <f>[17]PP21!G21</f>
        <v>12.610799999999999</v>
      </c>
      <c r="AS183" s="283">
        <f>[17]PP21!H21</f>
        <v>12.8588</v>
      </c>
      <c r="AT183" s="284">
        <f>IF(AB183=0,0,+J183/AB183*1000/AT$2)</f>
        <v>0</v>
      </c>
      <c r="AU183" s="283">
        <f>[17]PP21!J21</f>
        <v>13.0448</v>
      </c>
      <c r="AV183" s="283">
        <f>[17]PP21!K21</f>
        <v>13.447800000000001</v>
      </c>
      <c r="AW183" s="283">
        <f>[17]PP21!L21</f>
        <v>13.571800000000001</v>
      </c>
      <c r="AX183" s="284">
        <f>IF(AF183=0,0,+N183/AF183*1000/AX$2)</f>
        <v>0</v>
      </c>
      <c r="AY183" s="283">
        <f>[17]PP21!N21</f>
        <v>13.6958</v>
      </c>
      <c r="AZ183" s="283">
        <f>[17]PP21!O21</f>
        <v>13.943800000000001</v>
      </c>
      <c r="BA183" s="283">
        <f>[17]PP21!P21</f>
        <v>13.819800000000001</v>
      </c>
      <c r="BB183" s="247">
        <f>IF(AJ183=0,0,+R183/AJ183*1000/BB$2)</f>
        <v>0</v>
      </c>
      <c r="BC183" s="282">
        <f>IF(AK183=0,0,+S183/AK183*1000/BC$2)</f>
        <v>0</v>
      </c>
    </row>
    <row r="184" spans="1:57">
      <c r="B184" s="233" t="s">
        <v>323</v>
      </c>
      <c r="C184" s="292" t="e">
        <f>U184*(SUM(AM176:AM177))</f>
        <v>#REF!</v>
      </c>
      <c r="D184" s="292" t="e">
        <f>V184*(SUM(AN176:AN177))</f>
        <v>#REF!</v>
      </c>
      <c r="E184" s="292" t="e">
        <f>W184*(SUM(AO176:AO177))</f>
        <v>#REF!</v>
      </c>
      <c r="F184" s="291" t="e">
        <f>SUM(C184:E184)</f>
        <v>#REF!</v>
      </c>
      <c r="G184" s="292" t="e">
        <f>Y184*(SUM(AQ176:AQ177))</f>
        <v>#REF!</v>
      </c>
      <c r="H184" s="292" t="e">
        <f>Z184*(SUM(AR176:AR177))</f>
        <v>#REF!</v>
      </c>
      <c r="I184" s="292" t="e">
        <f>AA184*(SUM(AS176:AS177))</f>
        <v>#REF!</v>
      </c>
      <c r="J184" s="291" t="e">
        <f>SUM(G184:I184)</f>
        <v>#REF!</v>
      </c>
      <c r="K184" s="292" t="e">
        <f>AC184*(SUM(AU176:AU177))</f>
        <v>#REF!</v>
      </c>
      <c r="L184" s="292" t="e">
        <f>AD184*(SUM(AV176:AV177))</f>
        <v>#REF!</v>
      </c>
      <c r="M184" s="292" t="e">
        <f>AE184*(SUM(AW176:AW177))</f>
        <v>#REF!</v>
      </c>
      <c r="N184" s="291" t="e">
        <f>SUM(K184:M184)</f>
        <v>#REF!</v>
      </c>
      <c r="O184" s="292" t="e">
        <f>AG184*(SUM(AY176:AY177))</f>
        <v>#REF!</v>
      </c>
      <c r="P184" s="292" t="e">
        <f>AH184*(SUM(AZ176:AZ177))</f>
        <v>#REF!</v>
      </c>
      <c r="Q184" s="292" t="e">
        <f>AI184*(SUM(BA176:BA177))</f>
        <v>#REF!</v>
      </c>
      <c r="R184" s="291" t="e">
        <f>SUM(O184:Q184)</f>
        <v>#REF!</v>
      </c>
      <c r="S184" s="290" t="e">
        <f>+F184+J184+N184+R184</f>
        <v>#REF!</v>
      </c>
      <c r="T184" s="234" t="s">
        <v>322</v>
      </c>
      <c r="U184" s="289" t="e">
        <f>SUM(U27:U28,U30)+SUM(U49,U191)/1000-SUM(U99:U103)/1000</f>
        <v>#REF!</v>
      </c>
      <c r="V184" s="289" t="e">
        <f>SUM(V27:V28,V30)+SUM(V49,V191)/1000-SUM(V99:V103)/1000</f>
        <v>#REF!</v>
      </c>
      <c r="W184" s="289" t="e">
        <f>SUM(W27:W28,W30)+SUM(W49,W191)/1000-SUM(W99:W103)/1000</f>
        <v>#REF!</v>
      </c>
      <c r="X184" s="240"/>
      <c r="Y184" s="289" t="e">
        <f>SUM(Y27:Y28,Y30)+SUM(Y49,Y191)/1000-SUM(Y99:Y103)/1000</f>
        <v>#REF!</v>
      </c>
      <c r="Z184" s="289" t="e">
        <f>SUM(Z27:Z28,Z30)+SUM(Z49,Z191)/1000-SUM(Z99:Z103)/1000</f>
        <v>#REF!</v>
      </c>
      <c r="AA184" s="289" t="e">
        <f>SUM(AA27:AA28,AA30)+SUM(AA49,AA191)/1000-SUM(AA99:AA103)/1000</f>
        <v>#REF!</v>
      </c>
      <c r="AB184" s="287"/>
      <c r="AC184" s="288" t="e">
        <f>SUM(AC27:AC28,AC30)+SUM(AC49,AC191)/1000-SUM(AC99:AC103)/1000</f>
        <v>#REF!</v>
      </c>
      <c r="AD184" s="288" t="e">
        <f>SUM(AD27:AD28,AD30)+SUM(AD49,AD191)/1000-SUM(AD99:AD103)/1000</f>
        <v>#REF!</v>
      </c>
      <c r="AE184" s="288" t="e">
        <f>SUM(AE27:AE28,AE30)+SUM(AE49,AE191)/1000-SUM(AE99:AE103)/1000</f>
        <v>#REF!</v>
      </c>
      <c r="AF184" s="287"/>
      <c r="AG184" s="288" t="e">
        <f>SUM(AG27:AG28,AG30)+SUM(AG49,AG191)/1000-SUM(AG99:AG103)/1000</f>
        <v>#REF!</v>
      </c>
      <c r="AH184" s="288" t="e">
        <f>SUM(AH27:AH28,AH30)+SUM(AH49,AH191)/1000-SUM(AH99:AH103)/1000</f>
        <v>#REF!</v>
      </c>
      <c r="AI184" s="288" t="e">
        <f>SUM(AI27:AI28,AI30)+SUM(AI49,AI191)/1000-SUM(AI99:AI103)/1000</f>
        <v>#REF!</v>
      </c>
      <c r="AJ184" s="287"/>
      <c r="AK184" s="286"/>
      <c r="AL184" s="285" t="s">
        <v>321</v>
      </c>
      <c r="AM184" s="283">
        <f>[17]PP21!B20</f>
        <v>13.246858949318346</v>
      </c>
      <c r="AN184" s="283">
        <f>[17]PP21!C20</f>
        <v>13.22860117793204</v>
      </c>
      <c r="AO184" s="283">
        <f>[17]PP21!D20</f>
        <v>13.22860117793204</v>
      </c>
      <c r="AP184" s="284">
        <f>IF(X184=0,0,+F184/X184*1000/AP$2)</f>
        <v>0</v>
      </c>
      <c r="AQ184" s="283">
        <f>[17]PP21!F20</f>
        <v>13.22860117793204</v>
      </c>
      <c r="AR184" s="283">
        <f>[17]PP21!G20</f>
        <v>13.347994714317307</v>
      </c>
      <c r="AS184" s="283">
        <f>[17]PP21!H20</f>
        <v>13.347994714317307</v>
      </c>
      <c r="AT184" s="284">
        <f>IF(AB184=0,0,+J184/AB184*1000/AT$2)</f>
        <v>0</v>
      </c>
      <c r="AU184" s="283">
        <f>[17]PP21!J20</f>
        <v>13.347994714317307</v>
      </c>
      <c r="AV184" s="283">
        <f>[17]PP21!K20</f>
        <v>13.197568325318301</v>
      </c>
      <c r="AW184" s="283">
        <f>[17]PP21!L20</f>
        <v>13.197568325318301</v>
      </c>
      <c r="AX184" s="284">
        <f>IF(AF184=0,0,+N184/AF184*1000/AX$2)</f>
        <v>0</v>
      </c>
      <c r="AY184" s="283">
        <f>[17]PP21!N20</f>
        <v>13.197568325318301</v>
      </c>
      <c r="AZ184" s="283">
        <f>[17]PP21!O20</f>
        <v>13.008972589571291</v>
      </c>
      <c r="BA184" s="283">
        <f>[17]PP21!P20</f>
        <v>13.008972589571291</v>
      </c>
      <c r="BB184" s="247">
        <f>IF(AJ184=0,0,+R184/AJ184*1000/BB$2)</f>
        <v>0</v>
      </c>
      <c r="BC184" s="282">
        <f>IF(AK184=0,0,+S184/AK184*1000/BC$2)</f>
        <v>0</v>
      </c>
    </row>
    <row r="185" spans="1:57" ht="22" thickBot="1">
      <c r="A185" s="233" t="s">
        <v>320</v>
      </c>
      <c r="B185" s="233" t="s">
        <v>319</v>
      </c>
      <c r="C185" s="281">
        <v>514.32514666999998</v>
      </c>
      <c r="D185" s="281">
        <v>495.14408816000002</v>
      </c>
      <c r="E185" s="281">
        <v>393.65570402999998</v>
      </c>
      <c r="F185" s="280">
        <f>SUM(C185:E185)</f>
        <v>1403.1249388599999</v>
      </c>
      <c r="G185" s="281" t="e">
        <f>SUM(G183:G184)</f>
        <v>#REF!</v>
      </c>
      <c r="H185" s="281" t="e">
        <f>SUM(H183:H184)</f>
        <v>#REF!</v>
      </c>
      <c r="I185" s="281" t="e">
        <f>SUM(I183:I184)</f>
        <v>#REF!</v>
      </c>
      <c r="J185" s="280" t="e">
        <f>SUM(G185:I185)</f>
        <v>#REF!</v>
      </c>
      <c r="K185" s="281" t="e">
        <f>SUM(K183:K184)</f>
        <v>#REF!</v>
      </c>
      <c r="L185" s="281" t="e">
        <f>SUM(L183:L184)</f>
        <v>#REF!</v>
      </c>
      <c r="M185" s="281" t="e">
        <f>SUM(M183:M184)</f>
        <v>#REF!</v>
      </c>
      <c r="N185" s="280" t="e">
        <f>SUM(K185:M185)</f>
        <v>#REF!</v>
      </c>
      <c r="O185" s="281" t="e">
        <f>SUM(O183:O184)</f>
        <v>#REF!</v>
      </c>
      <c r="P185" s="281" t="e">
        <f>SUM(P183:P184)</f>
        <v>#REF!</v>
      </c>
      <c r="Q185" s="281" t="e">
        <f>SUM(Q183:Q184)</f>
        <v>#REF!</v>
      </c>
      <c r="R185" s="280" t="e">
        <f>SUM(O185:Q185)</f>
        <v>#REF!</v>
      </c>
      <c r="S185" s="279" t="e">
        <f>+F185+J185+N185+R185</f>
        <v>#REF!</v>
      </c>
      <c r="U185" s="273" t="e">
        <f>U183</f>
        <v>#REF!</v>
      </c>
      <c r="V185" s="273" t="e">
        <f>V183</f>
        <v>#REF!</v>
      </c>
      <c r="W185" s="273" t="e">
        <f>SUM(W183:W184)</f>
        <v>#REF!</v>
      </c>
      <c r="X185" s="278" t="e">
        <f>SUM(U185:W185)</f>
        <v>#REF!</v>
      </c>
      <c r="Y185" s="273" t="e">
        <f>SUM(Y183:Y184)</f>
        <v>#REF!</v>
      </c>
      <c r="Z185" s="273" t="e">
        <f>SUM(Z183:Z184)</f>
        <v>#REF!</v>
      </c>
      <c r="AA185" s="273" t="e">
        <f>SUM(AA183:AA184)</f>
        <v>#REF!</v>
      </c>
      <c r="AB185" s="276" t="e">
        <f>SUM(Y185:AA185)</f>
        <v>#REF!</v>
      </c>
      <c r="AC185" s="277" t="e">
        <f>SUM(AC183:AC184)</f>
        <v>#REF!</v>
      </c>
      <c r="AD185" s="277" t="e">
        <f>SUM(AD183:AD184)</f>
        <v>#REF!</v>
      </c>
      <c r="AE185" s="277" t="e">
        <f>SUM(AE183:AE184)</f>
        <v>#REF!</v>
      </c>
      <c r="AF185" s="276" t="e">
        <f>SUM(AC185:AE185)</f>
        <v>#REF!</v>
      </c>
      <c r="AG185" s="277" t="e">
        <f>SUM(AG183:AG184)</f>
        <v>#REF!</v>
      </c>
      <c r="AH185" s="277" t="e">
        <f>SUM(AH183:AH184)</f>
        <v>#REF!</v>
      </c>
      <c r="AI185" s="277" t="e">
        <f>SUM(AI183:AI184)</f>
        <v>#REF!</v>
      </c>
      <c r="AJ185" s="276" t="e">
        <f>SUM(AG185:AI185)</f>
        <v>#REF!</v>
      </c>
      <c r="AK185" s="275" t="e">
        <f>+X185+AB185+AF185+AJ185</f>
        <v>#REF!</v>
      </c>
      <c r="AM185" s="273">
        <f>IF(AM180=1,IF(ABS(AM183-AM184)&lt;0.03,0,IF(AM183&gt;AM184,AM183-AM184-0.03,AM183-AM184+0.03)),AM183-AM184)</f>
        <v>0.12963705068165446</v>
      </c>
      <c r="AN185" s="273">
        <f>IF(AN180=1,IF(ABS(AN183-AN184)&lt;0.03,0,IF(AN183&gt;AN184,AN183-AN184-0.03,AN183-AN184+0.03)),AN183-AN184)</f>
        <v>-0.18480117793204023</v>
      </c>
      <c r="AO185" s="273">
        <f>IF(AO180=1,IF(ABS(AO183-AO184)&lt;0.03,0,IF(AO183&gt;AO184,AO183-AO184-0.03,AO183-AO184+0.03)),AO183-AO184)</f>
        <v>3.198822067960877E-3</v>
      </c>
      <c r="AP185" s="274">
        <f>(AP183-AP184)*AP2/1000</f>
        <v>0</v>
      </c>
      <c r="AQ185" s="273">
        <f>IF(AQ180=1,IF(ABS(AQ183-AQ184)&lt;0.03,0,IF(AQ183&gt;AQ184,AQ183-AQ184-0.03,AQ183-AQ184+0.03)),AQ183-AQ184)</f>
        <v>-0.21580117793203904</v>
      </c>
      <c r="AR185" s="273">
        <f>IF(AR180=1,IF(ABS(AR183-AR184)&lt;0.03,0,IF(AR183&gt;AR184,AR183-AR184-0.03,AR183-AR184+0.03)),AR183-AR184)</f>
        <v>-0.70719471431730807</v>
      </c>
      <c r="AS185" s="273">
        <f>IF(AS180=1,IF(ABS(AS183-AS184)&lt;0.03,0,IF(AS183&gt;AS184,AS183-AS184-0.03,AS183-AS184+0.03)),AS183-AS184)</f>
        <v>-0.45919471431730696</v>
      </c>
      <c r="AT185" s="274">
        <f>(AT183-AT184)*AT2/1000</f>
        <v>0</v>
      </c>
      <c r="AU185" s="273">
        <f>IF(AU180=1,IF(ABS(AU183-AU184)&lt;0.03,0,IF(AU183&gt;AU184,AU183-AU184-0.03,AU183-AU184+0.03)),AU183-AU184)</f>
        <v>-0.27319471431730702</v>
      </c>
      <c r="AV185" s="273">
        <f>IF(AV180=1,IF(ABS(AV183-AV184)&lt;0.03,0,IF(AV183&gt;AV184,AV183-AV184-0.03,AV183-AV184+0.03)),AV183-AV184)</f>
        <v>0.22023167468170016</v>
      </c>
      <c r="AW185" s="273">
        <f>IF(AW180=1,IF(ABS(AW183-AW184)&lt;0.03,0,IF(AW183&gt;AW184,AW183-AW184-0.03,AW183-AW184+0.03)),AW183-AW184)</f>
        <v>0.34423167468170068</v>
      </c>
      <c r="AX185" s="274">
        <f>(AX183-AX184)*AX2/1000</f>
        <v>0</v>
      </c>
      <c r="AY185" s="273">
        <f>IF(AY180=1,IF(ABS(AY183-AY184)&lt;0.03,0,IF(AY183&gt;AY184,AY183-AY184-0.03,AY183-AY184+0.03)),AY183-AY184)</f>
        <v>0.46823167468169946</v>
      </c>
      <c r="AZ185" s="273">
        <f>IF(AZ180=1,IF(ABS(AZ183-AZ184)&lt;0.03,0,IF(AZ183&gt;AZ184,AZ183-AZ184-0.03,AZ183-AZ184+0.03)),AZ183-AZ184)</f>
        <v>0.90482741042870996</v>
      </c>
      <c r="BA185" s="273">
        <f>IF(BA180=1,IF(ABS(BA183-BA184)&lt;0.03,0,IF(BA183&gt;BA184,BA183-BA184-0.03,BA183-BA184+0.03)),BA183-BA184)</f>
        <v>0.7808274104287094</v>
      </c>
      <c r="BB185" s="272">
        <f>(BB183-BB184)*BB2/1000</f>
        <v>0</v>
      </c>
      <c r="BC185" s="271">
        <f>(BC183-BC184)*BC2/1000</f>
        <v>0</v>
      </c>
      <c r="BE185" s="233" t="s">
        <v>318</v>
      </c>
    </row>
    <row r="186" spans="1:57" ht="22" thickTop="1">
      <c r="C186" s="238" t="e">
        <f>SUM(C183:C184,#REF!)-C185-#REF!</f>
        <v>#REF!</v>
      </c>
      <c r="D186" s="238" t="e">
        <f>SUM(D183:D184,#REF!)-D185-#REF!</f>
        <v>#REF!</v>
      </c>
      <c r="E186" s="238" t="e">
        <f>SUM(E183:E184,#REF!)-E185-#REF!</f>
        <v>#REF!</v>
      </c>
      <c r="F186" s="237" t="e">
        <f>SUM(F183:F184,#REF!)-F185-#REF!</f>
        <v>#REF!</v>
      </c>
      <c r="G186" s="238" t="e">
        <f>SUM(G183:G184,#REF!)-G185-#REF!</f>
        <v>#REF!</v>
      </c>
      <c r="H186" s="238" t="e">
        <f>SUM(H183:H184,#REF!)-H185-#REF!</f>
        <v>#REF!</v>
      </c>
      <c r="I186" s="238" t="e">
        <f>SUM(I183:I184,#REF!)-I185-#REF!</f>
        <v>#REF!</v>
      </c>
      <c r="J186" s="237" t="e">
        <f>SUM(J183:J184,#REF!)-J185-#REF!</f>
        <v>#REF!</v>
      </c>
      <c r="K186" s="237" t="e">
        <f>SUM(K183:K184,#REF!)-K185-#REF!</f>
        <v>#REF!</v>
      </c>
      <c r="L186" s="237" t="e">
        <f>SUM(L183:L184,#REF!)-L185-#REF!</f>
        <v>#REF!</v>
      </c>
      <c r="M186" s="237" t="e">
        <f>SUM(M183:M184,#REF!)-M185-#REF!</f>
        <v>#REF!</v>
      </c>
      <c r="N186" s="237" t="e">
        <f>SUM(N183:N184,#REF!)-N185-#REF!</f>
        <v>#REF!</v>
      </c>
      <c r="O186" s="237" t="e">
        <f>SUM(O183:O184,#REF!)-O185-#REF!</f>
        <v>#REF!</v>
      </c>
      <c r="P186" s="237" t="e">
        <f>SUM(P183:P184,#REF!)-P185-#REF!</f>
        <v>#REF!</v>
      </c>
      <c r="Q186" s="237" t="e">
        <f>SUM(Q183:Q184,#REF!)-Q185-#REF!</f>
        <v>#REF!</v>
      </c>
      <c r="R186" s="237" t="e">
        <f>SUM(R183:R184,#REF!)-R185-#REF!</f>
        <v>#REF!</v>
      </c>
      <c r="S186" s="237" t="e">
        <f>SUM(S183:S184,#REF!)-S185-#REF!</f>
        <v>#REF!</v>
      </c>
      <c r="T186" s="234" t="e">
        <f>SUM(T183:T184,#REF!)-T185-#REF!</f>
        <v>#REF!</v>
      </c>
      <c r="AM186" s="234">
        <f t="shared" ref="AM186:BA186" si="131">AM183-AM184</f>
        <v>0.15963705068165446</v>
      </c>
      <c r="AN186" s="234">
        <f t="shared" si="131"/>
        <v>-0.21480117793204023</v>
      </c>
      <c r="AO186" s="234">
        <f t="shared" si="131"/>
        <v>3.3198822067960876E-2</v>
      </c>
      <c r="AP186" s="234">
        <f t="shared" si="131"/>
        <v>0</v>
      </c>
      <c r="AQ186" s="234">
        <f t="shared" si="131"/>
        <v>-0.24580117793203904</v>
      </c>
      <c r="AR186" s="234">
        <f t="shared" si="131"/>
        <v>-0.7371947143173081</v>
      </c>
      <c r="AS186" s="234">
        <f t="shared" si="131"/>
        <v>-0.48919471431730699</v>
      </c>
      <c r="AT186" s="234">
        <f t="shared" si="131"/>
        <v>0</v>
      </c>
      <c r="AU186" s="234">
        <f t="shared" si="131"/>
        <v>-0.30319471431730705</v>
      </c>
      <c r="AV186" s="234">
        <f t="shared" si="131"/>
        <v>0.25023167468170016</v>
      </c>
      <c r="AW186" s="234">
        <f t="shared" si="131"/>
        <v>0.37423167468170071</v>
      </c>
      <c r="AX186" s="234">
        <f t="shared" si="131"/>
        <v>0</v>
      </c>
      <c r="AY186" s="234">
        <f t="shared" si="131"/>
        <v>0.49823167468169949</v>
      </c>
      <c r="AZ186" s="234">
        <f t="shared" si="131"/>
        <v>0.93482741042870998</v>
      </c>
      <c r="BA186" s="234">
        <f t="shared" si="131"/>
        <v>0.81082741042870943</v>
      </c>
      <c r="BE186" s="270" t="s">
        <v>317</v>
      </c>
    </row>
    <row r="188" spans="1:57" ht="23.5">
      <c r="A188" s="1388" t="s">
        <v>316</v>
      </c>
      <c r="B188" s="1388"/>
      <c r="C188" s="269" t="s">
        <v>315</v>
      </c>
      <c r="D188" s="269"/>
      <c r="E188" s="269"/>
      <c r="F188" s="268" t="str">
        <f>+C188</f>
        <v>MMBAHT</v>
      </c>
      <c r="G188" s="269"/>
      <c r="H188" s="269"/>
      <c r="I188" s="269"/>
      <c r="J188" s="268"/>
      <c r="K188" s="268"/>
      <c r="L188" s="268"/>
      <c r="M188" s="268"/>
      <c r="N188" s="268"/>
      <c r="O188" s="268"/>
      <c r="P188" s="268"/>
      <c r="Q188" s="268"/>
      <c r="R188" s="267"/>
      <c r="S188" s="267"/>
      <c r="U188" s="266" t="s">
        <v>314</v>
      </c>
      <c r="V188" s="266"/>
      <c r="W188" s="266"/>
      <c r="X188" s="265" t="str">
        <f>+U188</f>
        <v>VOLUME</v>
      </c>
      <c r="Y188" s="266"/>
      <c r="Z188" s="266"/>
      <c r="AA188" s="266"/>
      <c r="AB188" s="265"/>
      <c r="AC188" s="265"/>
      <c r="AD188" s="265"/>
      <c r="AE188" s="265"/>
      <c r="AF188" s="265"/>
      <c r="AG188" s="265"/>
      <c r="AH188" s="265"/>
      <c r="AI188" s="265"/>
      <c r="AJ188" s="264"/>
      <c r="AK188" s="264"/>
      <c r="AM188" s="263" t="s">
        <v>313</v>
      </c>
      <c r="AN188" s="263"/>
      <c r="AO188" s="263"/>
      <c r="AP188" s="263" t="s">
        <v>313</v>
      </c>
      <c r="AQ188" s="263"/>
      <c r="AR188" s="263"/>
      <c r="AS188" s="263"/>
      <c r="AT188" s="263"/>
      <c r="AU188" s="263"/>
      <c r="AV188" s="263"/>
      <c r="AW188" s="263"/>
      <c r="AX188" s="263"/>
      <c r="AY188" s="263"/>
      <c r="AZ188" s="262"/>
      <c r="BA188" s="262"/>
      <c r="BB188" s="262"/>
      <c r="BC188" s="262"/>
    </row>
    <row r="189" spans="1:57">
      <c r="A189" s="261"/>
      <c r="B189" s="261"/>
      <c r="C189" s="260" t="s">
        <v>311</v>
      </c>
      <c r="D189" s="260" t="s">
        <v>310</v>
      </c>
      <c r="E189" s="260" t="s">
        <v>182</v>
      </c>
      <c r="F189" s="258" t="s">
        <v>309</v>
      </c>
      <c r="G189" s="260" t="s">
        <v>308</v>
      </c>
      <c r="H189" s="260" t="s">
        <v>307</v>
      </c>
      <c r="I189" s="260" t="s">
        <v>306</v>
      </c>
      <c r="J189" s="258" t="s">
        <v>305</v>
      </c>
      <c r="K189" s="259" t="s">
        <v>304</v>
      </c>
      <c r="L189" s="259" t="s">
        <v>303</v>
      </c>
      <c r="M189" s="259" t="s">
        <v>302</v>
      </c>
      <c r="N189" s="258" t="s">
        <v>301</v>
      </c>
      <c r="O189" s="259" t="s">
        <v>300</v>
      </c>
      <c r="P189" s="259" t="s">
        <v>299</v>
      </c>
      <c r="Q189" s="259" t="s">
        <v>298</v>
      </c>
      <c r="R189" s="258" t="s">
        <v>297</v>
      </c>
      <c r="S189" s="257" t="s">
        <v>312</v>
      </c>
      <c r="U189" s="256" t="s">
        <v>311</v>
      </c>
      <c r="V189" s="256" t="s">
        <v>310</v>
      </c>
      <c r="W189" s="256" t="s">
        <v>182</v>
      </c>
      <c r="X189" s="254" t="s">
        <v>309</v>
      </c>
      <c r="Y189" s="256" t="s">
        <v>308</v>
      </c>
      <c r="Z189" s="256" t="s">
        <v>307</v>
      </c>
      <c r="AA189" s="256" t="s">
        <v>306</v>
      </c>
      <c r="AB189" s="254" t="s">
        <v>305</v>
      </c>
      <c r="AC189" s="255" t="s">
        <v>304</v>
      </c>
      <c r="AD189" s="255" t="s">
        <v>303</v>
      </c>
      <c r="AE189" s="255" t="s">
        <v>302</v>
      </c>
      <c r="AF189" s="254" t="s">
        <v>301</v>
      </c>
      <c r="AG189" s="255" t="s">
        <v>300</v>
      </c>
      <c r="AH189" s="255" t="s">
        <v>299</v>
      </c>
      <c r="AI189" s="255" t="s">
        <v>298</v>
      </c>
      <c r="AJ189" s="254" t="s">
        <v>297</v>
      </c>
      <c r="AK189" s="253" t="s">
        <v>296</v>
      </c>
      <c r="AL189" s="252"/>
      <c r="AM189" s="251" t="s">
        <v>311</v>
      </c>
      <c r="AN189" s="251" t="s">
        <v>310</v>
      </c>
      <c r="AO189" s="251" t="s">
        <v>182</v>
      </c>
      <c r="AP189" s="250" t="s">
        <v>309</v>
      </c>
      <c r="AQ189" s="251" t="s">
        <v>308</v>
      </c>
      <c r="AR189" s="251" t="s">
        <v>307</v>
      </c>
      <c r="AS189" s="251" t="s">
        <v>306</v>
      </c>
      <c r="AT189" s="250" t="s">
        <v>305</v>
      </c>
      <c r="AU189" s="251" t="s">
        <v>304</v>
      </c>
      <c r="AV189" s="251" t="s">
        <v>303</v>
      </c>
      <c r="AW189" s="251" t="s">
        <v>302</v>
      </c>
      <c r="AX189" s="250" t="s">
        <v>301</v>
      </c>
      <c r="AY189" s="251" t="s">
        <v>300</v>
      </c>
      <c r="AZ189" s="251" t="s">
        <v>299</v>
      </c>
      <c r="BA189" s="251" t="s">
        <v>298</v>
      </c>
      <c r="BB189" s="250" t="s">
        <v>297</v>
      </c>
      <c r="BC189" s="249" t="s">
        <v>296</v>
      </c>
    </row>
    <row r="190" spans="1:57">
      <c r="A190" s="697" t="s">
        <v>295</v>
      </c>
      <c r="B190" s="697"/>
      <c r="C190" s="237">
        <f t="shared" ref="C190:E191" si="132">+U190*AM190/1000000</f>
        <v>37.153650566999993</v>
      </c>
      <c r="D190" s="237">
        <f t="shared" si="132"/>
        <v>33.217588912199993</v>
      </c>
      <c r="E190" s="237">
        <f t="shared" si="132"/>
        <v>36.307905572399996</v>
      </c>
      <c r="F190" s="246">
        <f>SUM(C190:E190)</f>
        <v>106.67914505159999</v>
      </c>
      <c r="G190" s="237">
        <f t="shared" ref="G190:I191" si="133">+Y190*AQ190/1000000</f>
        <v>36.118385819999993</v>
      </c>
      <c r="H190" s="237">
        <f t="shared" si="133"/>
        <v>37.32233201399999</v>
      </c>
      <c r="I190" s="237">
        <f t="shared" si="133"/>
        <v>37.016206425</v>
      </c>
      <c r="J190" s="246">
        <f>SUM(G190:I190)</f>
        <v>110.45692425899998</v>
      </c>
      <c r="K190" s="237">
        <f t="shared" ref="K190:M191" si="134">+AC190*AU190/1000000</f>
        <v>6.3960901124999996</v>
      </c>
      <c r="L190" s="237">
        <f t="shared" si="134"/>
        <v>39.627645123000001</v>
      </c>
      <c r="M190" s="237">
        <f t="shared" si="134"/>
        <v>39.192741224999999</v>
      </c>
      <c r="N190" s="246">
        <f>SUM(K190:M190)</f>
        <v>85.21647646049999</v>
      </c>
      <c r="O190" s="237">
        <f t="shared" ref="O190:Q191" si="135">+AG190*AY190/1000000</f>
        <v>41.48314104</v>
      </c>
      <c r="P190" s="237">
        <f t="shared" si="135"/>
        <v>41.369276024999998</v>
      </c>
      <c r="Q190" s="237">
        <f t="shared" si="135"/>
        <v>42.242207551499995</v>
      </c>
      <c r="R190" s="246">
        <f>SUM(O190:Q190)</f>
        <v>125.0946246165</v>
      </c>
      <c r="S190" s="245">
        <f>+F190+J190+N190+R190</f>
        <v>427.44717038759995</v>
      </c>
      <c r="U190" s="244">
        <f>[18]Production_M!U215</f>
        <v>4030.62</v>
      </c>
      <c r="V190" s="244">
        <f>[18]Production_M!V215</f>
        <v>3614.556</v>
      </c>
      <c r="W190" s="244">
        <f>[18]Production_M!W215</f>
        <v>3848.5920000000001</v>
      </c>
      <c r="X190" s="243">
        <f>SUM(U190:W190)</f>
        <v>11493.768</v>
      </c>
      <c r="Y190" s="244">
        <f>[18]Production_M!Y215</f>
        <v>3900.6</v>
      </c>
      <c r="Z190" s="244">
        <f>[18]Production_M!Z215</f>
        <v>4030.62</v>
      </c>
      <c r="AA190" s="244">
        <f>[18]Production_M!AA215</f>
        <v>3900.6</v>
      </c>
      <c r="AB190" s="243">
        <f>SUM(Y190:AA190)</f>
        <v>11831.82</v>
      </c>
      <c r="AC190" s="244">
        <f>[18]Production_M!AC215</f>
        <v>650.1</v>
      </c>
      <c r="AD190" s="244">
        <f>[18]Production_M!AD215</f>
        <v>4030.62</v>
      </c>
      <c r="AE190" s="244">
        <f>[18]Production_M!AE215</f>
        <v>3900.6</v>
      </c>
      <c r="AF190" s="243">
        <f>SUM(AC190:AE190)</f>
        <v>8581.32</v>
      </c>
      <c r="AG190" s="244">
        <f>[18]Production_M!AG215</f>
        <v>4030.62</v>
      </c>
      <c r="AH190" s="244">
        <f>[18]Production_M!AH215</f>
        <v>3900.6</v>
      </c>
      <c r="AI190" s="244">
        <f>[18]Production_M!AI215</f>
        <v>4030.62</v>
      </c>
      <c r="AJ190" s="243">
        <f>SUM(AG190:AI190)</f>
        <v>11961.84</v>
      </c>
      <c r="AK190" s="248">
        <f>+X190+AB190+AF190+AJ190</f>
        <v>43868.748</v>
      </c>
      <c r="AM190" s="241">
        <f>[17]PP21!B651</f>
        <v>9217.8499999999985</v>
      </c>
      <c r="AN190" s="241">
        <f>[17]PP21!C651</f>
        <v>9189.9499999999989</v>
      </c>
      <c r="AO190" s="241">
        <f>[17]PP21!D651</f>
        <v>9434.0749999999989</v>
      </c>
      <c r="AP190" s="240">
        <f>IF(X190=0,0,+F190/X190*1000000)</f>
        <v>9281.4771493212647</v>
      </c>
      <c r="AQ190" s="241">
        <f>[17]PP21!F651</f>
        <v>9259.6999999999989</v>
      </c>
      <c r="AR190" s="241">
        <f>[17]PP21!G651</f>
        <v>9259.6999999999989</v>
      </c>
      <c r="AS190" s="241">
        <f>[17]PP21!H651</f>
        <v>9489.875</v>
      </c>
      <c r="AT190" s="240">
        <f>IF(AB190=0,0,+J190/AB190*1000000)</f>
        <v>9335.5818681318651</v>
      </c>
      <c r="AU190" s="241">
        <f>[17]PP21!J651</f>
        <v>9838.625</v>
      </c>
      <c r="AV190" s="241">
        <f>[17]PP21!K651</f>
        <v>9831.6500000000015</v>
      </c>
      <c r="AW190" s="241">
        <f>[17]PP21!L651</f>
        <v>10047.875</v>
      </c>
      <c r="AX190" s="240">
        <f>IF(AF190=0,0,+N190/AF190*1000000)</f>
        <v>9930.4624999999996</v>
      </c>
      <c r="AY190" s="241">
        <f>[17]PP21!N651</f>
        <v>10292</v>
      </c>
      <c r="AZ190" s="241">
        <f>[17]PP21!O651</f>
        <v>10605.875</v>
      </c>
      <c r="BA190" s="241">
        <f>[17]PP21!P651</f>
        <v>10480.324999999999</v>
      </c>
      <c r="BB190" s="247">
        <f>IF(AJ190=0,0,+R190/AJ190*1000000)</f>
        <v>10457.807880434782</v>
      </c>
      <c r="BC190" s="239">
        <f>IF(AK190=0,0,+S190/AK190*1000000)</f>
        <v>9743.7740960284536</v>
      </c>
    </row>
    <row r="191" spans="1:57">
      <c r="A191" s="233" t="s">
        <v>294</v>
      </c>
      <c r="C191" s="237" t="e">
        <f t="shared" si="132"/>
        <v>#REF!</v>
      </c>
      <c r="D191" s="237" t="e">
        <f t="shared" si="132"/>
        <v>#REF!</v>
      </c>
      <c r="E191" s="237" t="e">
        <f t="shared" si="132"/>
        <v>#REF!</v>
      </c>
      <c r="F191" s="246" t="e">
        <f>SUM(C191:E191)</f>
        <v>#REF!</v>
      </c>
      <c r="G191" s="237" t="e">
        <f t="shared" si="133"/>
        <v>#REF!</v>
      </c>
      <c r="H191" s="237" t="e">
        <f t="shared" si="133"/>
        <v>#REF!</v>
      </c>
      <c r="I191" s="237" t="e">
        <f t="shared" si="133"/>
        <v>#REF!</v>
      </c>
      <c r="J191" s="246" t="e">
        <f>SUM(G191:I191)</f>
        <v>#REF!</v>
      </c>
      <c r="K191" s="237" t="e">
        <f t="shared" si="134"/>
        <v>#REF!</v>
      </c>
      <c r="L191" s="237" t="e">
        <f t="shared" si="134"/>
        <v>#REF!</v>
      </c>
      <c r="M191" s="237" t="e">
        <f t="shared" si="134"/>
        <v>#REF!</v>
      </c>
      <c r="N191" s="246" t="e">
        <f>SUM(K191:M191)</f>
        <v>#REF!</v>
      </c>
      <c r="O191" s="237" t="e">
        <f t="shared" si="135"/>
        <v>#REF!</v>
      </c>
      <c r="P191" s="237" t="e">
        <f t="shared" si="135"/>
        <v>#REF!</v>
      </c>
      <c r="Q191" s="237" t="e">
        <f t="shared" si="135"/>
        <v>#REF!</v>
      </c>
      <c r="R191" s="246" t="e">
        <f>SUM(O191:Q191)</f>
        <v>#REF!</v>
      </c>
      <c r="S191" s="245" t="e">
        <f>+F191+J191+N191+R191</f>
        <v>#REF!</v>
      </c>
      <c r="U191" s="244" t="e">
        <f>[18]Production_M!U220</f>
        <v>#REF!</v>
      </c>
      <c r="V191" s="244" t="e">
        <f>[18]Production_M!V220</f>
        <v>#REF!</v>
      </c>
      <c r="W191" s="244" t="e">
        <f>[18]Production_M!W220</f>
        <v>#REF!</v>
      </c>
      <c r="X191" s="243" t="e">
        <f>SUM(U191:W191)</f>
        <v>#REF!</v>
      </c>
      <c r="Y191" s="244" t="e">
        <f>[18]Production_M!Y220</f>
        <v>#REF!</v>
      </c>
      <c r="Z191" s="244" t="e">
        <f>[18]Production_M!Z220</f>
        <v>#REF!</v>
      </c>
      <c r="AA191" s="244" t="e">
        <f>[18]Production_M!AA220</f>
        <v>#REF!</v>
      </c>
      <c r="AB191" s="243" t="e">
        <f>SUM(Y191:AA191)</f>
        <v>#REF!</v>
      </c>
      <c r="AC191" s="244" t="e">
        <f>[18]Production_M!AC220</f>
        <v>#REF!</v>
      </c>
      <c r="AD191" s="244" t="e">
        <f>[18]Production_M!AD220</f>
        <v>#REF!</v>
      </c>
      <c r="AE191" s="244" t="e">
        <f>[18]Production_M!AE220</f>
        <v>#REF!</v>
      </c>
      <c r="AF191" s="243" t="e">
        <f>SUM(AC191:AE191)</f>
        <v>#REF!</v>
      </c>
      <c r="AG191" s="244" t="e">
        <f>[18]Production_M!AG220</f>
        <v>#REF!</v>
      </c>
      <c r="AH191" s="244" t="e">
        <f>[18]Production_M!AH220</f>
        <v>#REF!</v>
      </c>
      <c r="AI191" s="244" t="e">
        <f>[18]Production_M!AI220</f>
        <v>#REF!</v>
      </c>
      <c r="AJ191" s="243" t="e">
        <f>SUM(AG191:AI191)</f>
        <v>#REF!</v>
      </c>
      <c r="AK191" s="242" t="e">
        <f>+X191+AB191+AF191+AJ191</f>
        <v>#REF!</v>
      </c>
      <c r="AM191" s="241">
        <f>[17]PP21!B665</f>
        <v>15872</v>
      </c>
      <c r="AN191" s="241">
        <f>[17]PP21!C665</f>
        <v>15531</v>
      </c>
      <c r="AO191" s="241">
        <f>[17]PP21!D665</f>
        <v>15779</v>
      </c>
      <c r="AP191" s="240" t="e">
        <f>IF(X191=0,0,+F191/X191*1000000)</f>
        <v>#REF!</v>
      </c>
      <c r="AQ191" s="241">
        <f>[17]PP21!F665</f>
        <v>15500</v>
      </c>
      <c r="AR191" s="241">
        <f>[17]PP21!G665</f>
        <v>15128</v>
      </c>
      <c r="AS191" s="241">
        <f>[17]PP21!H665</f>
        <v>15376</v>
      </c>
      <c r="AT191" s="240" t="e">
        <f>IF(AB191=0,0,+J191/AB191*1000000)</f>
        <v>#REF!</v>
      </c>
      <c r="AU191" s="241">
        <f>[17]PP21!J665</f>
        <v>15562</v>
      </c>
      <c r="AV191" s="241">
        <f>[17]PP21!K665</f>
        <v>15965</v>
      </c>
      <c r="AW191" s="241">
        <f>[17]PP21!L665</f>
        <v>16089</v>
      </c>
      <c r="AX191" s="240" t="e">
        <f>IF(AF191=0,0,+N191/AF191*1000000)</f>
        <v>#REF!</v>
      </c>
      <c r="AY191" s="241">
        <f>[17]PP21!N665</f>
        <v>16213</v>
      </c>
      <c r="AZ191" s="241">
        <f>[17]PP21!O665</f>
        <v>16461</v>
      </c>
      <c r="BA191" s="241">
        <f>[17]PP21!P665</f>
        <v>16337</v>
      </c>
      <c r="BB191" s="240" t="e">
        <f>IF(AJ191=0,0,+R191/AJ191*1000000)</f>
        <v>#REF!</v>
      </c>
      <c r="BC191" s="239" t="e">
        <f>IF(AK191=0,0,+S191/AK191*1000000)</f>
        <v>#REF!</v>
      </c>
    </row>
  </sheetData>
  <mergeCells count="6">
    <mergeCell ref="A188:B188"/>
    <mergeCell ref="A3:B3"/>
    <mergeCell ref="A96:B96"/>
    <mergeCell ref="A119:B119"/>
    <mergeCell ref="A164:B164"/>
    <mergeCell ref="A181:B181"/>
  </mergeCells>
  <printOptions horizontalCentered="1" headings="1"/>
  <pageMargins left="0.15748031496062992" right="0.19685039370078741" top="0.23622047244094491" bottom="0.27559055118110237" header="0.19685039370078741" footer="0.15748031496062992"/>
  <pageSetup paperSize="9" scale="53" orientation="portrait" r:id="rId1"/>
  <headerFooter alignWithMargins="0">
    <oddFooter>&amp;C&amp;11&amp;Z&amp;F / &amp;A&amp;R&amp;11&amp;D   &amp;T</oddFooter>
  </headerFooter>
  <rowBreaks count="1" manualBreakCount="1">
    <brk id="117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Price</vt:lpstr>
      <vt:lpstr>Price to IR </vt:lpstr>
      <vt:lpstr>นำส่ง กผ</vt:lpstr>
      <vt:lpstr>Fx</vt:lpstr>
      <vt:lpstr>Delivery</vt:lpstr>
      <vt:lpstr>นำส่ง Hedging วผก</vt:lpstr>
      <vt:lpstr>Revenue (Baht)</vt:lpstr>
      <vt:lpstr>COST (Baht)</vt:lpstr>
      <vt:lpstr>Margin (Baht)</vt:lpstr>
      <vt:lpstr>Production</vt:lpstr>
      <vt:lpstr>Sheet4</vt:lpstr>
      <vt:lpstr>Sheet2</vt:lpstr>
      <vt:lpstr>LPG Domestic</vt:lpstr>
      <vt:lpstr>COST จาก วผก.</vt:lpstr>
      <vt:lpstr>Rolling พี่เตย</vt:lpstr>
      <vt:lpstr>Graph (Full Cost)</vt:lpstr>
      <vt:lpstr>Bz Price </vt:lpstr>
      <vt:lpstr>Bz Delivery </vt:lpstr>
      <vt:lpstr>Bz Revenue </vt:lpstr>
      <vt:lpstr>PL (64)</vt:lpstr>
      <vt:lpstr>Data (64)</vt:lpstr>
      <vt:lpstr>'PL (64)'!Print_Area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 KETJUNTIWA</dc:creator>
  <cp:lastModifiedBy>Chalida</cp:lastModifiedBy>
  <dcterms:created xsi:type="dcterms:W3CDTF">2021-01-05T09:40:35Z</dcterms:created>
  <dcterms:modified xsi:type="dcterms:W3CDTF">2021-07-27T09:08:15Z</dcterms:modified>
</cp:coreProperties>
</file>