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30234\Desktop\"/>
    </mc:Choice>
  </mc:AlternateContent>
  <bookViews>
    <workbookView xWindow="0" yWindow="0" windowWidth="23040" windowHeight="8256"/>
  </bookViews>
  <sheets>
    <sheet name="C2 (r2)" sheetId="1" r:id="rId1"/>
    <sheet name="LR monthly" sheetId="2" r:id="rId2"/>
    <sheet name="C3LPG" sheetId="3" r:id="rId3"/>
    <sheet name="NGL" sheetId="4" r:id="rId4"/>
  </sheets>
  <externalReferences>
    <externalReference r:id="rId5"/>
    <externalReference r:id="rId6"/>
    <externalReference r:id="rId7"/>
    <externalReference r:id="rId8"/>
    <externalReference r:id="rId9"/>
    <externalReference r:id="rId10"/>
    <externalReference r:id="rId11"/>
  </externalReferences>
  <definedNames>
    <definedName name="\d" localSheetId="0">'[2]ESSO-ESSO (incre.)'!#REF!</definedName>
    <definedName name="\d" localSheetId="2">'[2]ESSO-ESSO (incre.)'!#REF!</definedName>
    <definedName name="\d" localSheetId="3">'[2]ESSO-ESSO (incre.)'!#REF!</definedName>
    <definedName name="\d">'[2]ESSO-ESSO (incre.)'!#REF!</definedName>
    <definedName name="\e" localSheetId="0">'[2]ESSO-ESSO (incre.)'!#REF!</definedName>
    <definedName name="\e" localSheetId="2">'[2]ESSO-ESSO (incre.)'!#REF!</definedName>
    <definedName name="\e" localSheetId="3">'[2]ESSO-ESSO (incre.)'!#REF!</definedName>
    <definedName name="\e">'[2]ESSO-ESSO (incre.)'!#REF!</definedName>
    <definedName name="\f" localSheetId="0">'[2]ESSO-ESSO (incre.)'!#REF!</definedName>
    <definedName name="\f" localSheetId="2">'[2]ESSO-ESSO (incre.)'!#REF!</definedName>
    <definedName name="\f" localSheetId="3">'[2]ESSO-ESSO (incre.)'!#REF!</definedName>
    <definedName name="\f">'[2]ESSO-ESSO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__123Graph_A" hidden="1">[3]AGP!$BI$93:$BO$93</definedName>
    <definedName name="__123Graph_B" hidden="1">[3]AGP!$BI$97:$BO$97</definedName>
    <definedName name="__123Graph_C" hidden="1">[3]AGP!$BI$98:$BO$98</definedName>
    <definedName name="__123Graph_D" hidden="1">[3]AGP!$BI$99:$BO$99</definedName>
    <definedName name="__123Graph_X" localSheetId="0" hidden="1">[3]AGP!#REF!</definedName>
    <definedName name="__123Graph_X" localSheetId="2" hidden="1">[3]AGP!#REF!</definedName>
    <definedName name="__123Graph_X" localSheetId="3" hidden="1">[3]AGP!#REF!</definedName>
    <definedName name="__123Graph_X" hidden="1">[3]AGP!#REF!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a" localSheetId="0">[4]Purchase!#REF!</definedName>
    <definedName name="a" localSheetId="2">[4]Purchase!#REF!</definedName>
    <definedName name="a" localSheetId="3">[4]Purchase!#REF!</definedName>
    <definedName name="a">[4]Purchase!#REF!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 (r2)'!TheYear)-WEEKDAY(DATEVALUE("4/1/"&amp;'C2 (r2)'!TheYear))+1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 (r2)'!TheYear)-WEEKDAY(DATEVALUE("8/1/"&amp;'C2 (r2)'!TheYear))+1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[5]level_all!$E$3:$K$15</definedName>
    <definedName name="BLG">[5]level_all!$FH$2:$FQ$15</definedName>
    <definedName name="ca" localSheetId="0">[4]Purchase!#REF!</definedName>
    <definedName name="ca" localSheetId="2">[4]Purchase!#REF!</definedName>
    <definedName name="ca" localSheetId="3">[4]Purchase!#REF!</definedName>
    <definedName name="ca">[4]Purchase!#REF!</definedName>
    <definedName name="CASE2" localSheetId="0">#REF!</definedName>
    <definedName name="CASE2" localSheetId="2">#REF!</definedName>
    <definedName name="CASE2" localSheetId="3">#REF!</definedName>
    <definedName name="CASE2">#REF!</definedName>
    <definedName name="ccc" localSheetId="0">[4]Purchase!#REF!</definedName>
    <definedName name="ccc" localSheetId="2">[4]Purchase!#REF!</definedName>
    <definedName name="ccc" localSheetId="3">[4]Purchase!#REF!</definedName>
    <definedName name="ccc">[4]Purchase!#REF!</definedName>
    <definedName name="CLB">[5]level_all!$DQ$2:$DZ$15</definedName>
    <definedName name="CRUDE" localSheetId="0">#REF!</definedName>
    <definedName name="CRUDE" localSheetId="2">#REF!</definedName>
    <definedName name="CRUDE" localSheetId="3">#REF!</definedName>
    <definedName name="CRUDE">#REF!</definedName>
    <definedName name="Customercode">[6]Invent.!$B$7:$B$4500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 (r2)'!TheYear)-WEEKDAY(DATEVALUE("12/1/"&amp;'C2 (r2)'!TheYear))+1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 (r2)'!TheYear)-WEEKDAY(DATEVALUE("2/1/"&amp;'C2 (r2)'!TheYear))+1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[6]Invent.!$B$3:$BS$3</definedName>
    <definedName name="Jan" localSheetId="0">#REF!</definedName>
    <definedName name="Jan" localSheetId="2">#REF!</definedName>
    <definedName name="Jan" localSheetId="3">#REF!</definedName>
    <definedName name="Jan">#REF!</definedName>
    <definedName name="JanSun1" localSheetId="0">DATEVALUE("1/1/"&amp;'C2 (r2)'!TheYear)-WEEKDAY(DATEVALUE("1/1/"&amp;'C2 (r2)'!TheYear))+1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 (r2)'!TheYear)-WEEKDAY(DATEVALUE("7/1/"&amp;'C2 (r2)'!TheYear))+1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 (r2)'!TheYear)-WEEKDAY(DATEVALUE("6/1/"&amp;'C2 (r2)'!TheYear))+1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[5]level_all!$BB$2:$BK$15</definedName>
    <definedName name="kkc">[5]level_all!$BO$2:$BX$15</definedName>
    <definedName name="krd">[5]level_all!$CC$2:$CL$15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 (r2)'!TheYear)-WEEKDAY(DATEVALUE("3/1/"&amp;'C2 (r2)'!TheYear))+1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 (r2)'!TheYear)-WEEKDAY(DATEVALUE("5/1/"&amp;'C2 (r2)'!TheYear))+1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[5]level_all!$AC$2:$AL$15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 (r2)'!TheYear)-WEEKDAY(DATEVALUE("11/1/"&amp;'C2 (r2)'!TheYear))+1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[5]level_all!$EG$2:$EP$15</definedName>
    <definedName name="Oct" localSheetId="0">#REF!</definedName>
    <definedName name="Oct" localSheetId="2">#REF!</definedName>
    <definedName name="Oct" localSheetId="3">#REF!</definedName>
    <definedName name="Oct">#REF!</definedName>
    <definedName name="OctSun1" localSheetId="0">DATEVALUE("10/1/"&amp;'C2 (r2)'!TheYear)-WEEKDAY(DATEVALUE("10/1/"&amp;'C2 (r2)'!TheYear))+1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[7]!OneStepChart</definedName>
    <definedName name="OneStepChart" localSheetId="2">[7]!OneStepChart</definedName>
    <definedName name="OneStepChart" localSheetId="3">[7]!OneStepChart</definedName>
    <definedName name="OneStepChart">[7]!OneStepChart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[4]Purchase!#REF!</definedName>
    <definedName name="pool3" localSheetId="2">[4]Purchase!#REF!</definedName>
    <definedName name="pool3" localSheetId="3">[4]Purchase!#REF!</definedName>
    <definedName name="pool3">[4]Purchase!#REF!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[4]Purchase!#REF!</definedName>
    <definedName name="Q" localSheetId="2">[4]Purchase!#REF!</definedName>
    <definedName name="Q" localSheetId="3">[4]Purchase!#REF!</definedName>
    <definedName name="Q">[4]Purchase!#REF!</definedName>
    <definedName name="RPB">[5]level_all!$ER$2:$EZ$15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 (r2)'!TheYear)-WEEKDAY(DATEVALUE("9/1/"&amp;'C2 (r2)'!TheYear))+1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[5]level_all!$N$2:$U$15</definedName>
    <definedName name="SNR">[5]level_all!$AO$2:$AX$15</definedName>
    <definedName name="SRD">[5]level_all!$DD$2:$DM$15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[5]level_all!$CP$2:$CY$15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[4]Purchase!#REF!</definedName>
    <definedName name="x" localSheetId="2">[4]Purchase!#REF!</definedName>
    <definedName name="x" localSheetId="3">[4]Purchase!#REF!</definedName>
    <definedName name="x">[4]Purchase!#REF!</definedName>
    <definedName name="xxx" localSheetId="0">[4]Purchase!#REF!</definedName>
    <definedName name="xxx" localSheetId="2">[4]Purchase!#REF!</definedName>
    <definedName name="xxx" localSheetId="3">[4]Purchase!#REF!</definedName>
    <definedName name="xxx">[4]Purchase!#REF!</definedName>
    <definedName name="ZeroRef">[6]Invent.!$B$6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34" i="4" l="1"/>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B29" i="4"/>
  <c r="AA29" i="4"/>
  <c r="AE28" i="4"/>
  <c r="AD28" i="4"/>
  <c r="AC28" i="4"/>
  <c r="AB28" i="4"/>
  <c r="AA28" i="4"/>
  <c r="Z28" i="4"/>
  <c r="BG27" i="4"/>
  <c r="BC27" i="4"/>
  <c r="AE27" i="4"/>
  <c r="AE29" i="4" s="1"/>
  <c r="AD27" i="4"/>
  <c r="AD29" i="4" s="1"/>
  <c r="AC27" i="4"/>
  <c r="AC29" i="4" s="1"/>
  <c r="AB27" i="4"/>
  <c r="AA27" i="4"/>
  <c r="Z27" i="4"/>
  <c r="Z29" i="4" s="1"/>
  <c r="BP25" i="4"/>
  <c r="BL25" i="4"/>
  <c r="BI25" i="4"/>
  <c r="BJ23" i="4" s="1"/>
  <c r="BN24" i="4"/>
  <c r="BJ24" i="4"/>
  <c r="BK24" i="4" s="1"/>
  <c r="BF24" i="4"/>
  <c r="BL23" i="4"/>
  <c r="BK23" i="4"/>
  <c r="BF23" i="4"/>
  <c r="BD23" i="4"/>
  <c r="AZ23" i="4"/>
  <c r="AI23" i="4"/>
  <c r="BX20" i="4"/>
  <c r="BW20" i="4"/>
  <c r="BV20" i="4"/>
  <c r="BU20" i="4"/>
  <c r="BS20" i="4"/>
  <c r="BR20" i="4"/>
  <c r="BQ20" i="4"/>
  <c r="BP20" i="4"/>
  <c r="BM20" i="4"/>
  <c r="BL20" i="4"/>
  <c r="BK20" i="4"/>
  <c r="BJ20" i="4"/>
  <c r="BI20" i="4"/>
  <c r="BE20" i="4"/>
  <c r="BC20" i="4"/>
  <c r="BU19" i="4"/>
  <c r="BT19" i="4"/>
  <c r="BI19" i="4"/>
  <c r="BE19" i="4"/>
  <c r="AZ19" i="4"/>
  <c r="AX19" i="4"/>
  <c r="AV19" i="4"/>
  <c r="AU19" i="4"/>
  <c r="AQ19" i="4"/>
  <c r="AO19" i="4"/>
  <c r="AK19" i="4"/>
  <c r="AJ19" i="4"/>
  <c r="AI19" i="4"/>
  <c r="AH19" i="4"/>
  <c r="AG19" i="4"/>
  <c r="AF19" i="4"/>
  <c r="AE19" i="4"/>
  <c r="AD19" i="4"/>
  <c r="AC19" i="4"/>
  <c r="AB19" i="4"/>
  <c r="Y19" i="4"/>
  <c r="X19" i="4"/>
  <c r="W19" i="4"/>
  <c r="V19" i="4"/>
  <c r="U19" i="4"/>
  <c r="T19" i="4"/>
  <c r="S19" i="4"/>
  <c r="R19" i="4"/>
  <c r="Q19" i="4"/>
  <c r="P19" i="4"/>
  <c r="O19" i="4"/>
  <c r="N19" i="4"/>
  <c r="M19" i="4"/>
  <c r="L19" i="4"/>
  <c r="K19" i="4"/>
  <c r="J19" i="4"/>
  <c r="I19" i="4"/>
  <c r="H19" i="4"/>
  <c r="G19" i="4"/>
  <c r="F19" i="4"/>
  <c r="E19" i="4"/>
  <c r="D19" i="4"/>
  <c r="C19" i="4"/>
  <c r="BD18" i="4"/>
  <c r="BC18"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A17" i="4"/>
  <c r="Z17" i="4"/>
  <c r="Y17" i="4"/>
  <c r="X17" i="4"/>
  <c r="W17" i="4"/>
  <c r="V17" i="4"/>
  <c r="U17" i="4"/>
  <c r="T17" i="4"/>
  <c r="S17" i="4"/>
  <c r="R17" i="4"/>
  <c r="P17" i="4"/>
  <c r="P15" i="4" s="1"/>
  <c r="O17" i="4"/>
  <c r="M17" i="4"/>
  <c r="L17" i="4"/>
  <c r="K17" i="4"/>
  <c r="J17" i="4"/>
  <c r="I17" i="4"/>
  <c r="H17" i="4"/>
  <c r="G17" i="4"/>
  <c r="F17" i="4"/>
  <c r="E17" i="4"/>
  <c r="D17" i="4"/>
  <c r="C17" i="4"/>
  <c r="C15" i="4" s="1"/>
  <c r="BR16" i="4"/>
  <c r="BR15" i="4" s="1"/>
  <c r="BM16" i="4"/>
  <c r="BM15" i="4" s="1"/>
  <c r="BC16" i="4"/>
  <c r="BC15" i="4" s="1"/>
  <c r="BB16" i="4"/>
  <c r="BB15" i="4" s="1"/>
  <c r="AX16" i="4"/>
  <c r="AX15" i="4" s="1"/>
  <c r="AW16" i="4"/>
  <c r="AW15" i="4" s="1"/>
  <c r="AS16" i="4"/>
  <c r="AS15" i="4" s="1"/>
  <c r="AJ16" i="4"/>
  <c r="AI16" i="4"/>
  <c r="AI15" i="4" s="1"/>
  <c r="AH16" i="4"/>
  <c r="AH15" i="4" s="1"/>
  <c r="AD16" i="4"/>
  <c r="AD15" i="4" s="1"/>
  <c r="AC16" i="4"/>
  <c r="AC15" i="4" s="1"/>
  <c r="Y16" i="4"/>
  <c r="W16" i="4"/>
  <c r="W15" i="4" s="1"/>
  <c r="V16" i="4"/>
  <c r="V15" i="4" s="1"/>
  <c r="U16" i="4"/>
  <c r="T16" i="4"/>
  <c r="S16" i="4"/>
  <c r="R16" i="4"/>
  <c r="R15" i="4" s="1"/>
  <c r="Q16" i="4"/>
  <c r="P16" i="4"/>
  <c r="O16" i="4"/>
  <c r="N16" i="4"/>
  <c r="M16" i="4"/>
  <c r="L16" i="4"/>
  <c r="K16" i="4"/>
  <c r="J16" i="4"/>
  <c r="J15" i="4" s="1"/>
  <c r="I16" i="4"/>
  <c r="H16" i="4"/>
  <c r="G16" i="4"/>
  <c r="F16" i="4"/>
  <c r="F15" i="4" s="1"/>
  <c r="E16" i="4"/>
  <c r="D16" i="4"/>
  <c r="C16" i="4"/>
  <c r="BU15" i="4"/>
  <c r="BT15" i="4"/>
  <c r="BI15" i="4"/>
  <c r="AN15" i="4"/>
  <c r="AJ15" i="4"/>
  <c r="AE15" i="4"/>
  <c r="Y15" i="4"/>
  <c r="X15" i="4"/>
  <c r="U15" i="4"/>
  <c r="T15" i="4"/>
  <c r="S15" i="4"/>
  <c r="O15" i="4"/>
  <c r="M15" i="4"/>
  <c r="L15" i="4"/>
  <c r="I15" i="4"/>
  <c r="H15" i="4"/>
  <c r="E15" i="4"/>
  <c r="D15" i="4"/>
  <c r="AX14" i="4"/>
  <c r="AI14" i="4"/>
  <c r="AH14" i="4"/>
  <c r="AD14" i="4"/>
  <c r="Y14" i="4"/>
  <c r="W14" i="4"/>
  <c r="V14" i="4"/>
  <c r="S14" i="4"/>
  <c r="R14" i="4"/>
  <c r="M14" i="4"/>
  <c r="I14" i="4"/>
  <c r="G14" i="4"/>
  <c r="BT13" i="4"/>
  <c r="BT14" i="4" s="1"/>
  <c r="BS13" i="4"/>
  <c r="BS14" i="4" s="1"/>
  <c r="BM13" i="4"/>
  <c r="BM14" i="4" s="1"/>
  <c r="BI13" i="4"/>
  <c r="BI14" i="4" s="1"/>
  <c r="AX13" i="4"/>
  <c r="AS13" i="4"/>
  <c r="AS14" i="4" s="1"/>
  <c r="AO13" i="4"/>
  <c r="AO14" i="4" s="1"/>
  <c r="AN13" i="4"/>
  <c r="AN14" i="4" s="1"/>
  <c r="AJ13" i="4"/>
  <c r="AJ14" i="4" s="1"/>
  <c r="AI13" i="4"/>
  <c r="AE13" i="4"/>
  <c r="AE14" i="4" s="1"/>
  <c r="AC13" i="4"/>
  <c r="AC14" i="4" s="1"/>
  <c r="Y13" i="4"/>
  <c r="X13" i="4"/>
  <c r="W13" i="4"/>
  <c r="V13" i="4"/>
  <c r="U13" i="4"/>
  <c r="U14" i="4" s="1"/>
  <c r="T13" i="4"/>
  <c r="T14" i="4" s="1"/>
  <c r="S13" i="4"/>
  <c r="R13" i="4"/>
  <c r="Q13" i="4"/>
  <c r="Q14" i="4" s="1"/>
  <c r="P13" i="4"/>
  <c r="P14" i="4" s="1"/>
  <c r="O13" i="4"/>
  <c r="O14" i="4" s="1"/>
  <c r="M13" i="4"/>
  <c r="L13" i="4"/>
  <c r="L14" i="4" s="1"/>
  <c r="J13" i="4"/>
  <c r="J14" i="4" s="1"/>
  <c r="I13" i="4"/>
  <c r="H13" i="4"/>
  <c r="H14" i="4" s="1"/>
  <c r="G13" i="4"/>
  <c r="F13" i="4"/>
  <c r="F14" i="4" s="1"/>
  <c r="E13" i="4"/>
  <c r="E14" i="4" s="1"/>
  <c r="D13" i="4"/>
  <c r="D14" i="4" s="1"/>
  <c r="C13" i="4"/>
  <c r="C14" i="4" s="1"/>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A10" i="4"/>
  <c r="AZ10" i="4"/>
  <c r="BY10" i="4" s="1"/>
  <c r="BZ10" i="4" s="1"/>
  <c r="T10" i="4"/>
  <c r="N10" i="4"/>
  <c r="K10" i="4"/>
  <c r="K13" i="4" s="1"/>
  <c r="K14" i="4" s="1"/>
  <c r="BZ9" i="4"/>
  <c r="BY9" i="4"/>
  <c r="BT8" i="4"/>
  <c r="BT20" i="4" s="1"/>
  <c r="BO8" i="4"/>
  <c r="BO20" i="4" s="1"/>
  <c r="BN8" i="4"/>
  <c r="CD8" i="4" s="1"/>
  <c r="CE8" i="4" s="1"/>
  <c r="CF8" i="4" s="1"/>
  <c r="BM8" i="4"/>
  <c r="BJ8" i="4"/>
  <c r="BI8" i="4"/>
  <c r="BI16" i="4" s="1"/>
  <c r="BH8" i="4"/>
  <c r="BH13" i="4" s="1"/>
  <c r="BH14" i="4" s="1"/>
  <c r="BG8" i="4"/>
  <c r="BG20" i="4" s="1"/>
  <c r="BF8" i="4"/>
  <c r="BF20" i="4" s="1"/>
  <c r="BD8" i="4"/>
  <c r="BD20" i="4" s="1"/>
  <c r="AZ8" i="4"/>
  <c r="AY8" i="4"/>
  <c r="AW8" i="4"/>
  <c r="AV8" i="4"/>
  <c r="AM8" i="4"/>
  <c r="BY8" i="4" s="1"/>
  <c r="CA8" i="4" s="1"/>
  <c r="AL8" i="4"/>
  <c r="AH8" i="4"/>
  <c r="AH13" i="4" s="1"/>
  <c r="AG8" i="4"/>
  <c r="AF8" i="4"/>
  <c r="AE8" i="4"/>
  <c r="AE16" i="4" s="1"/>
  <c r="AD8" i="4"/>
  <c r="AD13" i="4" s="1"/>
  <c r="AC8" i="4"/>
  <c r="AB8" i="4"/>
  <c r="AB17" i="4" s="1"/>
  <c r="AA8" i="4"/>
  <c r="Q8" i="4"/>
  <c r="Q17" i="4" s="1"/>
  <c r="Q15" i="4" s="1"/>
  <c r="BX7" i="4"/>
  <c r="BW7" i="4"/>
  <c r="BV7" i="4"/>
  <c r="BU7" i="4"/>
  <c r="BU16" i="4" s="1"/>
  <c r="BT7" i="4"/>
  <c r="BT16" i="4" s="1"/>
  <c r="BS7" i="4"/>
  <c r="BR7" i="4"/>
  <c r="BQ7" i="4"/>
  <c r="BQ16" i="4" s="1"/>
  <c r="BQ15" i="4" s="1"/>
  <c r="BP7" i="4"/>
  <c r="BO7" i="4"/>
  <c r="BN7" i="4"/>
  <c r="BM7" i="4"/>
  <c r="BM19" i="4" s="1"/>
  <c r="BL7" i="4"/>
  <c r="BK7" i="4"/>
  <c r="BK19" i="4" s="1"/>
  <c r="BJ7" i="4"/>
  <c r="BJ16" i="4" s="1"/>
  <c r="BJ15" i="4" s="1"/>
  <c r="BI7" i="4"/>
  <c r="BH7" i="4"/>
  <c r="BG7" i="4"/>
  <c r="BF7" i="4"/>
  <c r="BE7" i="4"/>
  <c r="BE23" i="4" s="1"/>
  <c r="BD7" i="4"/>
  <c r="BD16" i="4" s="1"/>
  <c r="BD15" i="4" s="1"/>
  <c r="BC7" i="4"/>
  <c r="BB7" i="4"/>
  <c r="BB23" i="4" s="1"/>
  <c r="BA7" i="4"/>
  <c r="BA23" i="4" s="1"/>
  <c r="AZ7" i="4"/>
  <c r="AY7" i="4"/>
  <c r="AY19" i="4" s="1"/>
  <c r="AW7" i="4"/>
  <c r="AW13" i="4" s="1"/>
  <c r="AW14" i="4" s="1"/>
  <c r="AV7" i="4"/>
  <c r="AU7" i="4"/>
  <c r="AU16" i="4" s="1"/>
  <c r="AU15" i="4" s="1"/>
  <c r="AT7" i="4"/>
  <c r="AS7" i="4"/>
  <c r="AS19" i="4" s="1"/>
  <c r="AR7" i="4"/>
  <c r="AR16" i="4" s="1"/>
  <c r="AR15" i="4" s="1"/>
  <c r="AQ7" i="4"/>
  <c r="AQ13" i="4" s="1"/>
  <c r="AQ14" i="4" s="1"/>
  <c r="AP7" i="4"/>
  <c r="AO7" i="4"/>
  <c r="AO16" i="4" s="1"/>
  <c r="AO15" i="4" s="1"/>
  <c r="AN7" i="4"/>
  <c r="AN16" i="4" s="1"/>
  <c r="AM7" i="4"/>
  <c r="AL7" i="4"/>
  <c r="AK7" i="4"/>
  <c r="AK16" i="4" s="1"/>
  <c r="AK15" i="4" s="1"/>
  <c r="AB7" i="4"/>
  <c r="AB16" i="4" s="1"/>
  <c r="AA7" i="4"/>
  <c r="Z7" i="4"/>
  <c r="X7" i="4"/>
  <c r="X16" i="4" s="1"/>
  <c r="CD6" i="4"/>
  <c r="CE6" i="4" s="1"/>
  <c r="CC6" i="4"/>
  <c r="CB6" i="4"/>
  <c r="BZ6" i="4"/>
  <c r="X6" i="4"/>
  <c r="X14" i="4" s="1"/>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G164" i="3"/>
  <c r="AA164" i="3"/>
  <c r="U164" i="3"/>
  <c r="Q164" i="3"/>
  <c r="P164" i="3"/>
  <c r="M164" i="3"/>
  <c r="L164" i="3"/>
  <c r="I164" i="3"/>
  <c r="H164" i="3"/>
  <c r="E164" i="3"/>
  <c r="AL163" i="3"/>
  <c r="AI163" i="3"/>
  <c r="AH163" i="3"/>
  <c r="AE163" i="3"/>
  <c r="AD163" i="3"/>
  <c r="AA163" i="3"/>
  <c r="Z163" i="3"/>
  <c r="W163" i="3"/>
  <c r="V163" i="3"/>
  <c r="S163" i="3"/>
  <c r="R163" i="3"/>
  <c r="O163" i="3"/>
  <c r="N163" i="3"/>
  <c r="K163" i="3"/>
  <c r="J163" i="3"/>
  <c r="G163" i="3"/>
  <c r="F163" i="3"/>
  <c r="AK162" i="3"/>
  <c r="AJ162" i="3"/>
  <c r="AF162" i="3"/>
  <c r="AC162" i="3"/>
  <c r="AB162" i="3"/>
  <c r="X162" i="3"/>
  <c r="U162" i="3"/>
  <c r="T162" i="3"/>
  <c r="O162" i="3"/>
  <c r="M162" i="3"/>
  <c r="L162" i="3"/>
  <c r="H162" i="3"/>
  <c r="AI161" i="3"/>
  <c r="AH161" i="3"/>
  <c r="AE161" i="3"/>
  <c r="AA161" i="3"/>
  <c r="W161" i="3"/>
  <c r="S161" i="3"/>
  <c r="R161" i="3"/>
  <c r="O161" i="3"/>
  <c r="K161" i="3"/>
  <c r="J161" i="3"/>
  <c r="G161" i="3"/>
  <c r="F161" i="3"/>
  <c r="E161" i="3"/>
  <c r="AE159" i="3"/>
  <c r="AE160" i="3" s="1"/>
  <c r="W159" i="3"/>
  <c r="G159" i="3"/>
  <c r="AL158" i="3"/>
  <c r="AK158" i="3"/>
  <c r="AJ158" i="3"/>
  <c r="AI158" i="3"/>
  <c r="AH158" i="3"/>
  <c r="AG158" i="3"/>
  <c r="AF158" i="3"/>
  <c r="AE158" i="3"/>
  <c r="AD158" i="3"/>
  <c r="AC158" i="3"/>
  <c r="AB158" i="3"/>
  <c r="AA158" i="3"/>
  <c r="Z158" i="3"/>
  <c r="Y158" i="3"/>
  <c r="X158" i="3"/>
  <c r="W158" i="3"/>
  <c r="AL157" i="3"/>
  <c r="AK157" i="3"/>
  <c r="AJ157" i="3"/>
  <c r="AI157" i="3"/>
  <c r="AH157" i="3"/>
  <c r="AG157" i="3"/>
  <c r="AF157" i="3"/>
  <c r="AE157" i="3"/>
  <c r="AD157" i="3"/>
  <c r="AC157" i="3"/>
  <c r="AB157" i="3"/>
  <c r="AA157" i="3"/>
  <c r="AN157" i="3" s="1"/>
  <c r="Z157" i="3"/>
  <c r="Y157" i="3"/>
  <c r="X157" i="3"/>
  <c r="W157" i="3"/>
  <c r="AL156" i="3"/>
  <c r="AK156" i="3"/>
  <c r="AJ156" i="3"/>
  <c r="AI156" i="3"/>
  <c r="AH156" i="3"/>
  <c r="AG156" i="3"/>
  <c r="AF156" i="3"/>
  <c r="AE156" i="3"/>
  <c r="AD156" i="3"/>
  <c r="AC156" i="3"/>
  <c r="AB156" i="3"/>
  <c r="AA156" i="3"/>
  <c r="AN156" i="3" s="1"/>
  <c r="Z156" i="3"/>
  <c r="Y156" i="3"/>
  <c r="X156" i="3"/>
  <c r="W156" i="3"/>
  <c r="AL155" i="3"/>
  <c r="AK155" i="3"/>
  <c r="AJ155" i="3"/>
  <c r="AI155" i="3"/>
  <c r="AH155" i="3"/>
  <c r="AG155" i="3"/>
  <c r="AF155" i="3"/>
  <c r="AE155" i="3"/>
  <c r="AD155" i="3"/>
  <c r="AC155" i="3"/>
  <c r="AB155" i="3"/>
  <c r="AA155" i="3"/>
  <c r="Z155" i="3"/>
  <c r="Y155" i="3"/>
  <c r="X155" i="3"/>
  <c r="W155" i="3"/>
  <c r="V155" i="3"/>
  <c r="U155" i="3"/>
  <c r="T155" i="3"/>
  <c r="AL154" i="3"/>
  <c r="AK154" i="3"/>
  <c r="AJ154" i="3"/>
  <c r="AI154" i="3"/>
  <c r="AH154" i="3"/>
  <c r="AG154" i="3"/>
  <c r="AF154" i="3"/>
  <c r="AE154" i="3"/>
  <c r="AD154" i="3"/>
  <c r="AC154" i="3"/>
  <c r="AB154" i="3"/>
  <c r="AA154" i="3"/>
  <c r="Y154" i="3"/>
  <c r="X154" i="3"/>
  <c r="V154" i="3"/>
  <c r="U154" i="3"/>
  <c r="T154" i="3"/>
  <c r="R154" i="3"/>
  <c r="Q154" i="3"/>
  <c r="P154" i="3"/>
  <c r="O154" i="3"/>
  <c r="M154" i="3"/>
  <c r="L154" i="3"/>
  <c r="K154" i="3"/>
  <c r="J154" i="3"/>
  <c r="I154" i="3"/>
  <c r="AL153" i="3"/>
  <c r="AK153" i="3"/>
  <c r="AJ153" i="3"/>
  <c r="AI153" i="3"/>
  <c r="AH153" i="3"/>
  <c r="AG153" i="3"/>
  <c r="AF153" i="3"/>
  <c r="AE153" i="3"/>
  <c r="AD153" i="3"/>
  <c r="AC153" i="3"/>
  <c r="AB153" i="3"/>
  <c r="AA153" i="3"/>
  <c r="AN153" i="3" s="1"/>
  <c r="Z153" i="3"/>
  <c r="Y153" i="3"/>
  <c r="X153" i="3"/>
  <c r="W153" i="3"/>
  <c r="V153" i="3"/>
  <c r="U153" i="3"/>
  <c r="T153" i="3"/>
  <c r="S153" i="3"/>
  <c r="R153" i="3"/>
  <c r="Q153" i="3"/>
  <c r="P153" i="3"/>
  <c r="O153" i="3"/>
  <c r="N153" i="3"/>
  <c r="M153" i="3"/>
  <c r="L153" i="3"/>
  <c r="K153" i="3"/>
  <c r="J153" i="3"/>
  <c r="I153" i="3"/>
  <c r="AL152" i="3"/>
  <c r="AK152" i="3"/>
  <c r="AJ152" i="3"/>
  <c r="AI152" i="3"/>
  <c r="AH152" i="3"/>
  <c r="AG152" i="3"/>
  <c r="AF152" i="3"/>
  <c r="AE152" i="3"/>
  <c r="AD152" i="3"/>
  <c r="AC152" i="3"/>
  <c r="AB152" i="3"/>
  <c r="AA152" i="3"/>
  <c r="AN152" i="3" s="1"/>
  <c r="Z152" i="3"/>
  <c r="Y152" i="3"/>
  <c r="X152" i="3"/>
  <c r="W152" i="3"/>
  <c r="V152" i="3"/>
  <c r="U152" i="3"/>
  <c r="T152" i="3"/>
  <c r="S152" i="3"/>
  <c r="R152" i="3"/>
  <c r="Q152" i="3"/>
  <c r="P152" i="3"/>
  <c r="O152" i="3"/>
  <c r="N152" i="3"/>
  <c r="M152" i="3"/>
  <c r="L152" i="3"/>
  <c r="K152" i="3"/>
  <c r="J152" i="3"/>
  <c r="I152" i="3"/>
  <c r="AI150" i="3"/>
  <c r="AI151" i="3" s="1"/>
  <c r="AI166" i="3" s="1"/>
  <c r="AA150" i="3"/>
  <c r="AA151" i="3" s="1"/>
  <c r="AA166" i="3" s="1"/>
  <c r="S150" i="3"/>
  <c r="S151" i="3" s="1"/>
  <c r="K150" i="3"/>
  <c r="AL149" i="3"/>
  <c r="AK149" i="3"/>
  <c r="AJ149" i="3"/>
  <c r="AI149" i="3"/>
  <c r="AH149" i="3"/>
  <c r="AG149" i="3"/>
  <c r="AF149" i="3"/>
  <c r="AE149" i="3"/>
  <c r="AD149" i="3"/>
  <c r="AC149" i="3"/>
  <c r="AB149" i="3"/>
  <c r="AA149" i="3"/>
  <c r="W149" i="3"/>
  <c r="V149" i="3"/>
  <c r="U149" i="3"/>
  <c r="T149" i="3"/>
  <c r="S149" i="3"/>
  <c r="R149" i="3"/>
  <c r="Q149" i="3"/>
  <c r="P149" i="3"/>
  <c r="O149" i="3"/>
  <c r="N149" i="3"/>
  <c r="L149" i="3"/>
  <c r="K149" i="3"/>
  <c r="J149" i="3"/>
  <c r="I149" i="3"/>
  <c r="G149" i="3"/>
  <c r="E149" i="3"/>
  <c r="AK148" i="3"/>
  <c r="AC148" i="3"/>
  <c r="U148" i="3"/>
  <c r="M148" i="3"/>
  <c r="AL147" i="3"/>
  <c r="AK147" i="3"/>
  <c r="AJ147" i="3"/>
  <c r="AI147" i="3"/>
  <c r="AH147" i="3"/>
  <c r="AG147" i="3"/>
  <c r="AF147" i="3"/>
  <c r="AE147" i="3"/>
  <c r="AD147" i="3"/>
  <c r="AC147" i="3"/>
  <c r="AB147" i="3"/>
  <c r="AA147" i="3"/>
  <c r="Z147" i="3"/>
  <c r="Y147" i="3"/>
  <c r="X147" i="3"/>
  <c r="W147" i="3"/>
  <c r="V147" i="3"/>
  <c r="U147" i="3"/>
  <c r="T147" i="3"/>
  <c r="S147" i="3"/>
  <c r="R147" i="3"/>
  <c r="Q147" i="3"/>
  <c r="P147" i="3"/>
  <c r="O147" i="3"/>
  <c r="N147" i="3"/>
  <c r="M147" i="3"/>
  <c r="L147" i="3"/>
  <c r="K147" i="3"/>
  <c r="J147" i="3"/>
  <c r="I147" i="3"/>
  <c r="AJ146" i="3"/>
  <c r="AF146" i="3"/>
  <c r="W11" i="2" s="1"/>
  <c r="AB146" i="3"/>
  <c r="X146" i="3"/>
  <c r="T146" i="3"/>
  <c r="P146" i="3"/>
  <c r="G11" i="2" s="1"/>
  <c r="L146" i="3"/>
  <c r="AL145" i="3"/>
  <c r="AK145" i="3"/>
  <c r="AJ145" i="3"/>
  <c r="AI145" i="3"/>
  <c r="AH145" i="3"/>
  <c r="AG145" i="3"/>
  <c r="AF145" i="3"/>
  <c r="AE145" i="3"/>
  <c r="AD145" i="3"/>
  <c r="AC145" i="3"/>
  <c r="AB145" i="3"/>
  <c r="AA145" i="3"/>
  <c r="Y145" i="3"/>
  <c r="W145" i="3"/>
  <c r="U145" i="3"/>
  <c r="T145" i="3"/>
  <c r="S145" i="3"/>
  <c r="R145" i="3"/>
  <c r="Q145" i="3"/>
  <c r="P145" i="3"/>
  <c r="O145" i="3"/>
  <c r="N145" i="3"/>
  <c r="L145" i="3"/>
  <c r="K145" i="3"/>
  <c r="J145" i="3"/>
  <c r="I145" i="3"/>
  <c r="U144" i="3"/>
  <c r="U140" i="3" s="1"/>
  <c r="AI143" i="3"/>
  <c r="AH143" i="3"/>
  <c r="AE143" i="3"/>
  <c r="AD143" i="3"/>
  <c r="AA143" i="3"/>
  <c r="Z143" i="3"/>
  <c r="W143" i="3"/>
  <c r="U143" i="3"/>
  <c r="T143" i="3"/>
  <c r="S143" i="3"/>
  <c r="R143" i="3"/>
  <c r="Q143" i="3"/>
  <c r="P143" i="3"/>
  <c r="N143" i="3"/>
  <c r="N141" i="3" s="1"/>
  <c r="M143" i="3"/>
  <c r="L143" i="3"/>
  <c r="K143" i="3"/>
  <c r="J143" i="3"/>
  <c r="J141" i="3" s="1"/>
  <c r="I143" i="3"/>
  <c r="H143" i="3"/>
  <c r="G143" i="3"/>
  <c r="F143" i="3"/>
  <c r="E143" i="3"/>
  <c r="AK142" i="3"/>
  <c r="AG142" i="3"/>
  <c r="AC142" i="3"/>
  <c r="X142" i="3"/>
  <c r="U142" i="3"/>
  <c r="U141" i="3" s="1"/>
  <c r="Q142" i="3"/>
  <c r="Q141" i="3" s="1"/>
  <c r="N142" i="3"/>
  <c r="M142" i="3"/>
  <c r="M141" i="3" s="1"/>
  <c r="J142" i="3"/>
  <c r="E142" i="3"/>
  <c r="E141" i="3" s="1"/>
  <c r="W141" i="3"/>
  <c r="G141" i="3"/>
  <c r="AL139" i="3"/>
  <c r="AL164" i="3" s="1"/>
  <c r="AK139" i="3"/>
  <c r="AK164" i="3" s="1"/>
  <c r="AJ139" i="3"/>
  <c r="AJ164" i="3" s="1"/>
  <c r="AI139" i="3"/>
  <c r="AI164" i="3" s="1"/>
  <c r="AH139" i="3"/>
  <c r="AH164" i="3" s="1"/>
  <c r="AG139" i="3"/>
  <c r="AF139" i="3"/>
  <c r="AF164" i="3" s="1"/>
  <c r="AE139" i="3"/>
  <c r="AE150" i="3" s="1"/>
  <c r="AE151" i="3" s="1"/>
  <c r="AE166" i="3" s="1"/>
  <c r="AD139" i="3"/>
  <c r="AD164" i="3" s="1"/>
  <c r="AC139" i="3"/>
  <c r="AC164" i="3" s="1"/>
  <c r="AB139" i="3"/>
  <c r="AB164" i="3" s="1"/>
  <c r="AA139" i="3"/>
  <c r="Z139" i="3"/>
  <c r="Z164" i="3" s="1"/>
  <c r="Y139" i="3"/>
  <c r="Y164" i="3" s="1"/>
  <c r="X139" i="3"/>
  <c r="X164" i="3" s="1"/>
  <c r="W139" i="3"/>
  <c r="W164" i="3" s="1"/>
  <c r="V139" i="3"/>
  <c r="V164" i="3" s="1"/>
  <c r="U139" i="3"/>
  <c r="T139" i="3"/>
  <c r="T164" i="3" s="1"/>
  <c r="S139" i="3"/>
  <c r="S164" i="3" s="1"/>
  <c r="R139" i="3"/>
  <c r="R164" i="3" s="1"/>
  <c r="Q139" i="3"/>
  <c r="P139" i="3"/>
  <c r="O139" i="3"/>
  <c r="O164" i="3" s="1"/>
  <c r="N139" i="3"/>
  <c r="N164" i="3" s="1"/>
  <c r="M139" i="3"/>
  <c r="L139" i="3"/>
  <c r="K139" i="3"/>
  <c r="K164" i="3" s="1"/>
  <c r="J139" i="3"/>
  <c r="J164" i="3" s="1"/>
  <c r="I139" i="3"/>
  <c r="H139" i="3"/>
  <c r="G139" i="3"/>
  <c r="G164" i="3" s="1"/>
  <c r="F139" i="3"/>
  <c r="F164" i="3" s="1"/>
  <c r="E139" i="3"/>
  <c r="AL138" i="3"/>
  <c r="AK138" i="3"/>
  <c r="AK163" i="3" s="1"/>
  <c r="AJ138" i="3"/>
  <c r="AJ163" i="3" s="1"/>
  <c r="AI138" i="3"/>
  <c r="AH138" i="3"/>
  <c r="AG138" i="3"/>
  <c r="AG163" i="3" s="1"/>
  <c r="AF138" i="3"/>
  <c r="AF163" i="3" s="1"/>
  <c r="AE138" i="3"/>
  <c r="AD138" i="3"/>
  <c r="AC138" i="3"/>
  <c r="AC163" i="3" s="1"/>
  <c r="AB138" i="3"/>
  <c r="AB163" i="3" s="1"/>
  <c r="AA138" i="3"/>
  <c r="Z138" i="3"/>
  <c r="Y138" i="3"/>
  <c r="Y163" i="3" s="1"/>
  <c r="X138" i="3"/>
  <c r="X163" i="3" s="1"/>
  <c r="W138" i="3"/>
  <c r="V138" i="3"/>
  <c r="U138" i="3"/>
  <c r="U163" i="3" s="1"/>
  <c r="T138" i="3"/>
  <c r="T163" i="3" s="1"/>
  <c r="S138" i="3"/>
  <c r="R138" i="3"/>
  <c r="Q138" i="3"/>
  <c r="Q163" i="3" s="1"/>
  <c r="P138" i="3"/>
  <c r="P163" i="3" s="1"/>
  <c r="O138" i="3"/>
  <c r="N138" i="3"/>
  <c r="M138" i="3"/>
  <c r="M163" i="3" s="1"/>
  <c r="L138" i="3"/>
  <c r="L163" i="3" s="1"/>
  <c r="K138" i="3"/>
  <c r="J138" i="3"/>
  <c r="I138" i="3"/>
  <c r="I163" i="3" s="1"/>
  <c r="H138" i="3"/>
  <c r="H163" i="3" s="1"/>
  <c r="G138" i="3"/>
  <c r="F138" i="3"/>
  <c r="E138" i="3"/>
  <c r="E163" i="3" s="1"/>
  <c r="S136" i="3"/>
  <c r="N136" i="3"/>
  <c r="N162" i="3" s="1"/>
  <c r="M136" i="3"/>
  <c r="AL134" i="3"/>
  <c r="AK134" i="3"/>
  <c r="AJ134" i="3"/>
  <c r="AI134" i="3"/>
  <c r="AI162" i="3" s="1"/>
  <c r="AH134" i="3"/>
  <c r="AG134" i="3"/>
  <c r="AG162" i="3" s="1"/>
  <c r="AF134" i="3"/>
  <c r="AE134" i="3"/>
  <c r="AE162" i="3" s="1"/>
  <c r="AD134" i="3"/>
  <c r="AC134" i="3"/>
  <c r="AB134" i="3"/>
  <c r="AA134" i="3"/>
  <c r="AA162" i="3" s="1"/>
  <c r="Y134" i="3"/>
  <c r="Y162" i="3" s="1"/>
  <c r="X134" i="3"/>
  <c r="W134" i="3"/>
  <c r="W162" i="3" s="1"/>
  <c r="U134" i="3"/>
  <c r="T134" i="3"/>
  <c r="R134" i="3"/>
  <c r="R162" i="3" s="1"/>
  <c r="Q134" i="3"/>
  <c r="Q162" i="3" s="1"/>
  <c r="P134" i="3"/>
  <c r="P150" i="3" s="1"/>
  <c r="L134" i="3"/>
  <c r="K134" i="3"/>
  <c r="K162" i="3" s="1"/>
  <c r="J134" i="3"/>
  <c r="I134" i="3"/>
  <c r="I148" i="3" s="1"/>
  <c r="H134" i="3"/>
  <c r="G134" i="3"/>
  <c r="G162" i="3" s="1"/>
  <c r="F134" i="3"/>
  <c r="F162" i="3" s="1"/>
  <c r="E134" i="3"/>
  <c r="E162" i="3" s="1"/>
  <c r="X125" i="3"/>
  <c r="S117" i="3"/>
  <c r="AL116" i="3"/>
  <c r="AL161" i="3" s="1"/>
  <c r="AK116" i="3"/>
  <c r="AJ116" i="3"/>
  <c r="AJ161" i="3" s="1"/>
  <c r="AI116" i="3"/>
  <c r="AI146" i="3" s="1"/>
  <c r="AH116" i="3"/>
  <c r="AG116" i="3"/>
  <c r="AG146" i="3" s="1"/>
  <c r="AF116" i="3"/>
  <c r="AF161" i="3" s="1"/>
  <c r="AE116" i="3"/>
  <c r="AE146" i="3" s="1"/>
  <c r="AD116" i="3"/>
  <c r="AD161" i="3" s="1"/>
  <c r="AC116" i="3"/>
  <c r="AB116" i="3"/>
  <c r="AB161" i="3" s="1"/>
  <c r="AA116" i="3"/>
  <c r="AA146" i="3" s="1"/>
  <c r="Y116" i="3"/>
  <c r="Y161" i="3" s="1"/>
  <c r="X116" i="3"/>
  <c r="X161" i="3" s="1"/>
  <c r="W116" i="3"/>
  <c r="W146" i="3" s="1"/>
  <c r="N11" i="2" s="1"/>
  <c r="N22" i="2" s="1"/>
  <c r="V116" i="3"/>
  <c r="V161" i="3" s="1"/>
  <c r="U116" i="3"/>
  <c r="T116" i="3"/>
  <c r="T161" i="3" s="1"/>
  <c r="S116" i="3"/>
  <c r="S146" i="3" s="1"/>
  <c r="J11" i="2" s="1"/>
  <c r="J22" i="2" s="1"/>
  <c r="R116" i="3"/>
  <c r="R159" i="3" s="1"/>
  <c r="Q116" i="3"/>
  <c r="Q146" i="3" s="1"/>
  <c r="P116" i="3"/>
  <c r="P161" i="3" s="1"/>
  <c r="O116" i="3"/>
  <c r="O146" i="3" s="1"/>
  <c r="F11" i="2" s="1"/>
  <c r="F22" i="2" s="1"/>
  <c r="N116" i="3"/>
  <c r="N159" i="3" s="1"/>
  <c r="N160" i="3" s="1"/>
  <c r="L116" i="3"/>
  <c r="L161" i="3" s="1"/>
  <c r="K116" i="3"/>
  <c r="K146" i="3" s="1"/>
  <c r="J116" i="3"/>
  <c r="J159" i="3" s="1"/>
  <c r="I116" i="3"/>
  <c r="H116" i="3"/>
  <c r="H161" i="3" s="1"/>
  <c r="G116" i="3"/>
  <c r="AL115" i="3"/>
  <c r="AL144" i="3" s="1"/>
  <c r="AK115" i="3"/>
  <c r="AK144" i="3" s="1"/>
  <c r="AJ115" i="3"/>
  <c r="AI115" i="3"/>
  <c r="AI144" i="3" s="1"/>
  <c r="AH115" i="3"/>
  <c r="AH144" i="3" s="1"/>
  <c r="AG115" i="3"/>
  <c r="AG144" i="3" s="1"/>
  <c r="AF115" i="3"/>
  <c r="AE115" i="3"/>
  <c r="AE144" i="3" s="1"/>
  <c r="AD115" i="3"/>
  <c r="AD144" i="3" s="1"/>
  <c r="AC115" i="3"/>
  <c r="AC144" i="3" s="1"/>
  <c r="AB115" i="3"/>
  <c r="AA115" i="3"/>
  <c r="AA144" i="3" s="1"/>
  <c r="Z115" i="3"/>
  <c r="Y115" i="3"/>
  <c r="Z114" i="3"/>
  <c r="X114" i="3"/>
  <c r="O113" i="3"/>
  <c r="Z102" i="3"/>
  <c r="Z154" i="3" s="1"/>
  <c r="X102" i="3"/>
  <c r="X149" i="3" s="1"/>
  <c r="W102" i="3"/>
  <c r="W154" i="3" s="1"/>
  <c r="M102" i="3"/>
  <c r="AN93" i="3"/>
  <c r="Z92" i="3"/>
  <c r="AN92" i="3" s="1"/>
  <c r="Z90" i="3"/>
  <c r="V90" i="3"/>
  <c r="V145" i="3" s="1"/>
  <c r="H89" i="3"/>
  <c r="H149" i="3" s="1"/>
  <c r="Z88" i="3"/>
  <c r="Y88" i="3"/>
  <c r="V88" i="3"/>
  <c r="N88" i="3"/>
  <c r="N150" i="3" s="1"/>
  <c r="G88" i="3"/>
  <c r="F88" i="3"/>
  <c r="F149" i="3" s="1"/>
  <c r="AN84" i="3"/>
  <c r="Z84" i="3"/>
  <c r="Y84" i="3"/>
  <c r="X84" i="3"/>
  <c r="O84" i="3"/>
  <c r="O143" i="3" s="1"/>
  <c r="N84" i="3"/>
  <c r="G84" i="3"/>
  <c r="AL83" i="3"/>
  <c r="AL143" i="3" s="1"/>
  <c r="AK83" i="3"/>
  <c r="AK143" i="3" s="1"/>
  <c r="AJ83" i="3"/>
  <c r="AJ143" i="3" s="1"/>
  <c r="AG83" i="3"/>
  <c r="AF83" i="3"/>
  <c r="AF143" i="3" s="1"/>
  <c r="AD83" i="3"/>
  <c r="AC83" i="3"/>
  <c r="AC143" i="3" s="1"/>
  <c r="AB83" i="3"/>
  <c r="AB143" i="3" s="1"/>
  <c r="AA83" i="3"/>
  <c r="Y83" i="3"/>
  <c r="Y143" i="3" s="1"/>
  <c r="W83" i="3"/>
  <c r="V83" i="3"/>
  <c r="AN82" i="3"/>
  <c r="Z82" i="3"/>
  <c r="P82" i="3"/>
  <c r="P159" i="3" s="1"/>
  <c r="O82" i="3"/>
  <c r="I82" i="3"/>
  <c r="H82" i="3"/>
  <c r="G82" i="3"/>
  <c r="G142" i="3" s="1"/>
  <c r="AB80" i="3"/>
  <c r="Z80" i="3"/>
  <c r="Z75" i="3" s="1"/>
  <c r="AA79" i="3"/>
  <c r="Z79" i="3"/>
  <c r="Y79" i="3"/>
  <c r="T79" i="3"/>
  <c r="T159" i="3" s="1"/>
  <c r="S79" i="3"/>
  <c r="AL78" i="3"/>
  <c r="AK78" i="3"/>
  <c r="AJ78" i="3"/>
  <c r="AJ159" i="3" s="1"/>
  <c r="AI78" i="3"/>
  <c r="AI159" i="3" s="1"/>
  <c r="AH78" i="3"/>
  <c r="AG78" i="3"/>
  <c r="AF78" i="3"/>
  <c r="AF159" i="3" s="1"/>
  <c r="AE78" i="3"/>
  <c r="AD78" i="3"/>
  <c r="AC78" i="3"/>
  <c r="AB78" i="3"/>
  <c r="AA78" i="3"/>
  <c r="AA159" i="3" s="1"/>
  <c r="Z78" i="3"/>
  <c r="Y78" i="3"/>
  <c r="Y159" i="3" s="1"/>
  <c r="W78" i="3"/>
  <c r="AL77" i="3"/>
  <c r="AK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E159" i="3" s="1"/>
  <c r="AK76" i="3"/>
  <c r="AJ76" i="3"/>
  <c r="AJ142" i="3" s="1"/>
  <c r="AJ141" i="3" s="1"/>
  <c r="AI76" i="3"/>
  <c r="AI142" i="3" s="1"/>
  <c r="AI141" i="3" s="1"/>
  <c r="AG76" i="3"/>
  <c r="AF76" i="3"/>
  <c r="AE76" i="3"/>
  <c r="AE142" i="3" s="1"/>
  <c r="AE141" i="3" s="1"/>
  <c r="V8" i="2" s="1"/>
  <c r="AC76" i="3"/>
  <c r="AB76" i="3"/>
  <c r="AA76" i="3"/>
  <c r="AA142" i="3" s="1"/>
  <c r="AA141" i="3" s="1"/>
  <c r="R8" i="2" s="1"/>
  <c r="R7" i="2" s="1"/>
  <c r="X76" i="3"/>
  <c r="W76" i="3"/>
  <c r="W142" i="3" s="1"/>
  <c r="V76" i="3"/>
  <c r="V142" i="3" s="1"/>
  <c r="U76" i="3"/>
  <c r="T76" i="3"/>
  <c r="T142" i="3" s="1"/>
  <c r="T141" i="3" s="1"/>
  <c r="S76" i="3"/>
  <c r="S142" i="3" s="1"/>
  <c r="S141" i="3" s="1"/>
  <c r="R76" i="3"/>
  <c r="R142" i="3" s="1"/>
  <c r="R141" i="3" s="1"/>
  <c r="Q76" i="3"/>
  <c r="P76" i="3"/>
  <c r="P142" i="3" s="1"/>
  <c r="P141" i="3" s="1"/>
  <c r="L76" i="3"/>
  <c r="L142" i="3" s="1"/>
  <c r="L141" i="3" s="1"/>
  <c r="K76" i="3"/>
  <c r="K142" i="3" s="1"/>
  <c r="K141" i="3" s="1"/>
  <c r="I76" i="3"/>
  <c r="H76" i="3"/>
  <c r="F76" i="3"/>
  <c r="F142" i="3" s="1"/>
  <c r="F141" i="3" s="1"/>
  <c r="AL75" i="3"/>
  <c r="AK75" i="3"/>
  <c r="AJ75" i="3"/>
  <c r="AI75" i="3"/>
  <c r="AH75" i="3"/>
  <c r="AG75" i="3"/>
  <c r="AF75" i="3"/>
  <c r="AD75" i="3"/>
  <c r="AC75" i="3"/>
  <c r="AB75" i="3"/>
  <c r="AA75" i="3"/>
  <c r="Y75" i="3"/>
  <c r="AE74" i="3"/>
  <c r="AE75" i="3" s="1"/>
  <c r="AL73" i="3"/>
  <c r="AJ73" i="3"/>
  <c r="AI73" i="3"/>
  <c r="AH73" i="3"/>
  <c r="AF73" i="3"/>
  <c r="AE73" i="3"/>
  <c r="AD73" i="3"/>
  <c r="AB73" i="3"/>
  <c r="AA73" i="3"/>
  <c r="X73" i="3"/>
  <c r="W73" i="3"/>
  <c r="V73" i="3"/>
  <c r="T73" i="3"/>
  <c r="S73" i="3"/>
  <c r="R73" i="3"/>
  <c r="P73" i="3"/>
  <c r="O73" i="3"/>
  <c r="N73" i="3"/>
  <c r="AO72" i="3"/>
  <c r="AL72" i="3"/>
  <c r="AK72" i="3"/>
  <c r="AJ72" i="3"/>
  <c r="AI72" i="3"/>
  <c r="AH72" i="3"/>
  <c r="AG72" i="3"/>
  <c r="AF72" i="3"/>
  <c r="AE72" i="3"/>
  <c r="AD72" i="3"/>
  <c r="AC72" i="3"/>
  <c r="AB72" i="3"/>
  <c r="AA72" i="3"/>
  <c r="X72" i="3"/>
  <c r="V72" i="3"/>
  <c r="U72" i="3"/>
  <c r="T72" i="3"/>
  <c r="R72" i="3"/>
  <c r="Q72" i="3"/>
  <c r="P72" i="3"/>
  <c r="O72" i="3"/>
  <c r="N72" i="3"/>
  <c r="K72" i="3"/>
  <c r="AK71" i="3"/>
  <c r="AJ71" i="3"/>
  <c r="AI71" i="3"/>
  <c r="AG71" i="3"/>
  <c r="AF71" i="3"/>
  <c r="AE71" i="3"/>
  <c r="AC71" i="3"/>
  <c r="AB71" i="3"/>
  <c r="AA71" i="3"/>
  <c r="X71" i="3"/>
  <c r="V71" i="3"/>
  <c r="U71" i="3"/>
  <c r="T71" i="3"/>
  <c r="Q71" i="3"/>
  <c r="P71" i="3"/>
  <c r="N71" i="3"/>
  <c r="K71" i="3"/>
  <c r="AL69" i="3"/>
  <c r="Z69" i="3"/>
  <c r="AJ68" i="3"/>
  <c r="AI68" i="3"/>
  <c r="AB68" i="3"/>
  <c r="AA68" i="3"/>
  <c r="AG67" i="3"/>
  <c r="AG70" i="3" s="1"/>
  <c r="Z67" i="3"/>
  <c r="Z70" i="3" s="1"/>
  <c r="AL66" i="3"/>
  <c r="AL67" i="3" s="1"/>
  <c r="AL70" i="3" s="1"/>
  <c r="AH66" i="3"/>
  <c r="AE66" i="3"/>
  <c r="AE67" i="3" s="1"/>
  <c r="AE70" i="3" s="1"/>
  <c r="AD66" i="3"/>
  <c r="AD67" i="3" s="1"/>
  <c r="AD70" i="3" s="1"/>
  <c r="Z66" i="3"/>
  <c r="AL65" i="3"/>
  <c r="AL68" i="3" s="1"/>
  <c r="AK65" i="3"/>
  <c r="AK66" i="3" s="1"/>
  <c r="AK69" i="3" s="1"/>
  <c r="AJ65" i="3"/>
  <c r="AJ66" i="3" s="1"/>
  <c r="AI65" i="3"/>
  <c r="AI66" i="3" s="1"/>
  <c r="AH65" i="3"/>
  <c r="AH68" i="3" s="1"/>
  <c r="AG65" i="3"/>
  <c r="AG66" i="3" s="1"/>
  <c r="AG69" i="3" s="1"/>
  <c r="AF65" i="3"/>
  <c r="AF66" i="3" s="1"/>
  <c r="AE65" i="3"/>
  <c r="AE68" i="3" s="1"/>
  <c r="AD65" i="3"/>
  <c r="AD68" i="3" s="1"/>
  <c r="AC65" i="3"/>
  <c r="AC66" i="3" s="1"/>
  <c r="AC69" i="3" s="1"/>
  <c r="AB65" i="3"/>
  <c r="AB66" i="3" s="1"/>
  <c r="AA65" i="3"/>
  <c r="AA66" i="3" s="1"/>
  <c r="Z65" i="3"/>
  <c r="Z68" i="3" s="1"/>
  <c r="X65" i="3"/>
  <c r="U65" i="3"/>
  <c r="T65" i="3"/>
  <c r="S65" i="3"/>
  <c r="Q65" i="3"/>
  <c r="P65" i="3"/>
  <c r="O65" i="3"/>
  <c r="N65" i="3"/>
  <c r="M65" i="3"/>
  <c r="K65" i="3"/>
  <c r="AH63" i="3"/>
  <c r="AJ62" i="3"/>
  <c r="AH62" i="3"/>
  <c r="AE62" i="3"/>
  <c r="AD62" i="3"/>
  <c r="Z62" i="3"/>
  <c r="Z61" i="3" s="1"/>
  <c r="Z64" i="3" s="1"/>
  <c r="AL60" i="3"/>
  <c r="AL63" i="3" s="1"/>
  <c r="AJ60" i="3"/>
  <c r="AJ63" i="3" s="1"/>
  <c r="AH60" i="3"/>
  <c r="AF60" i="3"/>
  <c r="AF63" i="3" s="1"/>
  <c r="AD60" i="3"/>
  <c r="AD63" i="3" s="1"/>
  <c r="AB60" i="3"/>
  <c r="AB63" i="3" s="1"/>
  <c r="Z60" i="3"/>
  <c r="Z63" i="3" s="1"/>
  <c r="AL59" i="3"/>
  <c r="AL62" i="3" s="1"/>
  <c r="AK59" i="3"/>
  <c r="AJ59" i="3"/>
  <c r="AI59" i="3"/>
  <c r="AI62" i="3" s="1"/>
  <c r="AH59" i="3"/>
  <c r="AG59" i="3"/>
  <c r="AF59" i="3"/>
  <c r="AF62" i="3" s="1"/>
  <c r="AF61" i="3" s="1"/>
  <c r="AF64" i="3" s="1"/>
  <c r="AE59" i="3"/>
  <c r="AE60" i="3" s="1"/>
  <c r="AE63" i="3" s="1"/>
  <c r="AD59" i="3"/>
  <c r="AC59" i="3"/>
  <c r="AB59" i="3"/>
  <c r="AB62" i="3" s="1"/>
  <c r="AB61" i="3" s="1"/>
  <c r="AB64" i="3" s="1"/>
  <c r="AA59" i="3"/>
  <c r="AA60" i="3" s="1"/>
  <c r="AA63" i="3" s="1"/>
  <c r="Z59"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AL55" i="3"/>
  <c r="AK55" i="3"/>
  <c r="AJ55" i="3"/>
  <c r="AI55" i="3"/>
  <c r="AH55" i="3"/>
  <c r="AG55" i="3"/>
  <c r="AF55" i="3"/>
  <c r="AE55" i="3"/>
  <c r="AD55" i="3"/>
  <c r="AC55" i="3"/>
  <c r="AB55" i="3"/>
  <c r="AA55" i="3"/>
  <c r="Y55" i="3"/>
  <c r="X55" i="3"/>
  <c r="W55" i="3"/>
  <c r="U55" i="3"/>
  <c r="T55" i="3"/>
  <c r="S55" i="3"/>
  <c r="R55" i="3"/>
  <c r="Q55" i="3"/>
  <c r="P55" i="3"/>
  <c r="O55" i="3"/>
  <c r="N55" i="3"/>
  <c r="M55" i="3"/>
  <c r="L55" i="3"/>
  <c r="K55" i="3"/>
  <c r="J55" i="3"/>
  <c r="I55" i="3"/>
  <c r="H55" i="3"/>
  <c r="G55" i="3"/>
  <c r="F55" i="3"/>
  <c r="E55" i="3"/>
  <c r="AL54" i="3"/>
  <c r="AL58" i="3" s="1"/>
  <c r="AK54" i="3"/>
  <c r="AJ54" i="3"/>
  <c r="AI54" i="3"/>
  <c r="AH54" i="3"/>
  <c r="AH58" i="3" s="1"/>
  <c r="AG54" i="3"/>
  <c r="AF54" i="3"/>
  <c r="AE54" i="3"/>
  <c r="AD54" i="3"/>
  <c r="AD58" i="3" s="1"/>
  <c r="AC54" i="3"/>
  <c r="AB54" i="3"/>
  <c r="AA54" i="3"/>
  <c r="Z54" i="3"/>
  <c r="Y54" i="3"/>
  <c r="X54" i="3"/>
  <c r="W54" i="3"/>
  <c r="V54" i="3"/>
  <c r="V58" i="3" s="1"/>
  <c r="U54" i="3"/>
  <c r="T54" i="3"/>
  <c r="S54" i="3"/>
  <c r="R54" i="3"/>
  <c r="R58" i="3" s="1"/>
  <c r="Q54" i="3"/>
  <c r="P54" i="3"/>
  <c r="O54" i="3"/>
  <c r="N54" i="3"/>
  <c r="N58" i="3" s="1"/>
  <c r="L54" i="3"/>
  <c r="K54" i="3"/>
  <c r="J54" i="3"/>
  <c r="J58" i="3" s="1"/>
  <c r="I54" i="3"/>
  <c r="H54" i="3"/>
  <c r="G54" i="3"/>
  <c r="F54" i="3"/>
  <c r="F58" i="3" s="1"/>
  <c r="E54" i="3"/>
  <c r="AL53" i="3"/>
  <c r="AK53" i="3"/>
  <c r="AK58" i="3" s="1"/>
  <c r="AJ53" i="3"/>
  <c r="AJ58" i="3" s="1"/>
  <c r="AI53" i="3"/>
  <c r="AI58" i="3" s="1"/>
  <c r="AH53" i="3"/>
  <c r="AG53" i="3"/>
  <c r="AG58" i="3" s="1"/>
  <c r="AF53" i="3"/>
  <c r="AF58" i="3" s="1"/>
  <c r="AE53" i="3"/>
  <c r="AE58" i="3" s="1"/>
  <c r="AD53" i="3"/>
  <c r="AC53" i="3"/>
  <c r="AC58" i="3" s="1"/>
  <c r="AB53" i="3"/>
  <c r="AB58" i="3" s="1"/>
  <c r="AA53" i="3"/>
  <c r="AA58" i="3" s="1"/>
  <c r="Z53" i="3"/>
  <c r="Y53" i="3"/>
  <c r="Y58" i="3" s="1"/>
  <c r="X53" i="3"/>
  <c r="X58" i="3" s="1"/>
  <c r="W53" i="3"/>
  <c r="W58" i="3" s="1"/>
  <c r="V53" i="3"/>
  <c r="U53" i="3"/>
  <c r="U58" i="3" s="1"/>
  <c r="T53" i="3"/>
  <c r="R53" i="3"/>
  <c r="Q53" i="3"/>
  <c r="Q58" i="3" s="1"/>
  <c r="P53" i="3"/>
  <c r="O53" i="3"/>
  <c r="O58" i="3" s="1"/>
  <c r="N53" i="3"/>
  <c r="M53" i="3"/>
  <c r="L53" i="3"/>
  <c r="K53" i="3"/>
  <c r="K58" i="3" s="1"/>
  <c r="J53" i="3"/>
  <c r="I53" i="3"/>
  <c r="I58" i="3" s="1"/>
  <c r="H53" i="3"/>
  <c r="G53" i="3"/>
  <c r="G58" i="3" s="1"/>
  <c r="F53" i="3"/>
  <c r="E53" i="3"/>
  <c r="E58" i="3" s="1"/>
  <c r="AL52" i="3"/>
  <c r="AH52" i="3"/>
  <c r="AD52" i="3"/>
  <c r="Z52" i="3"/>
  <c r="V52" i="3"/>
  <c r="R52" i="3"/>
  <c r="Q52" i="3"/>
  <c r="AL51" i="3"/>
  <c r="AK51" i="3"/>
  <c r="AJ51" i="3"/>
  <c r="AI51" i="3"/>
  <c r="AH51" i="3"/>
  <c r="AG51" i="3"/>
  <c r="AF51" i="3"/>
  <c r="AE51" i="3"/>
  <c r="AD51" i="3"/>
  <c r="AC51" i="3"/>
  <c r="AB51" i="3"/>
  <c r="AA51" i="3"/>
  <c r="Z51" i="3"/>
  <c r="Y51" i="3"/>
  <c r="X51" i="3"/>
  <c r="W51" i="3"/>
  <c r="V51" i="3"/>
  <c r="U51" i="3"/>
  <c r="T51" i="3"/>
  <c r="S51" i="3"/>
  <c r="R51" i="3"/>
  <c r="Q51"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AL48" i="3"/>
  <c r="AK48" i="3"/>
  <c r="AJ48" i="3"/>
  <c r="AI48" i="3"/>
  <c r="AH48" i="3"/>
  <c r="AG48" i="3"/>
  <c r="AF48" i="3"/>
  <c r="AE48" i="3"/>
  <c r="AD48" i="3"/>
  <c r="AC48" i="3"/>
  <c r="AB48" i="3"/>
  <c r="AA48" i="3"/>
  <c r="Y48" i="3"/>
  <c r="X48" i="3"/>
  <c r="W48" i="3"/>
  <c r="U48" i="3"/>
  <c r="T48" i="3"/>
  <c r="R48" i="3"/>
  <c r="Q48" i="3"/>
  <c r="P48" i="3"/>
  <c r="O48" i="3"/>
  <c r="N48" i="3"/>
  <c r="L48" i="3"/>
  <c r="K48" i="3"/>
  <c r="J48" i="3"/>
  <c r="I48" i="3"/>
  <c r="H48" i="3"/>
  <c r="G48" i="3"/>
  <c r="F48" i="3"/>
  <c r="E48" i="3"/>
  <c r="Z45" i="3"/>
  <c r="V45" i="3"/>
  <c r="V55" i="3" s="1"/>
  <c r="Z44" i="3"/>
  <c r="M44" i="3"/>
  <c r="AN42" i="3"/>
  <c r="S42" i="3"/>
  <c r="S53" i="3" s="1"/>
  <c r="S58" i="3" s="1"/>
  <c r="AL41" i="3"/>
  <c r="AK41" i="3"/>
  <c r="AK52" i="3" s="1"/>
  <c r="AJ41" i="3"/>
  <c r="AJ52" i="3" s="1"/>
  <c r="AI41" i="3"/>
  <c r="AI52" i="3" s="1"/>
  <c r="AH41" i="3"/>
  <c r="AG41" i="3"/>
  <c r="AG52" i="3" s="1"/>
  <c r="AF41" i="3"/>
  <c r="AF52" i="3" s="1"/>
  <c r="AE41" i="3"/>
  <c r="AE52" i="3" s="1"/>
  <c r="AD41" i="3"/>
  <c r="AC41" i="3"/>
  <c r="AC52" i="3" s="1"/>
  <c r="AB41" i="3"/>
  <c r="AB52" i="3" s="1"/>
  <c r="AA41" i="3"/>
  <c r="AA52" i="3" s="1"/>
  <c r="Z41" i="3"/>
  <c r="Y41" i="3"/>
  <c r="Y52" i="3" s="1"/>
  <c r="X41" i="3"/>
  <c r="X52" i="3" s="1"/>
  <c r="W41" i="3"/>
  <c r="W52" i="3" s="1"/>
  <c r="V41" i="3"/>
  <c r="U41" i="3"/>
  <c r="U52" i="3" s="1"/>
  <c r="T41" i="3"/>
  <c r="T52" i="3" s="1"/>
  <c r="S41" i="3"/>
  <c r="S52" i="3" s="1"/>
  <c r="R41"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AK38" i="3"/>
  <c r="AJ38" i="3"/>
  <c r="AI38" i="3"/>
  <c r="AE38" i="3"/>
  <c r="AC38" i="3"/>
  <c r="W38" i="3"/>
  <c r="U38" i="3"/>
  <c r="T38" i="3"/>
  <c r="S38" i="3"/>
  <c r="R38" i="3"/>
  <c r="Q38" i="3"/>
  <c r="P38" i="3"/>
  <c r="N38" i="3"/>
  <c r="M38"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S30"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AL25" i="3"/>
  <c r="AK25" i="3"/>
  <c r="AJ25" i="3"/>
  <c r="AI25" i="3"/>
  <c r="AH25" i="3"/>
  <c r="AF25" i="3"/>
  <c r="AE25" i="3"/>
  <c r="AD25" i="3"/>
  <c r="AC25" i="3"/>
  <c r="AA25" i="3"/>
  <c r="Z25" i="3"/>
  <c r="Y25" i="3"/>
  <c r="W25" i="3"/>
  <c r="U25" i="3"/>
  <c r="T25" i="3"/>
  <c r="S25" i="3"/>
  <c r="R25" i="3"/>
  <c r="Y24" i="3"/>
  <c r="X24" i="3"/>
  <c r="W24" i="3"/>
  <c r="V24" i="3"/>
  <c r="U24" i="3"/>
  <c r="T24" i="3"/>
  <c r="S24" i="3"/>
  <c r="Q24" i="3"/>
  <c r="P24" i="3"/>
  <c r="O24" i="3"/>
  <c r="N24" i="3"/>
  <c r="M24" i="3"/>
  <c r="L24" i="3"/>
  <c r="K24" i="3"/>
  <c r="J24" i="3"/>
  <c r="I24" i="3"/>
  <c r="H24" i="3"/>
  <c r="G24" i="3"/>
  <c r="F24" i="3"/>
  <c r="E24" i="3"/>
  <c r="S22" i="3"/>
  <c r="R22" i="3"/>
  <c r="R24" i="3" s="1"/>
  <c r="AL20" i="3"/>
  <c r="AK20" i="3"/>
  <c r="AJ20" i="3"/>
  <c r="AI20" i="3"/>
  <c r="AH20" i="3"/>
  <c r="AG20" i="3"/>
  <c r="AF20" i="3"/>
  <c r="AE20" i="3"/>
  <c r="AD20" i="3"/>
  <c r="AC20" i="3"/>
  <c r="AB20" i="3"/>
  <c r="AA20" i="3"/>
  <c r="Z20" i="3"/>
  <c r="Y20" i="3"/>
  <c r="Q19" i="3"/>
  <c r="P19" i="3"/>
  <c r="O19" i="3"/>
  <c r="N19" i="3"/>
  <c r="M19" i="3"/>
  <c r="L19" i="3"/>
  <c r="Y18" i="3"/>
  <c r="X18" i="3"/>
  <c r="W18" i="3"/>
  <c r="V18" i="3"/>
  <c r="U18" i="3"/>
  <c r="T18" i="3"/>
  <c r="S18" i="3"/>
  <c r="R18" i="3"/>
  <c r="Q18" i="3"/>
  <c r="P18" i="3"/>
  <c r="O18" i="3"/>
  <c r="N18" i="3"/>
  <c r="M18" i="3"/>
  <c r="L18" i="3"/>
  <c r="K18" i="3"/>
  <c r="J18" i="3"/>
  <c r="I18" i="3"/>
  <c r="H18" i="3"/>
  <c r="G18" i="3"/>
  <c r="F18" i="3"/>
  <c r="E18" i="3"/>
  <c r="AC17" i="3"/>
  <c r="AB17" i="3"/>
  <c r="Z16" i="3"/>
  <c r="AA16" i="3" s="1"/>
  <c r="AA18" i="3" s="1"/>
  <c r="AL13" i="3"/>
  <c r="AK13" i="3"/>
  <c r="AJ13" i="3"/>
  <c r="AI13" i="3"/>
  <c r="AH13" i="3"/>
  <c r="AG13" i="3"/>
  <c r="AF13" i="3"/>
  <c r="AE13" i="3"/>
  <c r="AD13" i="3"/>
  <c r="AC13" i="3"/>
  <c r="AB13" i="3"/>
  <c r="AA13" i="3"/>
  <c r="Z13" i="3"/>
  <c r="Y13" i="3"/>
  <c r="Q12" i="3"/>
  <c r="P12" i="3"/>
  <c r="O12" i="3"/>
  <c r="N12" i="3"/>
  <c r="M12" i="3"/>
  <c r="L12" i="3"/>
  <c r="L9" i="3"/>
  <c r="AN8" i="3"/>
  <c r="Y8" i="3"/>
  <c r="W8" i="3"/>
  <c r="S8" i="3"/>
  <c r="R8" i="3"/>
  <c r="L8" i="3"/>
  <c r="L65" i="3" s="1"/>
  <c r="H8" i="3"/>
  <c r="Y7" i="3"/>
  <c r="X7" i="3"/>
  <c r="W7" i="3"/>
  <c r="V7" i="3"/>
  <c r="U7" i="3"/>
  <c r="T7" i="3"/>
  <c r="S7" i="3"/>
  <c r="R7" i="3"/>
  <c r="Q7" i="3"/>
  <c r="P7" i="3"/>
  <c r="O7" i="3"/>
  <c r="N7" i="3"/>
  <c r="M7" i="3"/>
  <c r="L7" i="3"/>
  <c r="K7" i="3"/>
  <c r="J7" i="3"/>
  <c r="I7" i="3"/>
  <c r="H7" i="3"/>
  <c r="G7" i="3"/>
  <c r="F7" i="3"/>
  <c r="E7" i="3"/>
  <c r="Y2" i="3"/>
  <c r="X2" i="3"/>
  <c r="O14" i="2" s="1"/>
  <c r="O34" i="2" s="1"/>
  <c r="O40" i="2" s="1"/>
  <c r="O41" i="2" s="1"/>
  <c r="W2" i="3"/>
  <c r="V2" i="3"/>
  <c r="U2" i="3"/>
  <c r="T2" i="3"/>
  <c r="K14" i="2" s="1"/>
  <c r="K34" i="2" s="1"/>
  <c r="K40" i="2" s="1"/>
  <c r="K41" i="2" s="1"/>
  <c r="S2" i="3"/>
  <c r="R2" i="3"/>
  <c r="Q2" i="3"/>
  <c r="P2" i="3"/>
  <c r="G14" i="2" s="1"/>
  <c r="G34" i="2" s="1"/>
  <c r="G40" i="2" s="1"/>
  <c r="G41" i="2" s="1"/>
  <c r="O2" i="3"/>
  <c r="N2" i="3"/>
  <c r="M2" i="3"/>
  <c r="L2" i="3"/>
  <c r="AB44" i="2"/>
  <c r="AA44" i="2"/>
  <c r="Z44" i="2"/>
  <c r="Y44" i="2"/>
  <c r="X44" i="2"/>
  <c r="W44" i="2"/>
  <c r="V44" i="2"/>
  <c r="U44" i="2"/>
  <c r="T44" i="2"/>
  <c r="S44" i="2"/>
  <c r="R44" i="2"/>
  <c r="Q44" i="2"/>
  <c r="P44" i="2"/>
  <c r="AB43" i="2"/>
  <c r="AA43" i="2"/>
  <c r="Z43" i="2"/>
  <c r="Y43" i="2"/>
  <c r="X43" i="2"/>
  <c r="W43" i="2"/>
  <c r="V43" i="2"/>
  <c r="U43" i="2"/>
  <c r="T43" i="2"/>
  <c r="S43" i="2"/>
  <c r="R43" i="2"/>
  <c r="Q43" i="2"/>
  <c r="P43" i="2"/>
  <c r="AB42" i="2"/>
  <c r="AA42" i="2"/>
  <c r="Z42" i="2"/>
  <c r="Y42" i="2"/>
  <c r="X42" i="2"/>
  <c r="W42" i="2"/>
  <c r="U42" i="2"/>
  <c r="T42" i="2"/>
  <c r="S42" i="2"/>
  <c r="R42" i="2"/>
  <c r="Q42" i="2"/>
  <c r="P42" i="2"/>
  <c r="O42" i="2"/>
  <c r="N42" i="2"/>
  <c r="M42" i="2"/>
  <c r="L42" i="2"/>
  <c r="K42" i="2"/>
  <c r="J42" i="2"/>
  <c r="I42" i="2"/>
  <c r="H42" i="2"/>
  <c r="G42" i="2"/>
  <c r="F42" i="2"/>
  <c r="E42" i="2"/>
  <c r="D42" i="2"/>
  <c r="L41" i="2"/>
  <c r="H41" i="2"/>
  <c r="AB39" i="2"/>
  <c r="AA39" i="2"/>
  <c r="Z39" i="2"/>
  <c r="Y39" i="2"/>
  <c r="X39" i="2"/>
  <c r="W39" i="2"/>
  <c r="V39" i="2"/>
  <c r="U39" i="2"/>
  <c r="T39" i="2"/>
  <c r="S39" i="2"/>
  <c r="R39" i="2"/>
  <c r="Q39" i="2"/>
  <c r="P39" i="2"/>
  <c r="O39" i="2"/>
  <c r="N39" i="2"/>
  <c r="M39" i="2"/>
  <c r="L39" i="2"/>
  <c r="K39" i="2"/>
  <c r="J39" i="2"/>
  <c r="I39" i="2"/>
  <c r="H39" i="2"/>
  <c r="G39" i="2"/>
  <c r="F39" i="2"/>
  <c r="E39" i="2"/>
  <c r="D39" i="2"/>
  <c r="AB37" i="2"/>
  <c r="AA37" i="2"/>
  <c r="Z37" i="2"/>
  <c r="Y37" i="2"/>
  <c r="X37" i="2"/>
  <c r="W37" i="2"/>
  <c r="U37" i="2"/>
  <c r="T37" i="2"/>
  <c r="S37" i="2"/>
  <c r="R37" i="2"/>
  <c r="Q37" i="2"/>
  <c r="P37" i="2"/>
  <c r="P34" i="2"/>
  <c r="P40" i="2" s="1"/>
  <c r="P41" i="2" s="1"/>
  <c r="L34" i="2"/>
  <c r="L40" i="2" s="1"/>
  <c r="H34" i="2"/>
  <c r="H40" i="2" s="1"/>
  <c r="D34" i="2"/>
  <c r="D40" i="2" s="1"/>
  <c r="D41" i="2" s="1"/>
  <c r="Y33" i="2"/>
  <c r="V33" i="2"/>
  <c r="V42" i="2" s="1"/>
  <c r="O33" i="2"/>
  <c r="AF32" i="2"/>
  <c r="AF31" i="2"/>
  <c r="AF30" i="2"/>
  <c r="AF29" i="2"/>
  <c r="T29" i="2"/>
  <c r="U29" i="2" s="1"/>
  <c r="V29" i="2" s="1"/>
  <c r="W29" i="2" s="1"/>
  <c r="X29" i="2" s="1"/>
  <c r="Y29" i="2" s="1"/>
  <c r="Z29" i="2" s="1"/>
  <c r="AA29" i="2" s="1"/>
  <c r="AB29" i="2" s="1"/>
  <c r="R29" i="2"/>
  <c r="S29" i="2" s="1"/>
  <c r="Q29" i="2"/>
  <c r="AF28" i="2"/>
  <c r="Y28" i="2"/>
  <c r="Z28" i="2" s="1"/>
  <c r="AA28" i="2" s="1"/>
  <c r="AB28" i="2" s="1"/>
  <c r="U28" i="2"/>
  <c r="V28" i="2" s="1"/>
  <c r="W28" i="2" s="1"/>
  <c r="X28" i="2" s="1"/>
  <c r="Q28" i="2"/>
  <c r="R28" i="2" s="1"/>
  <c r="S28" i="2" s="1"/>
  <c r="T28" i="2" s="1"/>
  <c r="AF27" i="2"/>
  <c r="Z27" i="2"/>
  <c r="AA27" i="2" s="1"/>
  <c r="AB27" i="2" s="1"/>
  <c r="V27" i="2"/>
  <c r="W27" i="2" s="1"/>
  <c r="X27" i="2" s="1"/>
  <c r="Y27" i="2" s="1"/>
  <c r="R27" i="2"/>
  <c r="S27" i="2" s="1"/>
  <c r="T27" i="2" s="1"/>
  <c r="U27" i="2" s="1"/>
  <c r="Q27" i="2"/>
  <c r="AB23" i="2"/>
  <c r="AA23" i="2"/>
  <c r="Z23" i="2"/>
  <c r="Y23" i="2"/>
  <c r="X23" i="2"/>
  <c r="W23" i="2"/>
  <c r="V23" i="2"/>
  <c r="U23" i="2"/>
  <c r="T23" i="2"/>
  <c r="S23" i="2"/>
  <c r="R23" i="2"/>
  <c r="Q23" i="2"/>
  <c r="P23" i="2"/>
  <c r="O23" i="2"/>
  <c r="N23" i="2"/>
  <c r="M23" i="2"/>
  <c r="L23" i="2"/>
  <c r="K23" i="2"/>
  <c r="J23" i="2"/>
  <c r="I23" i="2"/>
  <c r="H23" i="2"/>
  <c r="G23" i="2"/>
  <c r="F23" i="2"/>
  <c r="E23" i="2"/>
  <c r="D23" i="2"/>
  <c r="C23" i="2"/>
  <c r="X22" i="2"/>
  <c r="X21" i="2" s="1"/>
  <c r="H22" i="2"/>
  <c r="H21" i="2" s="1"/>
  <c r="C22" i="2"/>
  <c r="C21" i="2" s="1"/>
  <c r="R21" i="2"/>
  <c r="N21" i="2"/>
  <c r="J21" i="2"/>
  <c r="F21" i="2"/>
  <c r="AB20" i="2"/>
  <c r="AA20" i="2"/>
  <c r="Z20" i="2"/>
  <c r="Y20" i="2"/>
  <c r="X20" i="2"/>
  <c r="W20" i="2"/>
  <c r="V20" i="2"/>
  <c r="U20" i="2"/>
  <c r="T20" i="2"/>
  <c r="S20" i="2"/>
  <c r="R20" i="2"/>
  <c r="Q20" i="2"/>
  <c r="P20" i="2"/>
  <c r="O20" i="2"/>
  <c r="N20" i="2"/>
  <c r="M20" i="2"/>
  <c r="L20" i="2"/>
  <c r="K20" i="2"/>
  <c r="J20" i="2"/>
  <c r="I20" i="2"/>
  <c r="H20" i="2"/>
  <c r="G20" i="2"/>
  <c r="F20" i="2"/>
  <c r="E20" i="2"/>
  <c r="D20" i="2"/>
  <c r="D18" i="2" s="1"/>
  <c r="C20" i="2"/>
  <c r="V19" i="2"/>
  <c r="V18" i="2" s="1"/>
  <c r="R19" i="2"/>
  <c r="R18" i="2" s="1"/>
  <c r="C19" i="2"/>
  <c r="P18" i="2"/>
  <c r="C18" i="2"/>
  <c r="Z17" i="2"/>
  <c r="V17" i="2"/>
  <c r="R17" i="2"/>
  <c r="N17" i="2"/>
  <c r="J17" i="2"/>
  <c r="F17" i="2"/>
  <c r="C17" i="2"/>
  <c r="C16" i="2"/>
  <c r="P14" i="2"/>
  <c r="N14" i="2"/>
  <c r="N34" i="2" s="1"/>
  <c r="N40" i="2" s="1"/>
  <c r="N41" i="2" s="1"/>
  <c r="M14" i="2"/>
  <c r="M34" i="2" s="1"/>
  <c r="M40" i="2" s="1"/>
  <c r="M41" i="2" s="1"/>
  <c r="L14" i="2"/>
  <c r="J14" i="2"/>
  <c r="J34" i="2" s="1"/>
  <c r="J40" i="2" s="1"/>
  <c r="J41" i="2" s="1"/>
  <c r="I14" i="2"/>
  <c r="I34" i="2" s="1"/>
  <c r="I40" i="2" s="1"/>
  <c r="I41" i="2" s="1"/>
  <c r="H14" i="2"/>
  <c r="F14" i="2"/>
  <c r="F34" i="2" s="1"/>
  <c r="F40" i="2" s="1"/>
  <c r="F41" i="2" s="1"/>
  <c r="E14" i="2"/>
  <c r="E34" i="2" s="1"/>
  <c r="E40" i="2" s="1"/>
  <c r="E41" i="2" s="1"/>
  <c r="D14" i="2"/>
  <c r="AB13" i="2"/>
  <c r="AA13" i="2"/>
  <c r="Z13" i="2"/>
  <c r="Y13" i="2"/>
  <c r="X13" i="2"/>
  <c r="W13" i="2"/>
  <c r="V13" i="2"/>
  <c r="U13" i="2"/>
  <c r="T13" i="2"/>
  <c r="S13" i="2"/>
  <c r="R13" i="2"/>
  <c r="Q13" i="2"/>
  <c r="P13" i="2"/>
  <c r="O13" i="2"/>
  <c r="N13" i="2"/>
  <c r="M13" i="2"/>
  <c r="L13" i="2"/>
  <c r="K13" i="2"/>
  <c r="J13" i="2"/>
  <c r="I13" i="2"/>
  <c r="H13" i="2"/>
  <c r="G13" i="2"/>
  <c r="F13" i="2"/>
  <c r="E13" i="2"/>
  <c r="D13" i="2"/>
  <c r="AB12" i="2"/>
  <c r="AA12" i="2"/>
  <c r="Z12" i="2"/>
  <c r="Y12" i="2"/>
  <c r="X12" i="2"/>
  <c r="W12" i="2"/>
  <c r="V12" i="2"/>
  <c r="U12" i="2"/>
  <c r="T12" i="2"/>
  <c r="S12" i="2"/>
  <c r="R12" i="2"/>
  <c r="Q12" i="2"/>
  <c r="P12" i="2"/>
  <c r="O12" i="2"/>
  <c r="N12" i="2"/>
  <c r="M12" i="2"/>
  <c r="L12" i="2"/>
  <c r="K12" i="2"/>
  <c r="J12" i="2"/>
  <c r="I12" i="2"/>
  <c r="H12" i="2"/>
  <c r="G12" i="2"/>
  <c r="F12" i="2"/>
  <c r="E12" i="2"/>
  <c r="D12" i="2"/>
  <c r="AA11" i="2"/>
  <c r="AA22" i="2" s="1"/>
  <c r="AA21" i="2" s="1"/>
  <c r="Z11" i="2"/>
  <c r="Z22" i="2" s="1"/>
  <c r="Z21" i="2" s="1"/>
  <c r="X11" i="2"/>
  <c r="X17" i="2" s="1"/>
  <c r="V11" i="2"/>
  <c r="V22" i="2" s="1"/>
  <c r="V21" i="2" s="1"/>
  <c r="S11" i="2"/>
  <c r="S22" i="2" s="1"/>
  <c r="S21" i="2" s="1"/>
  <c r="R11" i="2"/>
  <c r="R22" i="2" s="1"/>
  <c r="O11" i="2"/>
  <c r="O22" i="2" s="1"/>
  <c r="O21" i="2" s="1"/>
  <c r="K11" i="2"/>
  <c r="K22" i="2" s="1"/>
  <c r="K21" i="2" s="1"/>
  <c r="H11" i="2"/>
  <c r="H17" i="2" s="1"/>
  <c r="AB10" i="2"/>
  <c r="AA10" i="2"/>
  <c r="Z10" i="2"/>
  <c r="Z9" i="2" s="1"/>
  <c r="Z7" i="2" s="1"/>
  <c r="Y10" i="2"/>
  <c r="X10" i="2"/>
  <c r="X9" i="2" s="1"/>
  <c r="W10" i="2"/>
  <c r="V10" i="2"/>
  <c r="V9" i="2" s="1"/>
  <c r="V7" i="2" s="1"/>
  <c r="U10" i="2"/>
  <c r="T10" i="2"/>
  <c r="S10" i="2"/>
  <c r="R10" i="2"/>
  <c r="R9" i="2" s="1"/>
  <c r="P10" i="2"/>
  <c r="N10" i="2"/>
  <c r="N9" i="2" s="1"/>
  <c r="M10" i="2"/>
  <c r="L10" i="2"/>
  <c r="K10" i="2"/>
  <c r="J10" i="2"/>
  <c r="J9" i="2" s="1"/>
  <c r="I10" i="2"/>
  <c r="H10" i="2"/>
  <c r="H9" i="2" s="1"/>
  <c r="G10" i="2"/>
  <c r="F10" i="2"/>
  <c r="F9" i="2" s="1"/>
  <c r="E10" i="2"/>
  <c r="AA9" i="2"/>
  <c r="S9" i="2"/>
  <c r="K9" i="2"/>
  <c r="C9" i="2"/>
  <c r="C7" i="2" s="1"/>
  <c r="AA8" i="2"/>
  <c r="AA7" i="2" s="1"/>
  <c r="Z8" i="2"/>
  <c r="N8" i="2"/>
  <c r="L8" i="2"/>
  <c r="K8" i="2"/>
  <c r="J8" i="2"/>
  <c r="I8" i="2"/>
  <c r="H8" i="2"/>
  <c r="G8" i="2"/>
  <c r="E8" i="2"/>
  <c r="D8" i="2"/>
  <c r="N7" i="2"/>
  <c r="J7" i="2"/>
  <c r="H7" i="2"/>
  <c r="AB6" i="2"/>
  <c r="AB19" i="2" s="1"/>
  <c r="AB18" i="2" s="1"/>
  <c r="AA6" i="2"/>
  <c r="AA19" i="2" s="1"/>
  <c r="AA18" i="2" s="1"/>
  <c r="Z6" i="2"/>
  <c r="Z19" i="2" s="1"/>
  <c r="Z18" i="2" s="1"/>
  <c r="Y6" i="2"/>
  <c r="Y19" i="2" s="1"/>
  <c r="Y18" i="2" s="1"/>
  <c r="X6" i="2"/>
  <c r="X19" i="2" s="1"/>
  <c r="X18" i="2" s="1"/>
  <c r="X16" i="2" s="1"/>
  <c r="W6" i="2"/>
  <c r="W19" i="2" s="1"/>
  <c r="W18" i="2" s="1"/>
  <c r="V6" i="2"/>
  <c r="U6" i="2"/>
  <c r="U19" i="2" s="1"/>
  <c r="U18" i="2" s="1"/>
  <c r="T6" i="2"/>
  <c r="T19" i="2" s="1"/>
  <c r="T18" i="2" s="1"/>
  <c r="S6" i="2"/>
  <c r="S19" i="2" s="1"/>
  <c r="S18" i="2" s="1"/>
  <c r="R6" i="2"/>
  <c r="Q6" i="2"/>
  <c r="Q19" i="2" s="1"/>
  <c r="Q18" i="2" s="1"/>
  <c r="P6" i="2"/>
  <c r="P19" i="2" s="1"/>
  <c r="O6" i="2"/>
  <c r="O19" i="2" s="1"/>
  <c r="O18" i="2" s="1"/>
  <c r="N6" i="2"/>
  <c r="N19" i="2" s="1"/>
  <c r="N18" i="2" s="1"/>
  <c r="M6" i="2"/>
  <c r="M19" i="2" s="1"/>
  <c r="M18" i="2" s="1"/>
  <c r="L6" i="2"/>
  <c r="L19" i="2" s="1"/>
  <c r="L18" i="2" s="1"/>
  <c r="K6" i="2"/>
  <c r="K19" i="2" s="1"/>
  <c r="K18" i="2" s="1"/>
  <c r="J6" i="2"/>
  <c r="J19" i="2" s="1"/>
  <c r="J18" i="2" s="1"/>
  <c r="H6" i="2"/>
  <c r="H19" i="2" s="1"/>
  <c r="H18" i="2" s="1"/>
  <c r="G6" i="2"/>
  <c r="G19" i="2" s="1"/>
  <c r="G18" i="2" s="1"/>
  <c r="F6" i="2"/>
  <c r="F3" i="2" s="1"/>
  <c r="E6" i="2"/>
  <c r="E19" i="2" s="1"/>
  <c r="E18" i="2" s="1"/>
  <c r="D6" i="2"/>
  <c r="D19" i="2" s="1"/>
  <c r="AB5" i="2"/>
  <c r="AA5" i="2"/>
  <c r="AA3" i="2" s="1"/>
  <c r="Z5" i="2"/>
  <c r="Y5" i="2"/>
  <c r="X5" i="2"/>
  <c r="W5" i="2"/>
  <c r="V5" i="2"/>
  <c r="U5" i="2"/>
  <c r="T5" i="2"/>
  <c r="S5" i="2"/>
  <c r="S3" i="2" s="1"/>
  <c r="R5" i="2"/>
  <c r="Q5" i="2"/>
  <c r="P5" i="2"/>
  <c r="O5" i="2"/>
  <c r="O3" i="2" s="1"/>
  <c r="N5" i="2"/>
  <c r="M5" i="2"/>
  <c r="L5" i="2"/>
  <c r="K5" i="2"/>
  <c r="K3" i="2" s="1"/>
  <c r="J5" i="2"/>
  <c r="I5" i="2"/>
  <c r="H5" i="2"/>
  <c r="G5" i="2"/>
  <c r="G3" i="2" s="1"/>
  <c r="F5" i="2"/>
  <c r="E5" i="2"/>
  <c r="D5" i="2"/>
  <c r="AB4" i="2"/>
  <c r="AB3" i="2" s="1"/>
  <c r="AA4" i="2"/>
  <c r="Z4" i="2"/>
  <c r="Y4" i="2"/>
  <c r="X4" i="2"/>
  <c r="X3" i="2" s="1"/>
  <c r="W4" i="2"/>
  <c r="V4" i="2"/>
  <c r="U4" i="2"/>
  <c r="T4" i="2"/>
  <c r="T3" i="2" s="1"/>
  <c r="S4" i="2"/>
  <c r="R4" i="2"/>
  <c r="Q4" i="2"/>
  <c r="P4" i="2"/>
  <c r="P3" i="2" s="1"/>
  <c r="O4" i="2"/>
  <c r="N4" i="2"/>
  <c r="M4" i="2"/>
  <c r="L4" i="2"/>
  <c r="L3" i="2" s="1"/>
  <c r="K4" i="2"/>
  <c r="J4" i="2"/>
  <c r="I4" i="2"/>
  <c r="H4" i="2"/>
  <c r="G4" i="2"/>
  <c r="F4" i="2"/>
  <c r="E4" i="2"/>
  <c r="D4" i="2"/>
  <c r="Y3" i="2"/>
  <c r="W3" i="2"/>
  <c r="V3" i="2"/>
  <c r="U3" i="2"/>
  <c r="R3" i="2"/>
  <c r="Q3" i="2"/>
  <c r="N3" i="2"/>
  <c r="M3" i="2"/>
  <c r="H3" i="2"/>
  <c r="E3" i="2"/>
  <c r="D3" i="2"/>
  <c r="C3" i="2"/>
  <c r="R56" i="1"/>
  <c r="H54" i="1"/>
  <c r="G54" i="1"/>
  <c r="F54" i="1"/>
  <c r="E54" i="1"/>
  <c r="P53" i="1"/>
  <c r="P54" i="1" s="1"/>
  <c r="O53" i="1"/>
  <c r="O54" i="1" s="1"/>
  <c r="N53" i="1"/>
  <c r="N54" i="1" s="1"/>
  <c r="M53" i="1"/>
  <c r="M54" i="1" s="1"/>
  <c r="L53" i="1"/>
  <c r="L54" i="1" s="1"/>
  <c r="K53" i="1"/>
  <c r="K54" i="1" s="1"/>
  <c r="J53" i="1"/>
  <c r="J54" i="1" s="1"/>
  <c r="I53" i="1"/>
  <c r="R53" i="1" s="1"/>
  <c r="R52" i="1"/>
  <c r="P51" i="1"/>
  <c r="O51" i="1"/>
  <c r="N51" i="1"/>
  <c r="M51" i="1"/>
  <c r="L51" i="1"/>
  <c r="K51" i="1"/>
  <c r="J51" i="1"/>
  <c r="I51" i="1"/>
  <c r="H51" i="1"/>
  <c r="G51" i="1"/>
  <c r="F51" i="1"/>
  <c r="E51" i="1"/>
  <c r="D51" i="1"/>
  <c r="C51" i="1"/>
  <c r="P49" i="1"/>
  <c r="O49" i="1"/>
  <c r="N49" i="1"/>
  <c r="M49" i="1"/>
  <c r="L49" i="1"/>
  <c r="K49" i="1"/>
  <c r="J49" i="1"/>
  <c r="I49" i="1"/>
  <c r="H49" i="1"/>
  <c r="G49" i="1"/>
  <c r="F49" i="1"/>
  <c r="E49" i="1"/>
  <c r="D49" i="1"/>
  <c r="R49" i="1" s="1"/>
  <c r="C49" i="1"/>
  <c r="R48" i="1"/>
  <c r="R47" i="1"/>
  <c r="R46" i="1"/>
  <c r="P45" i="1"/>
  <c r="O45" i="1"/>
  <c r="N45" i="1"/>
  <c r="M45" i="1"/>
  <c r="L45" i="1"/>
  <c r="K45" i="1"/>
  <c r="J45" i="1"/>
  <c r="I45" i="1"/>
  <c r="H45" i="1"/>
  <c r="G45" i="1"/>
  <c r="F45" i="1"/>
  <c r="E45" i="1"/>
  <c r="D45" i="1"/>
  <c r="C45" i="1"/>
  <c r="R37" i="1"/>
  <c r="E37" i="1"/>
  <c r="P36" i="1"/>
  <c r="O36" i="1"/>
  <c r="N36" i="1"/>
  <c r="M36" i="1"/>
  <c r="L36" i="1"/>
  <c r="K36" i="1"/>
  <c r="J36" i="1"/>
  <c r="I36" i="1"/>
  <c r="H36" i="1"/>
  <c r="G36" i="1"/>
  <c r="F36" i="1"/>
  <c r="E36" i="1"/>
  <c r="D36" i="1"/>
  <c r="R36" i="1" s="1"/>
  <c r="C36" i="1"/>
  <c r="O35" i="1"/>
  <c r="N35" i="1"/>
  <c r="K35" i="1"/>
  <c r="J35" i="1"/>
  <c r="G35" i="1"/>
  <c r="F35" i="1"/>
  <c r="A35" i="1"/>
  <c r="P34" i="1"/>
  <c r="P28" i="1" s="1"/>
  <c r="P26" i="1" s="1"/>
  <c r="O34" i="1"/>
  <c r="N34" i="1"/>
  <c r="M34" i="1"/>
  <c r="M35" i="1" s="1"/>
  <c r="L34" i="1"/>
  <c r="L35" i="1" s="1"/>
  <c r="K34" i="1"/>
  <c r="J34" i="1"/>
  <c r="I34" i="1"/>
  <c r="I35" i="1" s="1"/>
  <c r="H34" i="1"/>
  <c r="H35" i="1" s="1"/>
  <c r="G34" i="1"/>
  <c r="F34" i="1"/>
  <c r="E34" i="1"/>
  <c r="E35" i="1" s="1"/>
  <c r="D34" i="1"/>
  <c r="D35" i="1" s="1"/>
  <c r="C34" i="1"/>
  <c r="A34" i="1"/>
  <c r="R33" i="1"/>
  <c r="P32" i="1"/>
  <c r="O32" i="1"/>
  <c r="N32" i="1"/>
  <c r="M32" i="1"/>
  <c r="L32" i="1"/>
  <c r="K32" i="1"/>
  <c r="J32" i="1"/>
  <c r="I32" i="1"/>
  <c r="H32" i="1"/>
  <c r="G32" i="1"/>
  <c r="F32" i="1"/>
  <c r="E32" i="1"/>
  <c r="D32" i="1"/>
  <c r="C32" i="1"/>
  <c r="O28" i="1"/>
  <c r="O26" i="1" s="1"/>
  <c r="K28" i="1"/>
  <c r="K26" i="1" s="1"/>
  <c r="G28" i="1"/>
  <c r="G26" i="1" s="1"/>
  <c r="C28" i="1"/>
  <c r="C26" i="1" s="1"/>
  <c r="P22" i="1"/>
  <c r="O22" i="1"/>
  <c r="N22" i="1"/>
  <c r="M22" i="1"/>
  <c r="L22" i="1"/>
  <c r="K22" i="1"/>
  <c r="J22" i="1"/>
  <c r="I22" i="1"/>
  <c r="H22" i="1"/>
  <c r="G22" i="1"/>
  <c r="F22" i="1"/>
  <c r="E22" i="1"/>
  <c r="D22" i="1"/>
  <c r="C22" i="1"/>
  <c r="O16" i="1"/>
  <c r="O18" i="1" s="1"/>
  <c r="N16" i="1"/>
  <c r="N18" i="1" s="1"/>
  <c r="K16" i="1"/>
  <c r="K19" i="1" s="1"/>
  <c r="J16" i="1"/>
  <c r="J19" i="1" s="1"/>
  <c r="P10" i="1"/>
  <c r="O10" i="1"/>
  <c r="N10" i="1"/>
  <c r="N28" i="1" s="1"/>
  <c r="N26" i="1" s="1"/>
  <c r="M10" i="1"/>
  <c r="M28" i="1" s="1"/>
  <c r="M26" i="1" s="1"/>
  <c r="L10" i="1"/>
  <c r="K10" i="1"/>
  <c r="J10" i="1"/>
  <c r="J28" i="1" s="1"/>
  <c r="J26" i="1" s="1"/>
  <c r="I10" i="1"/>
  <c r="I28" i="1" s="1"/>
  <c r="I26" i="1" s="1"/>
  <c r="H10" i="1"/>
  <c r="G10" i="1"/>
  <c r="F10" i="1"/>
  <c r="F28" i="1" s="1"/>
  <c r="F26" i="1" s="1"/>
  <c r="E10" i="1"/>
  <c r="E28" i="1" s="1"/>
  <c r="E26" i="1" s="1"/>
  <c r="D10" i="1"/>
  <c r="C10" i="1"/>
  <c r="R9" i="1"/>
  <c r="P8" i="1"/>
  <c r="P16" i="1" s="1"/>
  <c r="O8" i="1"/>
  <c r="N8" i="1"/>
  <c r="M8" i="1"/>
  <c r="M16" i="1" s="1"/>
  <c r="L8" i="1"/>
  <c r="L16" i="1" s="1"/>
  <c r="K8" i="1"/>
  <c r="J8" i="1"/>
  <c r="I8" i="1"/>
  <c r="I16" i="1" s="1"/>
  <c r="H8" i="1"/>
  <c r="G8" i="1"/>
  <c r="F8" i="1"/>
  <c r="E8" i="1"/>
  <c r="D8" i="1"/>
  <c r="C8" i="1"/>
  <c r="A8" i="1"/>
  <c r="R7" i="1"/>
  <c r="P4" i="1"/>
  <c r="O4" i="1"/>
  <c r="N4" i="1"/>
  <c r="M4" i="1"/>
  <c r="L4" i="1"/>
  <c r="K4" i="1"/>
  <c r="J4" i="1"/>
  <c r="I4" i="1"/>
  <c r="H4" i="1"/>
  <c r="G4" i="1"/>
  <c r="F4" i="1"/>
  <c r="E4" i="1"/>
  <c r="D4" i="1"/>
  <c r="C4" i="1"/>
  <c r="P2" i="1"/>
  <c r="O2" i="1"/>
  <c r="N2" i="1"/>
  <c r="M2" i="1"/>
  <c r="L2" i="1"/>
  <c r="K2" i="1"/>
  <c r="J2" i="1"/>
  <c r="I2" i="1"/>
  <c r="H2" i="1"/>
  <c r="G2" i="1"/>
  <c r="F2" i="1"/>
  <c r="E2" i="1"/>
  <c r="D2" i="1"/>
  <c r="C2" i="1"/>
  <c r="L19" i="1" l="1"/>
  <c r="L18" i="1"/>
  <c r="P19" i="1"/>
  <c r="P18" i="1"/>
  <c r="E27" i="1"/>
  <c r="E23" i="1"/>
  <c r="E40" i="1"/>
  <c r="E30" i="1"/>
  <c r="I27" i="1"/>
  <c r="I23" i="1"/>
  <c r="I40" i="1"/>
  <c r="I30" i="1"/>
  <c r="M27" i="1"/>
  <c r="M23" i="1"/>
  <c r="M40" i="1"/>
  <c r="M30" i="1"/>
  <c r="K23" i="1"/>
  <c r="K40" i="1"/>
  <c r="K27" i="1"/>
  <c r="H16" i="2"/>
  <c r="P27" i="1"/>
  <c r="P23" i="1"/>
  <c r="J30" i="1"/>
  <c r="J27" i="1"/>
  <c r="J23" i="1"/>
  <c r="G27" i="1"/>
  <c r="G23" i="1"/>
  <c r="R54" i="1"/>
  <c r="I19" i="1"/>
  <c r="I18" i="1"/>
  <c r="M19" i="1"/>
  <c r="M18" i="1"/>
  <c r="F40" i="1"/>
  <c r="F27" i="1"/>
  <c r="F23" i="1"/>
  <c r="N23" i="1"/>
  <c r="N27" i="1"/>
  <c r="N40" i="1" s="1"/>
  <c r="O27" i="1"/>
  <c r="O23" i="1"/>
  <c r="O30" i="1"/>
  <c r="C30" i="1"/>
  <c r="C27" i="1"/>
  <c r="C23" i="1"/>
  <c r="C40" i="1"/>
  <c r="J18" i="1"/>
  <c r="N19" i="1"/>
  <c r="AJ61" i="3"/>
  <c r="AJ64" i="3" s="1"/>
  <c r="AN79" i="3"/>
  <c r="Y76" i="3"/>
  <c r="O142" i="3"/>
  <c r="O141" i="3" s="1"/>
  <c r="F8" i="2" s="1"/>
  <c r="F7" i="2" s="1"/>
  <c r="O159" i="3"/>
  <c r="AN83" i="3"/>
  <c r="Y149" i="3"/>
  <c r="Y73" i="3"/>
  <c r="Y150" i="3"/>
  <c r="Y65" i="3"/>
  <c r="Y68" i="3" s="1"/>
  <c r="Y144" i="3"/>
  <c r="Y146" i="3"/>
  <c r="P11" i="2" s="1"/>
  <c r="Y72" i="3"/>
  <c r="G22" i="2"/>
  <c r="G21" i="2" s="1"/>
  <c r="G17" i="2"/>
  <c r="G16" i="2" s="1"/>
  <c r="BQ24" i="4"/>
  <c r="BR24" i="4" s="1"/>
  <c r="BQ23" i="4"/>
  <c r="BR23" i="4" s="1"/>
  <c r="BS23" i="4" s="1"/>
  <c r="O19" i="1"/>
  <c r="H28" i="1"/>
  <c r="H26" i="1" s="1"/>
  <c r="G7" i="2"/>
  <c r="Z162" i="3"/>
  <c r="Z134" i="3"/>
  <c r="Z148" i="3" s="1"/>
  <c r="Z55" i="3"/>
  <c r="Z58" i="3" s="1"/>
  <c r="AC62" i="3"/>
  <c r="AC61" i="3" s="1"/>
  <c r="AC64" i="3" s="1"/>
  <c r="AC60" i="3"/>
  <c r="AC63" i="3" s="1"/>
  <c r="AG62" i="3"/>
  <c r="AG60" i="3"/>
  <c r="AG63" i="3" s="1"/>
  <c r="N16" i="2"/>
  <c r="AF142" i="3"/>
  <c r="AF141" i="3" s="1"/>
  <c r="W8" i="2" s="1"/>
  <c r="W7" i="2" s="1"/>
  <c r="AF38" i="3"/>
  <c r="AB25" i="3"/>
  <c r="AB38" i="3"/>
  <c r="V159" i="3"/>
  <c r="V160" i="3" s="1"/>
  <c r="V143" i="3"/>
  <c r="V38" i="3"/>
  <c r="AG143" i="3"/>
  <c r="AG141" i="3" s="1"/>
  <c r="X8" i="2" s="1"/>
  <c r="X7" i="2" s="1"/>
  <c r="AG25" i="3"/>
  <c r="AG38" i="3"/>
  <c r="X159" i="3"/>
  <c r="X143" i="3"/>
  <c r="X141" i="3" s="1"/>
  <c r="O8" i="2" s="1"/>
  <c r="O7" i="2" s="1"/>
  <c r="X25" i="3"/>
  <c r="X38" i="3"/>
  <c r="Z149" i="3"/>
  <c r="Z73" i="3"/>
  <c r="Z145" i="3"/>
  <c r="Q10" i="2" s="1"/>
  <c r="D28" i="1"/>
  <c r="D26" i="1" s="1"/>
  <c r="R26" i="1" s="1"/>
  <c r="L28" i="1"/>
  <c r="L26" i="1" s="1"/>
  <c r="F19" i="2"/>
  <c r="F18" i="2" s="1"/>
  <c r="F16" i="2" s="1"/>
  <c r="T58" i="3"/>
  <c r="AK62" i="3"/>
  <c r="AK61" i="3" s="1"/>
  <c r="AK64" i="3" s="1"/>
  <c r="AK60" i="3"/>
  <c r="AK63" i="3" s="1"/>
  <c r="P35" i="1"/>
  <c r="J3" i="2"/>
  <c r="Z3" i="2"/>
  <c r="T9" i="2"/>
  <c r="V16" i="2"/>
  <c r="Q32" i="2"/>
  <c r="R32" i="2" s="1"/>
  <c r="S32" i="2" s="1"/>
  <c r="T32" i="2" s="1"/>
  <c r="U32" i="2" s="1"/>
  <c r="V32" i="2" s="1"/>
  <c r="W32" i="2" s="1"/>
  <c r="X32" i="2" s="1"/>
  <c r="Y32" i="2" s="1"/>
  <c r="Z32" i="2" s="1"/>
  <c r="AA32" i="2" s="1"/>
  <c r="AB32" i="2" s="1"/>
  <c r="R65" i="3"/>
  <c r="R71" i="3"/>
  <c r="I6" i="2"/>
  <c r="V25" i="3"/>
  <c r="H58" i="3"/>
  <c r="L58" i="3"/>
  <c r="P58" i="3"/>
  <c r="AL61" i="3"/>
  <c r="AL64" i="3" s="1"/>
  <c r="AE61" i="3"/>
  <c r="AE64" i="3" s="1"/>
  <c r="Y71" i="3"/>
  <c r="L9" i="2"/>
  <c r="L7" i="2" s="1"/>
  <c r="W22" i="2"/>
  <c r="W21" i="2" s="1"/>
  <c r="W17" i="2"/>
  <c r="W16" i="2" s="1"/>
  <c r="K18" i="1"/>
  <c r="K7" i="2"/>
  <c r="R16" i="2"/>
  <c r="AB16" i="3"/>
  <c r="G9" i="2"/>
  <c r="W9" i="2"/>
  <c r="J16" i="2"/>
  <c r="Z16" i="2"/>
  <c r="O38" i="3"/>
  <c r="AA38" i="3"/>
  <c r="AH69" i="3"/>
  <c r="AH67" i="3"/>
  <c r="AH70" i="3" s="1"/>
  <c r="K17" i="2"/>
  <c r="K16" i="2" s="1"/>
  <c r="O17" i="2"/>
  <c r="O16" i="2" s="1"/>
  <c r="S17" i="2"/>
  <c r="S16" i="2" s="1"/>
  <c r="AA17" i="2"/>
  <c r="AA16" i="2" s="1"/>
  <c r="S72" i="3"/>
  <c r="S71" i="3"/>
  <c r="M48" i="3"/>
  <c r="AA62" i="3"/>
  <c r="AA61" i="3" s="1"/>
  <c r="AA64" i="3" s="1"/>
  <c r="AA67" i="3"/>
  <c r="AA70" i="3" s="1"/>
  <c r="AA69" i="3"/>
  <c r="AI67" i="3"/>
  <c r="AI70" i="3" s="1"/>
  <c r="AI69" i="3"/>
  <c r="AD69" i="3"/>
  <c r="V141" i="3"/>
  <c r="M8" i="2" s="1"/>
  <c r="AB142" i="3"/>
  <c r="AB141" i="3" s="1"/>
  <c r="S8" i="2" s="1"/>
  <c r="S7" i="2" s="1"/>
  <c r="Z76" i="3"/>
  <c r="Z159" i="3"/>
  <c r="AN78" i="3"/>
  <c r="AD76" i="3"/>
  <c r="AD159" i="3"/>
  <c r="AH76" i="3"/>
  <c r="AH159" i="3"/>
  <c r="AL76" i="3"/>
  <c r="AL159" i="3"/>
  <c r="P160" i="3"/>
  <c r="AY13" i="4"/>
  <c r="AY14" i="4" s="1"/>
  <c r="W72" i="3"/>
  <c r="W71" i="3"/>
  <c r="W65" i="3"/>
  <c r="Z18" i="3"/>
  <c r="Z116" i="3"/>
  <c r="Z72" i="3" s="1"/>
  <c r="Z71" i="3"/>
  <c r="V48" i="3"/>
  <c r="Z48" i="3"/>
  <c r="AH61" i="3"/>
  <c r="AH64" i="3" s="1"/>
  <c r="AK67" i="3"/>
  <c r="AK70" i="3" s="1"/>
  <c r="AE69" i="3"/>
  <c r="AA160" i="3"/>
  <c r="AI160" i="3"/>
  <c r="I161" i="3"/>
  <c r="I150" i="3"/>
  <c r="I144" i="3"/>
  <c r="I146" i="3"/>
  <c r="M116" i="3"/>
  <c r="Z161" i="3"/>
  <c r="V37" i="2"/>
  <c r="L72" i="3"/>
  <c r="L71" i="3"/>
  <c r="V162" i="3"/>
  <c r="V134" i="3"/>
  <c r="V148" i="3" s="1"/>
  <c r="S48" i="3"/>
  <c r="M54" i="3"/>
  <c r="M58" i="3" s="1"/>
  <c r="AI60" i="3"/>
  <c r="AI63" i="3" s="1"/>
  <c r="AI61" i="3" s="1"/>
  <c r="AI64" i="3" s="1"/>
  <c r="AD61" i="3"/>
  <c r="AD64" i="3" s="1"/>
  <c r="AC67" i="3"/>
  <c r="AC70" i="3" s="1"/>
  <c r="M71" i="3"/>
  <c r="H159" i="3"/>
  <c r="H142" i="3"/>
  <c r="H141" i="3" s="1"/>
  <c r="AB159" i="3"/>
  <c r="AB160" i="3" s="1"/>
  <c r="AF160" i="3"/>
  <c r="AJ160" i="3"/>
  <c r="T160" i="3"/>
  <c r="R160" i="3"/>
  <c r="W160" i="3"/>
  <c r="Z19" i="4"/>
  <c r="Z13" i="4"/>
  <c r="Z14" i="4" s="1"/>
  <c r="Z16" i="4"/>
  <c r="Z15" i="4" s="1"/>
  <c r="AL19" i="4"/>
  <c r="AL13" i="4"/>
  <c r="AL14" i="4" s="1"/>
  <c r="AL16" i="4"/>
  <c r="AL15" i="4" s="1"/>
  <c r="AP19" i="4"/>
  <c r="AP13" i="4"/>
  <c r="AP14" i="4" s="1"/>
  <c r="AP16" i="4"/>
  <c r="AP15" i="4" s="1"/>
  <c r="AT19" i="4"/>
  <c r="AT13" i="4"/>
  <c r="AT14" i="4" s="1"/>
  <c r="AT16" i="4"/>
  <c r="AT15" i="4" s="1"/>
  <c r="AY35" i="4"/>
  <c r="AY16" i="4"/>
  <c r="AY15" i="4" s="1"/>
  <c r="AY23" i="4"/>
  <c r="CB7" i="4"/>
  <c r="CC7" i="4" s="1"/>
  <c r="BC23" i="4"/>
  <c r="BC19" i="4"/>
  <c r="BC13" i="4"/>
  <c r="BC14" i="4" s="1"/>
  <c r="BG13" i="4"/>
  <c r="BG14" i="4" s="1"/>
  <c r="BG19" i="4"/>
  <c r="BG25" i="4" s="1"/>
  <c r="BG16" i="4"/>
  <c r="BG15" i="4" s="1"/>
  <c r="BK16" i="4"/>
  <c r="BK15" i="4" s="1"/>
  <c r="CD7" i="4"/>
  <c r="CE7" i="4" s="1"/>
  <c r="CF7" i="4" s="1"/>
  <c r="BK13" i="4"/>
  <c r="BK14" i="4" s="1"/>
  <c r="BO16" i="4"/>
  <c r="BO15" i="4" s="1"/>
  <c r="BO13" i="4"/>
  <c r="BO14" i="4" s="1"/>
  <c r="BO19" i="4"/>
  <c r="BS19" i="4"/>
  <c r="BS16" i="4"/>
  <c r="BS15" i="4" s="1"/>
  <c r="BW13" i="4"/>
  <c r="BW14" i="4" s="1"/>
  <c r="BW19" i="4"/>
  <c r="BW16" i="4"/>
  <c r="BW15" i="4" s="1"/>
  <c r="AB67" i="3"/>
  <c r="AB70" i="3" s="1"/>
  <c r="AB69" i="3"/>
  <c r="AF67" i="3"/>
  <c r="AF70" i="3" s="1"/>
  <c r="AF69" i="3"/>
  <c r="AJ67" i="3"/>
  <c r="AJ70" i="3" s="1"/>
  <c r="AJ69" i="3"/>
  <c r="AF68" i="3"/>
  <c r="AD71" i="3"/>
  <c r="AH71" i="3"/>
  <c r="AL71" i="3"/>
  <c r="Z150" i="3"/>
  <c r="Z151" i="3" s="1"/>
  <c r="Z166" i="3" s="1"/>
  <c r="O148" i="3"/>
  <c r="P144" i="3"/>
  <c r="X144" i="3"/>
  <c r="AF144" i="3"/>
  <c r="P148" i="3"/>
  <c r="X148" i="3"/>
  <c r="AF148" i="3"/>
  <c r="L150" i="3"/>
  <c r="T150" i="3"/>
  <c r="T151" i="3" s="1"/>
  <c r="AB150" i="3"/>
  <c r="AB151" i="3" s="1"/>
  <c r="AB166" i="3" s="1"/>
  <c r="AJ150" i="3"/>
  <c r="AJ151" i="3" s="1"/>
  <c r="AJ166" i="3" s="1"/>
  <c r="AN154" i="3"/>
  <c r="AN158" i="3"/>
  <c r="I162" i="3"/>
  <c r="P162" i="3"/>
  <c r="AE164" i="3"/>
  <c r="CB8" i="4"/>
  <c r="CC8" i="4" s="1"/>
  <c r="BZ8" i="4"/>
  <c r="Q161" i="3"/>
  <c r="Q159" i="3"/>
  <c r="Q160" i="3" s="1"/>
  <c r="Q73" i="3"/>
  <c r="Q150" i="3"/>
  <c r="U161" i="3"/>
  <c r="U159" i="3"/>
  <c r="U160" i="3" s="1"/>
  <c r="U73" i="3"/>
  <c r="U150" i="3"/>
  <c r="U151" i="3" s="1"/>
  <c r="AC161" i="3"/>
  <c r="AC73" i="3"/>
  <c r="AC150" i="3"/>
  <c r="AC151" i="3" s="1"/>
  <c r="AC166" i="3" s="1"/>
  <c r="AG161" i="3"/>
  <c r="AG73" i="3"/>
  <c r="AG150" i="3"/>
  <c r="AG151" i="3" s="1"/>
  <c r="AG166" i="3" s="1"/>
  <c r="AK161" i="3"/>
  <c r="AK73" i="3"/>
  <c r="AK150" i="3"/>
  <c r="AK151" i="3" s="1"/>
  <c r="AK166" i="3" s="1"/>
  <c r="S162" i="3"/>
  <c r="S154" i="3"/>
  <c r="S148" i="3"/>
  <c r="Q144" i="3"/>
  <c r="Q148" i="3"/>
  <c r="Y148" i="3"/>
  <c r="AG148" i="3"/>
  <c r="O150" i="3"/>
  <c r="W150" i="3"/>
  <c r="W151" i="3" s="1"/>
  <c r="W166" i="3" s="1"/>
  <c r="K159" i="3"/>
  <c r="S159" i="3"/>
  <c r="S160" i="3" s="1"/>
  <c r="N161" i="3"/>
  <c r="AF16" i="4"/>
  <c r="AF15" i="4" s="1"/>
  <c r="AF13" i="4"/>
  <c r="AF14" i="4" s="1"/>
  <c r="BH20" i="4"/>
  <c r="BH23" i="4"/>
  <c r="BN20" i="4"/>
  <c r="AC159" i="3"/>
  <c r="AG159" i="3"/>
  <c r="AK159" i="3"/>
  <c r="I159" i="3"/>
  <c r="V150" i="3"/>
  <c r="V151" i="3" s="1"/>
  <c r="V166" i="3" s="1"/>
  <c r="V65" i="3"/>
  <c r="V146" i="3"/>
  <c r="M11" i="2" s="1"/>
  <c r="V144" i="3"/>
  <c r="M149" i="3"/>
  <c r="M145" i="3"/>
  <c r="D10" i="2" s="1"/>
  <c r="O144" i="3"/>
  <c r="O71" i="3"/>
  <c r="J150" i="3"/>
  <c r="J146" i="3"/>
  <c r="J144" i="3"/>
  <c r="R150" i="3"/>
  <c r="R151" i="3" s="1"/>
  <c r="R146" i="3"/>
  <c r="I11" i="2" s="1"/>
  <c r="R144" i="3"/>
  <c r="AD150" i="3"/>
  <c r="AD151" i="3" s="1"/>
  <c r="AD166" i="3" s="1"/>
  <c r="AD146" i="3"/>
  <c r="U11" i="2" s="1"/>
  <c r="AH150" i="3"/>
  <c r="AH151" i="3" s="1"/>
  <c r="AH166" i="3" s="1"/>
  <c r="AH146" i="3"/>
  <c r="Y11" i="2" s="1"/>
  <c r="AL150" i="3"/>
  <c r="AL151" i="3" s="1"/>
  <c r="AL166" i="3" s="1"/>
  <c r="AL146" i="3"/>
  <c r="J162" i="3"/>
  <c r="J148" i="3"/>
  <c r="AD162" i="3"/>
  <c r="AD148" i="3"/>
  <c r="AH162" i="3"/>
  <c r="AH148" i="3"/>
  <c r="AL162" i="3"/>
  <c r="AL148" i="3"/>
  <c r="I142" i="3"/>
  <c r="I141" i="3" s="1"/>
  <c r="AC141" i="3"/>
  <c r="T8" i="2" s="1"/>
  <c r="T7" i="2" s="1"/>
  <c r="AK141" i="3"/>
  <c r="AB8" i="2" s="1"/>
  <c r="L144" i="3"/>
  <c r="T144" i="3"/>
  <c r="AB144" i="3"/>
  <c r="AJ144" i="3"/>
  <c r="U146" i="3"/>
  <c r="L11" i="2" s="1"/>
  <c r="AC146" i="3"/>
  <c r="T11" i="2" s="1"/>
  <c r="AK146" i="3"/>
  <c r="AB11" i="2" s="1"/>
  <c r="L148" i="3"/>
  <c r="T148" i="3"/>
  <c r="AB148" i="3"/>
  <c r="AJ148" i="3"/>
  <c r="X150" i="3"/>
  <c r="X151" i="3" s="1"/>
  <c r="X166" i="3" s="1"/>
  <c r="AF150" i="3"/>
  <c r="AF151" i="3" s="1"/>
  <c r="AF166" i="3" s="1"/>
  <c r="AN155" i="3"/>
  <c r="F159" i="3"/>
  <c r="BN16" i="4"/>
  <c r="BN15" i="4" s="1"/>
  <c r="AC68" i="3"/>
  <c r="AG68" i="3"/>
  <c r="AK68" i="3"/>
  <c r="N144" i="3"/>
  <c r="Z144" i="3"/>
  <c r="X145" i="3"/>
  <c r="O10" i="2" s="1"/>
  <c r="O9" i="2" s="1"/>
  <c r="N146" i="3"/>
  <c r="E11" i="2" s="1"/>
  <c r="Z146" i="3"/>
  <c r="Q11" i="2" s="1"/>
  <c r="N148" i="3"/>
  <c r="R148" i="3"/>
  <c r="N154" i="3"/>
  <c r="L159" i="3"/>
  <c r="AA19" i="4"/>
  <c r="AA16" i="4"/>
  <c r="AA15" i="4" s="1"/>
  <c r="AA13" i="4"/>
  <c r="AA14" i="4" s="1"/>
  <c r="AM13" i="4"/>
  <c r="AM14" i="4" s="1"/>
  <c r="AM19" i="4"/>
  <c r="BY7" i="4"/>
  <c r="AZ16" i="4"/>
  <c r="AZ15" i="4" s="1"/>
  <c r="AZ13" i="4"/>
  <c r="AZ14" i="4" s="1"/>
  <c r="BH16" i="4"/>
  <c r="BH15" i="4" s="1"/>
  <c r="BH19" i="4"/>
  <c r="BH25" i="4" s="1"/>
  <c r="BL16" i="4"/>
  <c r="BL15" i="4" s="1"/>
  <c r="BL13" i="4"/>
  <c r="BL19" i="4"/>
  <c r="BP16" i="4"/>
  <c r="BP15" i="4" s="1"/>
  <c r="BP13" i="4"/>
  <c r="BP14" i="4" s="1"/>
  <c r="BX16" i="4"/>
  <c r="BX15" i="4" s="1"/>
  <c r="BX19" i="4"/>
  <c r="AG16" i="4"/>
  <c r="AG15" i="4" s="1"/>
  <c r="AG13" i="4"/>
  <c r="BX13" i="4"/>
  <c r="BX14" i="4" s="1"/>
  <c r="G15" i="4"/>
  <c r="K15" i="4"/>
  <c r="AM16" i="4"/>
  <c r="AM15" i="4" s="1"/>
  <c r="BD19" i="4"/>
  <c r="K144" i="3"/>
  <c r="S144" i="3"/>
  <c r="W144" i="3"/>
  <c r="K148" i="3"/>
  <c r="W148" i="3"/>
  <c r="AA148" i="3"/>
  <c r="AE148" i="3"/>
  <c r="AI148" i="3"/>
  <c r="AB15" i="4"/>
  <c r="AU13" i="4"/>
  <c r="AU14" i="4" s="1"/>
  <c r="BD13" i="4"/>
  <c r="BD14" i="4" s="1"/>
  <c r="AQ16" i="4"/>
  <c r="AQ15" i="4" s="1"/>
  <c r="BP19" i="4"/>
  <c r="AV16" i="4"/>
  <c r="AV15" i="4" s="1"/>
  <c r="N17" i="4"/>
  <c r="N13" i="4"/>
  <c r="N14" i="4" s="1"/>
  <c r="AK13" i="4"/>
  <c r="AK14" i="4" s="1"/>
  <c r="AV13" i="4"/>
  <c r="AV14" i="4" s="1"/>
  <c r="BE13" i="4"/>
  <c r="BE14" i="4" s="1"/>
  <c r="BU13" i="4"/>
  <c r="BU14" i="4" s="1"/>
  <c r="BE16" i="4"/>
  <c r="BE15" i="4" s="1"/>
  <c r="AR19" i="4"/>
  <c r="AW19" i="4"/>
  <c r="BA19" i="4"/>
  <c r="BQ19" i="4"/>
  <c r="BG23" i="4"/>
  <c r="BB19" i="4"/>
  <c r="BB13" i="4"/>
  <c r="BB14" i="4" s="1"/>
  <c r="BF19" i="4"/>
  <c r="BF25" i="4" s="1"/>
  <c r="BF13" i="4"/>
  <c r="BF14" i="4" s="1"/>
  <c r="BJ19" i="4"/>
  <c r="BJ13" i="4"/>
  <c r="BJ14" i="4" s="1"/>
  <c r="BN19" i="4"/>
  <c r="BN13" i="4"/>
  <c r="BN14" i="4" s="1"/>
  <c r="BR19" i="4"/>
  <c r="BR13" i="4"/>
  <c r="BR14" i="4" s="1"/>
  <c r="BV19" i="4"/>
  <c r="BV13" i="4"/>
  <c r="BV14" i="4" s="1"/>
  <c r="AB13" i="4"/>
  <c r="AB14" i="4" s="1"/>
  <c r="AR13" i="4"/>
  <c r="AR14" i="4" s="1"/>
  <c r="BA13" i="4"/>
  <c r="BA14" i="4" s="1"/>
  <c r="BQ13" i="4"/>
  <c r="BQ14" i="4" s="1"/>
  <c r="N15" i="4"/>
  <c r="BA16" i="4"/>
  <c r="BA15" i="4" s="1"/>
  <c r="BF16" i="4"/>
  <c r="BF15" i="4" s="1"/>
  <c r="BV16" i="4"/>
  <c r="BV15" i="4" s="1"/>
  <c r="AN19" i="4"/>
  <c r="BL14" i="4" l="1"/>
  <c r="BL11" i="4"/>
  <c r="Q17" i="2"/>
  <c r="Q16" i="2" s="1"/>
  <c r="Q22" i="2"/>
  <c r="Q21" i="2" s="1"/>
  <c r="AH142" i="3"/>
  <c r="AH141" i="3" s="1"/>
  <c r="Y8" i="2" s="1"/>
  <c r="AH38" i="3"/>
  <c r="L27" i="1"/>
  <c r="L23" i="1"/>
  <c r="L40" i="1"/>
  <c r="Q9" i="2"/>
  <c r="Y151" i="3"/>
  <c r="AN150" i="3"/>
  <c r="O160" i="3"/>
  <c r="O29" i="1"/>
  <c r="O24" i="1"/>
  <c r="O25" i="1" s="1"/>
  <c r="G25" i="1"/>
  <c r="J24" i="1"/>
  <c r="J29" i="1"/>
  <c r="K24" i="1"/>
  <c r="K29" i="1"/>
  <c r="AG14" i="4"/>
  <c r="AG11" i="4"/>
  <c r="AG12" i="4" s="1"/>
  <c r="AB17" i="2"/>
  <c r="AB16" i="2" s="1"/>
  <c r="AB22" i="2"/>
  <c r="AB21" i="2" s="1"/>
  <c r="Y17" i="2"/>
  <c r="Y16" i="2" s="1"/>
  <c r="Y9" i="2"/>
  <c r="Y22" i="2"/>
  <c r="Y21" i="2" s="1"/>
  <c r="AK160" i="3"/>
  <c r="Z142" i="3"/>
  <c r="Z141" i="3" s="1"/>
  <c r="Q8" i="2" s="1"/>
  <c r="Q7" i="2" s="1"/>
  <c r="Z38" i="3"/>
  <c r="Z6" i="3"/>
  <c r="P17" i="2"/>
  <c r="P16" i="2" s="1"/>
  <c r="P22" i="2"/>
  <c r="P21" i="2" s="1"/>
  <c r="N24" i="1"/>
  <c r="N29" i="1"/>
  <c r="G29" i="1"/>
  <c r="G24" i="1"/>
  <c r="P29" i="1"/>
  <c r="P24" i="1"/>
  <c r="P25" i="1" s="1"/>
  <c r="BZ7" i="4"/>
  <c r="CA7" i="4"/>
  <c r="T17" i="2"/>
  <c r="T16" i="2" s="1"/>
  <c r="T22" i="2"/>
  <c r="T21" i="2" s="1"/>
  <c r="I17" i="2"/>
  <c r="I9" i="2"/>
  <c r="I7" i="2" s="1"/>
  <c r="I22" i="2"/>
  <c r="I21" i="2" s="1"/>
  <c r="AG160" i="3"/>
  <c r="AL142" i="3"/>
  <c r="AL141" i="3" s="1"/>
  <c r="AL160" i="3" s="1"/>
  <c r="AL38" i="3"/>
  <c r="AD142" i="3"/>
  <c r="AD141" i="3" s="1"/>
  <c r="U8" i="2" s="1"/>
  <c r="U7" i="2" s="1"/>
  <c r="AD38" i="3"/>
  <c r="P9" i="2"/>
  <c r="AC16" i="3"/>
  <c r="AB18" i="3"/>
  <c r="X160" i="3"/>
  <c r="H40" i="1"/>
  <c r="H27" i="1"/>
  <c r="H23" i="1"/>
  <c r="H30" i="1"/>
  <c r="AN149" i="3"/>
  <c r="Y142" i="3"/>
  <c r="Y141" i="3" s="1"/>
  <c r="Y38" i="3"/>
  <c r="C25" i="1"/>
  <c r="R23" i="1"/>
  <c r="O40" i="1"/>
  <c r="N25" i="1"/>
  <c r="F24" i="1"/>
  <c r="F25" i="1" s="1"/>
  <c r="F29" i="1"/>
  <c r="G30" i="1"/>
  <c r="J40" i="1"/>
  <c r="P40" i="1"/>
  <c r="K25" i="1"/>
  <c r="E25" i="1"/>
  <c r="E17" i="2"/>
  <c r="E16" i="2" s="1"/>
  <c r="E22" i="2"/>
  <c r="E21" i="2" s="1"/>
  <c r="E9" i="2"/>
  <c r="E7" i="2" s="1"/>
  <c r="M17" i="2"/>
  <c r="M16" i="2" s="1"/>
  <c r="M9" i="2"/>
  <c r="M7" i="2" s="1"/>
  <c r="M22" i="2"/>
  <c r="M21" i="2" s="1"/>
  <c r="M73" i="3"/>
  <c r="M150" i="3"/>
  <c r="M146" i="3"/>
  <c r="D11" i="2" s="1"/>
  <c r="M72" i="3"/>
  <c r="M144" i="3"/>
  <c r="AD160" i="3"/>
  <c r="I19" i="2"/>
  <c r="I18" i="2" s="1"/>
  <c r="I3" i="2"/>
  <c r="D27" i="1"/>
  <c r="D23" i="1"/>
  <c r="D30" i="1"/>
  <c r="L17" i="2"/>
  <c r="L16" i="2" s="1"/>
  <c r="L22" i="2"/>
  <c r="L21" i="2" s="1"/>
  <c r="U17" i="2"/>
  <c r="U16" i="2" s="1"/>
  <c r="U9" i="2"/>
  <c r="U22" i="2"/>
  <c r="U21" i="2" s="1"/>
  <c r="M159" i="3"/>
  <c r="M160" i="3" s="1"/>
  <c r="AC160" i="3"/>
  <c r="M161" i="3"/>
  <c r="AB9" i="2"/>
  <c r="AB7" i="2" s="1"/>
  <c r="Z23" i="3"/>
  <c r="AG61" i="3"/>
  <c r="AG64" i="3" s="1"/>
  <c r="R27" i="1"/>
  <c r="C29" i="1"/>
  <c r="C24" i="1"/>
  <c r="N30" i="1"/>
  <c r="F30" i="1"/>
  <c r="G40" i="1"/>
  <c r="J25" i="1"/>
  <c r="P30" i="1"/>
  <c r="K30" i="1"/>
  <c r="M24" i="1"/>
  <c r="M25" i="1" s="1"/>
  <c r="M29" i="1"/>
  <c r="I24" i="1"/>
  <c r="I25" i="1" s="1"/>
  <c r="I29" i="1"/>
  <c r="E29" i="1"/>
  <c r="E24" i="1"/>
  <c r="D29" i="1" l="1"/>
  <c r="D24" i="1"/>
  <c r="D25" i="1" s="1"/>
  <c r="Z2" i="3"/>
  <c r="Q14" i="2" s="1"/>
  <c r="Q34" i="2" s="1"/>
  <c r="Q40" i="2" s="1"/>
  <c r="Q41" i="2" s="1"/>
  <c r="Z7" i="3"/>
  <c r="AA6" i="3"/>
  <c r="Y166" i="3"/>
  <c r="AN151" i="3"/>
  <c r="L29" i="1"/>
  <c r="L24" i="1"/>
  <c r="Y7" i="2"/>
  <c r="BL12" i="4"/>
  <c r="BM11" i="4"/>
  <c r="D17" i="2"/>
  <c r="D16" i="2" s="1"/>
  <c r="D22" i="2"/>
  <c r="D21" i="2" s="1"/>
  <c r="I16" i="2"/>
  <c r="Z160" i="3"/>
  <c r="L25" i="1"/>
  <c r="Z24" i="3"/>
  <c r="AA23" i="3"/>
  <c r="AH160" i="3"/>
  <c r="D40" i="1"/>
  <c r="P8" i="2"/>
  <c r="P7" i="2" s="1"/>
  <c r="AN141" i="3"/>
  <c r="Y160" i="3"/>
  <c r="H29" i="1"/>
  <c r="H24" i="1"/>
  <c r="H25" i="1" s="1"/>
  <c r="AD16" i="3"/>
  <c r="AC18" i="3"/>
  <c r="D9" i="2"/>
  <c r="D7" i="2" s="1"/>
  <c r="L30" i="1"/>
  <c r="R30" i="1" s="1"/>
  <c r="R25" i="1" l="1"/>
  <c r="AB23" i="3"/>
  <c r="AA24" i="3"/>
  <c r="R24" i="1"/>
  <c r="AE16" i="3"/>
  <c r="AD18" i="3"/>
  <c r="BN11" i="4"/>
  <c r="BM12" i="4"/>
  <c r="AA2" i="3"/>
  <c r="R14" i="2" s="1"/>
  <c r="R34" i="2" s="1"/>
  <c r="R40" i="2" s="1"/>
  <c r="R41" i="2" s="1"/>
  <c r="AA7" i="3"/>
  <c r="AB6" i="3"/>
  <c r="AB24" i="3" l="1"/>
  <c r="AC23" i="3"/>
  <c r="AB7" i="3"/>
  <c r="AC6" i="3"/>
  <c r="AB2" i="3"/>
  <c r="S14" i="2" s="1"/>
  <c r="S34" i="2" s="1"/>
  <c r="S40" i="2" s="1"/>
  <c r="S41" i="2" s="1"/>
  <c r="BO11" i="4"/>
  <c r="BN12" i="4"/>
  <c r="AE18" i="3"/>
  <c r="AF16" i="3"/>
  <c r="AD6" i="3" l="1"/>
  <c r="AC2" i="3"/>
  <c r="T14" i="2" s="1"/>
  <c r="T34" i="2" s="1"/>
  <c r="T40" i="2" s="1"/>
  <c r="T41" i="2" s="1"/>
  <c r="AC7" i="3"/>
  <c r="BO12" i="4"/>
  <c r="BP11" i="4"/>
  <c r="AC24" i="3"/>
  <c r="AD23" i="3"/>
  <c r="AG16" i="3"/>
  <c r="AF18" i="3"/>
  <c r="AH16" i="3" l="1"/>
  <c r="AG18" i="3"/>
  <c r="AD24" i="3"/>
  <c r="AE23" i="3"/>
  <c r="BP12" i="4"/>
  <c r="BQ11" i="4"/>
  <c r="AD2" i="3"/>
  <c r="U14" i="2" s="1"/>
  <c r="U34" i="2" s="1"/>
  <c r="U40" i="2" s="1"/>
  <c r="U41" i="2" s="1"/>
  <c r="AD7" i="3"/>
  <c r="AE6" i="3"/>
  <c r="AF23" i="3" l="1"/>
  <c r="AE24" i="3"/>
  <c r="BR11" i="4"/>
  <c r="BQ12" i="4"/>
  <c r="AE2" i="3"/>
  <c r="V14" i="2" s="1"/>
  <c r="V34" i="2" s="1"/>
  <c r="V40" i="2" s="1"/>
  <c r="V41" i="2" s="1"/>
  <c r="AE7" i="3"/>
  <c r="AF6" i="3"/>
  <c r="AI16" i="3"/>
  <c r="AH18" i="3"/>
  <c r="AI18" i="3" l="1"/>
  <c r="AJ16" i="3"/>
  <c r="AF7" i="3"/>
  <c r="AG6" i="3"/>
  <c r="AF2" i="3"/>
  <c r="W14" i="2" s="1"/>
  <c r="W34" i="2" s="1"/>
  <c r="W40" i="2" s="1"/>
  <c r="W41" i="2" s="1"/>
  <c r="BR12" i="4"/>
  <c r="BS11" i="4"/>
  <c r="AF24" i="3"/>
  <c r="AG23" i="3"/>
  <c r="AH6" i="3" l="1"/>
  <c r="AG2" i="3"/>
  <c r="X14" i="2" s="1"/>
  <c r="X34" i="2" s="1"/>
  <c r="X40" i="2" s="1"/>
  <c r="X41" i="2" s="1"/>
  <c r="AG7" i="3"/>
  <c r="BS12" i="4"/>
  <c r="BT11" i="4"/>
  <c r="AK16" i="3"/>
  <c r="AJ18" i="3"/>
  <c r="AG24" i="3"/>
  <c r="AH23" i="3"/>
  <c r="AL16" i="3" l="1"/>
  <c r="AL18" i="3" s="1"/>
  <c r="AK18" i="3"/>
  <c r="AH24" i="3"/>
  <c r="AI23" i="3"/>
  <c r="BT12" i="4"/>
  <c r="BU11" i="4"/>
  <c r="AH2" i="3"/>
  <c r="Y14" i="2" s="1"/>
  <c r="Y34" i="2" s="1"/>
  <c r="Y40" i="2" s="1"/>
  <c r="Y41" i="2" s="1"/>
  <c r="AH7" i="3"/>
  <c r="AI6" i="3"/>
  <c r="AJ23" i="3" l="1"/>
  <c r="AI24" i="3"/>
  <c r="BV11" i="4"/>
  <c r="BU12" i="4"/>
  <c r="AI2" i="3"/>
  <c r="Z14" i="2" s="1"/>
  <c r="Z34" i="2" s="1"/>
  <c r="Z40" i="2" s="1"/>
  <c r="Z41" i="2" s="1"/>
  <c r="AI7" i="3"/>
  <c r="AJ6" i="3"/>
  <c r="AJ7" i="3" l="1"/>
  <c r="AK6" i="3"/>
  <c r="AJ2" i="3"/>
  <c r="AA14" i="2" s="1"/>
  <c r="AA34" i="2" s="1"/>
  <c r="AA40" i="2" s="1"/>
  <c r="AA41" i="2" s="1"/>
  <c r="BV12" i="4"/>
  <c r="BW11" i="4"/>
  <c r="AJ24" i="3"/>
  <c r="AK23" i="3"/>
  <c r="AK24" i="3" l="1"/>
  <c r="AL23" i="3"/>
  <c r="AL24" i="3" s="1"/>
  <c r="AL6" i="3"/>
  <c r="AK2" i="3"/>
  <c r="AB14" i="2" s="1"/>
  <c r="AB34" i="2" s="1"/>
  <c r="AB40" i="2" s="1"/>
  <c r="AB41" i="2" s="1"/>
  <c r="AK7" i="3"/>
  <c r="BW12" i="4"/>
  <c r="BX11" i="4"/>
  <c r="BX12" i="4" s="1"/>
  <c r="AL2" i="3" l="1"/>
  <c r="AL7" i="3"/>
</calcChain>
</file>

<file path=xl/comments1.xml><?xml version="1.0" encoding="utf-8"?>
<comments xmlns="http://schemas.openxmlformats.org/spreadsheetml/2006/main">
  <authors>
    <author>Quantumuser</author>
  </authors>
  <commentList>
    <comment ref="A34" authorId="0" shapeId="0">
      <text>
        <r>
          <rPr>
            <b/>
            <sz val="9"/>
            <color indexed="81"/>
            <rFont val="Tahoma"/>
            <family val="2"/>
          </rPr>
          <t>Quantumuser:</t>
        </r>
        <r>
          <rPr>
            <sz val="9"/>
            <color indexed="81"/>
            <rFont val="Tahoma"/>
            <family val="2"/>
          </rPr>
          <t xml:space="preserve">
แต่ละจุดห้ามต่ำกว่า GSP 6 KT, MT 7 KT, BRP 1 KT = 14 KT</t>
        </r>
      </text>
    </comment>
  </commentList>
</comments>
</file>

<file path=xl/comments2.xml><?xml version="1.0" encoding="utf-8"?>
<comments xmlns="http://schemas.openxmlformats.org/spreadsheetml/2006/main">
  <authors>
    <author>Quantumuser</author>
    <author>Windows User</author>
  </authors>
  <commentList>
    <comment ref="J8" authorId="0" shapeId="0">
      <text>
        <r>
          <rPr>
            <b/>
            <sz val="9"/>
            <color indexed="81"/>
            <rFont val="Tahoma"/>
            <family val="2"/>
          </rPr>
          <t>Quantumuser:</t>
        </r>
        <r>
          <rPr>
            <sz val="9"/>
            <color indexed="81"/>
            <rFont val="Tahoma"/>
            <family val="2"/>
          </rPr>
          <t xml:space="preserve">
rev0 = 26 KT
rev1 = 33 KT
</t>
        </r>
      </text>
    </comment>
    <comment ref="K8" authorId="0" shapeId="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text>
        <r>
          <rPr>
            <b/>
            <sz val="9"/>
            <color indexed="81"/>
            <rFont val="Tahoma"/>
            <family val="2"/>
          </rPr>
          <t>Windows User:</t>
        </r>
        <r>
          <rPr>
            <sz val="9"/>
            <color indexed="81"/>
            <rFont val="Tahoma"/>
            <family val="2"/>
          </rPr>
          <t xml:space="preserve">
ดึง import ได้ max 3 KT</t>
        </r>
      </text>
    </comment>
    <comment ref="S8" authorId="1" shapeId="0">
      <text>
        <r>
          <rPr>
            <b/>
            <sz val="9"/>
            <color indexed="81"/>
            <rFont val="Tahoma"/>
            <family val="2"/>
          </rPr>
          <t>Windows User:</t>
        </r>
        <r>
          <rPr>
            <sz val="9"/>
            <color indexed="81"/>
            <rFont val="Tahoma"/>
            <family val="2"/>
          </rPr>
          <t xml:space="preserve">
import ที่สามารถดึงได้ 13 KT
</t>
        </r>
      </text>
    </comment>
    <comment ref="U8" authorId="1" shapeId="0">
      <text>
        <r>
          <rPr>
            <b/>
            <sz val="9"/>
            <color indexed="81"/>
            <rFont val="Tahoma"/>
            <family val="2"/>
          </rPr>
          <t>Windows User:</t>
        </r>
        <r>
          <rPr>
            <sz val="9"/>
            <color indexed="81"/>
            <rFont val="Tahoma"/>
            <family val="2"/>
          </rPr>
          <t xml:space="preserve">
GC 6 
PTTOR 4</t>
        </r>
      </text>
    </comment>
    <comment ref="U9" authorId="1" shapeId="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M31" authorId="0" shapeId="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31" authorId="0" shapeId="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G42" authorId="0" shapeId="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42" authorId="0" shapeId="0">
      <text>
        <r>
          <rPr>
            <b/>
            <sz val="9"/>
            <color indexed="81"/>
            <rFont val="Tahoma"/>
            <family val="2"/>
          </rPr>
          <t>Quantumuser:</t>
        </r>
        <r>
          <rPr>
            <sz val="9"/>
            <color indexed="81"/>
            <rFont val="Tahoma"/>
            <family val="2"/>
          </rPr>
          <t xml:space="preserve">
GSP6 มีปัญหา expander
2-5 ส.ค. 62 TD 10%
6-12 ส.ค. 62 ธฏ 25%</t>
        </r>
      </text>
    </comment>
    <comment ref="I42" authorId="1" shapeId="0">
      <text>
        <r>
          <rPr>
            <b/>
            <sz val="9"/>
            <color indexed="81"/>
            <rFont val="Tahoma"/>
            <family val="2"/>
          </rPr>
          <t>Windows User:</t>
        </r>
        <r>
          <rPr>
            <sz val="9"/>
            <color indexed="81"/>
            <rFont val="Tahoma"/>
            <family val="2"/>
          </rPr>
          <t xml:space="preserve">
During 13-17 Sep GSP6 reducr feed gas 10% to fix reboiler leakage problem</t>
        </r>
      </text>
    </comment>
    <comment ref="J42" authorId="1" shapeId="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42" authorId="0" shapeId="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42" authorId="0" shapeId="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42" authorId="0" shapeId="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42" authorId="0" shapeId="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42" authorId="1" shapeId="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42" authorId="0" shapeId="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42" authorId="0" shapeId="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42" authorId="0" shapeId="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42" authorId="0" shapeId="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42" authorId="0" shapeId="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43" authorId="1" shapeId="0">
      <text>
        <r>
          <rPr>
            <b/>
            <sz val="9"/>
            <color indexed="81"/>
            <rFont val="Tahoma"/>
            <family val="2"/>
          </rPr>
          <t>Windows User:</t>
        </r>
        <r>
          <rPr>
            <sz val="9"/>
            <color indexed="81"/>
            <rFont val="Tahoma"/>
            <family val="2"/>
          </rPr>
          <t xml:space="preserve">
rev0= 0.6 KT
rev1 = 0 KT IRPC ESD
</t>
        </r>
      </text>
    </comment>
    <comment ref="V43" authorId="1" shapeId="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43" authorId="1" shapeId="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44" authorId="0" shapeId="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44" authorId="0" shapeId="0">
      <text>
        <r>
          <rPr>
            <b/>
            <sz val="9"/>
            <color indexed="81"/>
            <rFont val="Tahoma"/>
            <family val="2"/>
          </rPr>
          <t>Quantumuser:</t>
        </r>
        <r>
          <rPr>
            <sz val="9"/>
            <color indexed="81"/>
            <rFont val="Tahoma"/>
            <family val="2"/>
          </rPr>
          <t xml:space="preserve">
rev0 = 21
rev1= 23
</t>
        </r>
      </text>
    </comment>
    <comment ref="N44" authorId="0" shapeId="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44" authorId="0" shapeId="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44" authorId="1" shapeId="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44" authorId="1" shapeId="0">
      <text>
        <r>
          <rPr>
            <b/>
            <sz val="9"/>
            <color indexed="81"/>
            <rFont val="Tahoma"/>
            <family val="2"/>
          </rPr>
          <t>Windows User:</t>
        </r>
        <r>
          <rPr>
            <sz val="9"/>
            <color indexed="81"/>
            <rFont val="Tahoma"/>
            <family val="2"/>
          </rPr>
          <t xml:space="preserve">
rev0 = 0
rev1 = 1.8
rev2 = 1.2</t>
        </r>
      </text>
    </comment>
    <comment ref="W44" authorId="0" shapeId="0">
      <text>
        <r>
          <rPr>
            <b/>
            <sz val="9"/>
            <color indexed="81"/>
            <rFont val="Tahoma"/>
            <family val="2"/>
          </rPr>
          <t>Quantumuser:</t>
        </r>
        <r>
          <rPr>
            <sz val="9"/>
            <color indexed="81"/>
            <rFont val="Tahoma"/>
            <family val="2"/>
          </rPr>
          <t xml:space="preserve">
rev0 = 11
rev1 = 13 GC ขอปรับเพิ่ม</t>
        </r>
      </text>
    </comment>
    <comment ref="X44" authorId="1" shapeId="0">
      <text>
        <r>
          <rPr>
            <b/>
            <sz val="9"/>
            <color indexed="81"/>
            <rFont val="Tahoma"/>
            <family val="2"/>
          </rPr>
          <t>Windows User:</t>
        </r>
        <r>
          <rPr>
            <sz val="9"/>
            <color indexed="81"/>
            <rFont val="Tahoma"/>
            <family val="2"/>
          </rPr>
          <t xml:space="preserve">
rev0 = 14
rev1 = 11 KT เหตุ GSP5 เลื่อน TD50% ถึง 21 Jan'21
</t>
        </r>
      </text>
    </comment>
    <comment ref="Y44" authorId="1" shapeId="0">
      <text>
        <r>
          <rPr>
            <b/>
            <sz val="9"/>
            <color indexed="81"/>
            <rFont val="Tahoma"/>
            <family val="2"/>
          </rPr>
          <t>Windows User:</t>
        </r>
        <r>
          <rPr>
            <sz val="9"/>
            <color indexed="81"/>
            <rFont val="Tahoma"/>
            <family val="2"/>
          </rPr>
          <t xml:space="preserve">
rev0 = 10
rev1 = 2.5 KT เหตุ GSP5 เลื่อน TD50% ถึง 21 Jan'21
</t>
        </r>
      </text>
    </comment>
    <comment ref="P45" authorId="1" shapeId="0">
      <text>
        <r>
          <rPr>
            <b/>
            <sz val="9"/>
            <color indexed="81"/>
            <rFont val="Tahoma"/>
            <family val="2"/>
          </rPr>
          <t>Windows User:</t>
        </r>
        <r>
          <rPr>
            <sz val="9"/>
            <color indexed="81"/>
            <rFont val="Tahoma"/>
            <family val="2"/>
          </rPr>
          <t xml:space="preserve">
rev0 = 6.3
rev1 = 5.1
rev2 = 4.3
</t>
        </r>
      </text>
    </comment>
    <comment ref="Q45" authorId="1" shapeId="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45" authorId="1" shapeId="0">
      <text>
        <r>
          <rPr>
            <b/>
            <sz val="9"/>
            <color indexed="81"/>
            <rFont val="Tahoma"/>
            <family val="2"/>
          </rPr>
          <t>Windows User:</t>
        </r>
        <r>
          <rPr>
            <sz val="9"/>
            <color indexed="81"/>
            <rFont val="Tahoma"/>
            <family val="2"/>
          </rPr>
          <t xml:space="preserve">
rev0 = 3.6
rev1 = 3.0 เนื่องจาก WP under </t>
        </r>
      </text>
    </comment>
    <comment ref="V45" authorId="1" shapeId="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45" authorId="0" shapeId="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46" authorId="0" shapeId="0">
      <text>
        <r>
          <rPr>
            <b/>
            <sz val="9"/>
            <color indexed="81"/>
            <rFont val="Tahoma"/>
            <family val="2"/>
          </rPr>
          <t>Quantumuser:</t>
        </r>
        <r>
          <rPr>
            <sz val="9"/>
            <color indexed="81"/>
            <rFont val="Tahoma"/>
            <family val="2"/>
          </rPr>
          <t xml:space="preserve">
rrev0 = 5.7
rrev1 = 6.22</t>
        </r>
      </text>
    </comment>
    <comment ref="K46" authorId="0" shapeId="0">
      <text>
        <r>
          <rPr>
            <b/>
            <sz val="9"/>
            <color indexed="81"/>
            <rFont val="Tahoma"/>
            <family val="2"/>
          </rPr>
          <t>Quantumuser:</t>
        </r>
        <r>
          <rPr>
            <sz val="9"/>
            <color indexed="81"/>
            <rFont val="Tahoma"/>
            <family val="2"/>
          </rPr>
          <t xml:space="preserve">
rev0 = 5.85
rev1 = 6.63
</t>
        </r>
      </text>
    </comment>
    <comment ref="R46" authorId="1" shapeId="0">
      <text>
        <r>
          <rPr>
            <b/>
            <sz val="9"/>
            <color indexed="81"/>
            <rFont val="Tahoma"/>
            <family val="2"/>
          </rPr>
          <t>Windows User:</t>
        </r>
        <r>
          <rPr>
            <sz val="9"/>
            <color indexed="81"/>
            <rFont val="Tahoma"/>
            <family val="2"/>
          </rPr>
          <t xml:space="preserve">
rev0 = 5.4
rev 1= 5.7 PTTOR ขอรับเพิ่ม 0.3 KT
</t>
        </r>
      </text>
    </comment>
    <comment ref="V46" authorId="0" shapeId="0">
      <text>
        <r>
          <rPr>
            <b/>
            <sz val="9"/>
            <color indexed="81"/>
            <rFont val="Tahoma"/>
            <family val="2"/>
          </rPr>
          <t>Quantumuser:</t>
        </r>
        <r>
          <rPr>
            <sz val="9"/>
            <color indexed="81"/>
            <rFont val="Tahoma"/>
            <family val="2"/>
          </rPr>
          <t xml:space="preserve">
rev0 = 5.58 
rev1 = 5.8 PTTEP : เพิ่มประมาณการจัดส่ง </t>
        </r>
      </text>
    </comment>
    <comment ref="K47" authorId="0" shapeId="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47" authorId="1" shapeId="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47" authorId="1" shapeId="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47" authorId="1" shapeId="0">
      <text>
        <r>
          <rPr>
            <b/>
            <sz val="9"/>
            <color indexed="81"/>
            <rFont val="Tahoma"/>
            <family val="2"/>
          </rPr>
          <t>Windows User:</t>
        </r>
        <r>
          <rPr>
            <sz val="9"/>
            <color indexed="81"/>
            <rFont val="Tahoma"/>
            <family val="2"/>
          </rPr>
          <t xml:space="preserve">
rev0 = 15.6
rev1 = 14.5 โรงไฟฟ้า KHM demand drop</t>
        </r>
      </text>
    </comment>
    <comment ref="V47" authorId="0" shapeId="0">
      <text>
        <r>
          <rPr>
            <b/>
            <sz val="9"/>
            <color indexed="81"/>
            <rFont val="Tahoma"/>
            <family val="2"/>
          </rPr>
          <t>Quantumuser:</t>
        </r>
        <r>
          <rPr>
            <sz val="9"/>
            <color indexed="81"/>
            <rFont val="Tahoma"/>
            <family val="2"/>
          </rPr>
          <t xml:space="preserve">
GSP KHM ปรับลด ตาม demand โรงไฟฟ้าขนอม</t>
        </r>
      </text>
    </comment>
    <comment ref="E76" authorId="0" shapeId="0">
      <text>
        <r>
          <rPr>
            <b/>
            <sz val="9"/>
            <color indexed="81"/>
            <rFont val="Tahoma"/>
            <family val="2"/>
          </rPr>
          <t>Quantumuser:</t>
        </r>
        <r>
          <rPr>
            <sz val="9"/>
            <color indexed="81"/>
            <rFont val="Tahoma"/>
            <family val="2"/>
          </rPr>
          <t xml:space="preserve">
rev0 = 90.5 (import 14.5 KT)
rev1 = 95 KT</t>
        </r>
      </text>
    </comment>
    <comment ref="G76" authorId="1" shapeId="0">
      <text>
        <r>
          <rPr>
            <b/>
            <sz val="9"/>
            <color indexed="81"/>
            <rFont val="Tahoma"/>
            <family val="2"/>
          </rPr>
          <t>Windows User:</t>
        </r>
        <r>
          <rPr>
            <sz val="9"/>
            <color indexed="81"/>
            <rFont val="Tahoma"/>
            <family val="2"/>
          </rPr>
          <t xml:space="preserve">
rev0 =74 
rev1= 72 KT cause GSP3 trip</t>
        </r>
      </text>
    </comment>
    <comment ref="H76" authorId="1" shapeId="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76" authorId="0" shapeId="0">
      <text>
        <r>
          <rPr>
            <b/>
            <sz val="9"/>
            <color indexed="81"/>
            <rFont val="Tahoma"/>
            <family val="2"/>
          </rPr>
          <t>Quantumuser:</t>
        </r>
        <r>
          <rPr>
            <sz val="9"/>
            <color indexed="81"/>
            <rFont val="Tahoma"/>
            <family val="2"/>
          </rPr>
          <t xml:space="preserve">
rev0 = 61.5
rev1 = 62 KT เนื่องจาก carry over C3 from Aug 0.5 KT</t>
        </r>
      </text>
    </comment>
    <comment ref="J76" authorId="1" shapeId="0">
      <text>
        <r>
          <rPr>
            <b/>
            <sz val="9"/>
            <color indexed="81"/>
            <rFont val="Tahoma"/>
            <family val="2"/>
          </rPr>
          <t>Windows User:
rev0 = 62
rev1 = 65.6
rev2 = 66 KT
rev3 = 67 KT
rev4 = 63 KT (โยกไปพย 4 KT)</t>
        </r>
      </text>
    </comment>
    <comment ref="K76" authorId="0" shapeId="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76" authorId="0" shapeId="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76" authorId="0" shapeId="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76" authorId="0" shapeId="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76" authorId="0" shapeId="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76" authorId="0" shapeId="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76" authorId="1" shapeId="0">
      <text>
        <r>
          <rPr>
            <b/>
            <sz val="9"/>
            <color indexed="81"/>
            <rFont val="Tahoma"/>
            <family val="2"/>
          </rPr>
          <t xml:space="preserve">Windows User:
Feb </t>
        </r>
        <r>
          <rPr>
            <sz val="9"/>
            <color indexed="81"/>
            <rFont val="Tahoma"/>
            <family val="2"/>
          </rPr>
          <t>57.488
Mar 36.591</t>
        </r>
      </text>
    </comment>
    <comment ref="R76" authorId="0" shapeId="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76" authorId="1" shapeId="0">
      <text>
        <r>
          <rPr>
            <b/>
            <sz val="9"/>
            <color indexed="81"/>
            <rFont val="Tahoma"/>
            <family val="2"/>
          </rPr>
          <t>Windows User:</t>
        </r>
        <r>
          <rPr>
            <sz val="9"/>
            <color indexed="81"/>
            <rFont val="Tahoma"/>
            <family val="2"/>
          </rPr>
          <t xml:space="preserve">
Feb 61.541
Mar 25.252</t>
        </r>
      </text>
    </comment>
    <comment ref="Q78" authorId="1" shapeId="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78" authorId="1" shapeId="0">
      <text>
        <r>
          <rPr>
            <b/>
            <sz val="9"/>
            <color indexed="81"/>
            <rFont val="Tahoma"/>
            <family val="2"/>
          </rPr>
          <t>Windows User:</t>
        </r>
        <r>
          <rPr>
            <sz val="9"/>
            <color indexed="81"/>
            <rFont val="Tahoma"/>
            <family val="2"/>
          </rPr>
          <t xml:space="preserve">
ก่อนเกิดเหต GSP5 = 23 KT
</t>
        </r>
      </text>
    </comment>
    <comment ref="X78" authorId="1" shapeId="0">
      <text>
        <r>
          <rPr>
            <b/>
            <sz val="9"/>
            <color indexed="81"/>
            <rFont val="Tahoma"/>
            <family val="2"/>
          </rPr>
          <t>Windows User:</t>
        </r>
        <r>
          <rPr>
            <sz val="9"/>
            <color indexed="81"/>
            <rFont val="Tahoma"/>
            <family val="2"/>
          </rPr>
          <t xml:space="preserve">
ก่อนเกิดเหต GSP5 = 23 KT
rev1 = 23.5
rev2 = 29 HMC ไฟไหม้</t>
        </r>
      </text>
    </comment>
    <comment ref="AF78" authorId="0" shapeId="0">
      <text>
        <r>
          <rPr>
            <b/>
            <sz val="9"/>
            <color indexed="81"/>
            <rFont val="Tahoma"/>
            <family val="2"/>
          </rPr>
          <t>Quantumuser:</t>
        </r>
        <r>
          <rPr>
            <sz val="9"/>
            <color indexed="81"/>
            <rFont val="Tahoma"/>
            <family val="2"/>
          </rPr>
          <t xml:space="preserve">
Oleflex SD Aug'20 -Sep'20</t>
        </r>
      </text>
    </comment>
    <comment ref="AG78" authorId="0" shapeId="0">
      <text>
        <r>
          <rPr>
            <b/>
            <sz val="9"/>
            <color indexed="81"/>
            <rFont val="Tahoma"/>
            <family val="2"/>
          </rPr>
          <t>Quantumuser:</t>
        </r>
        <r>
          <rPr>
            <sz val="9"/>
            <color indexed="81"/>
            <rFont val="Tahoma"/>
            <family val="2"/>
          </rPr>
          <t xml:space="preserve">
Oleflex SD Aug'20 -Sep'20
BZ 20.7259301179628 KT
</t>
        </r>
      </text>
    </comment>
    <comment ref="R79" authorId="1" shapeId="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79" authorId="1" shapeId="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79" authorId="0" shapeId="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79" authorId="1" shapeId="0">
      <text>
        <r>
          <rPr>
            <b/>
            <sz val="9"/>
            <color indexed="81"/>
            <rFont val="Tahoma"/>
            <family val="2"/>
          </rPr>
          <t>Windows User:</t>
        </r>
        <r>
          <rPr>
            <sz val="9"/>
            <color indexed="81"/>
            <rFont val="Tahoma"/>
            <family val="2"/>
          </rPr>
          <t xml:space="preserve">
25
</t>
        </r>
      </text>
    </comment>
    <comment ref="W79" authorId="1" shapeId="0">
      <text>
        <r>
          <rPr>
            <b/>
            <sz val="9"/>
            <color indexed="81"/>
            <rFont val="Tahoma"/>
            <family val="2"/>
          </rPr>
          <t>Windows User:</t>
        </r>
        <r>
          <rPr>
            <sz val="9"/>
            <color indexed="81"/>
            <rFont val="Tahoma"/>
            <family val="2"/>
          </rPr>
          <t xml:space="preserve">
ก่อนเกิดเหต GSP5 = 18.5 KT
 </t>
        </r>
      </text>
    </comment>
    <comment ref="X79" authorId="1" shapeId="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79" authorId="1" shapeId="0">
      <text>
        <r>
          <rPr>
            <b/>
            <sz val="9"/>
            <color indexed="81"/>
            <rFont val="Tahoma"/>
            <family val="2"/>
          </rPr>
          <t>Windows User:</t>
        </r>
        <r>
          <rPr>
            <sz val="9"/>
            <color indexed="81"/>
            <rFont val="Tahoma"/>
            <family val="2"/>
          </rPr>
          <t xml:space="preserve">
rev0 = 34.1
rev1 = 33.1 GC แจ้ง drop -1 KT โดยยังอยู่ใน 3%</t>
        </r>
      </text>
    </comment>
    <comment ref="Z79" authorId="1" shapeId="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Z80" authorId="1" shapeId="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E80" authorId="0" shapeId="0">
      <text>
        <r>
          <rPr>
            <b/>
            <sz val="9"/>
            <color indexed="81"/>
            <rFont val="Tahoma"/>
            <family val="2"/>
          </rPr>
          <t>Quantumuser:</t>
        </r>
        <r>
          <rPr>
            <sz val="9"/>
            <color indexed="81"/>
            <rFont val="Tahoma"/>
            <family val="2"/>
          </rPr>
          <t xml:space="preserve">
GSP6 TA</t>
        </r>
      </text>
    </comment>
    <comment ref="E82" authorId="0" shapeId="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82" authorId="0" shapeId="0">
      <text>
        <r>
          <rPr>
            <b/>
            <sz val="9"/>
            <color indexed="81"/>
            <rFont val="Tahoma"/>
            <family val="2"/>
          </rPr>
          <t>Quantumuser:</t>
        </r>
        <r>
          <rPr>
            <sz val="9"/>
            <color indexed="81"/>
            <rFont val="Tahoma"/>
            <family val="2"/>
          </rPr>
          <t xml:space="preserve">
rev0 = 35
rev1 = 32 โยกไปรับเดือน พค. ก่อน 3 KT
</t>
        </r>
      </text>
    </comment>
    <comment ref="G82" authorId="1" shapeId="0">
      <text>
        <r>
          <rPr>
            <b/>
            <sz val="9"/>
            <color indexed="81"/>
            <rFont val="Tahoma"/>
            <family val="2"/>
          </rPr>
          <t>Windows User:</t>
        </r>
        <r>
          <rPr>
            <sz val="9"/>
            <color indexed="81"/>
            <rFont val="Tahoma"/>
            <family val="2"/>
          </rPr>
          <t xml:space="preserve">
rev0 = 19 
rev1= 15 KT cause GSP3 trip</t>
        </r>
      </text>
    </comment>
    <comment ref="L82" authorId="0" shapeId="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82" authorId="0" shapeId="0">
      <text>
        <r>
          <rPr>
            <b/>
            <sz val="9"/>
            <color indexed="81"/>
            <rFont val="Tahoma"/>
            <family val="2"/>
          </rPr>
          <t>Quantumuser:</t>
        </r>
        <r>
          <rPr>
            <sz val="9"/>
            <color indexed="81"/>
            <rFont val="Tahoma"/>
            <family val="2"/>
          </rPr>
          <t xml:space="preserve">
roc base 12 kt
roc spot 9 kt (MOP’J -80)</t>
        </r>
      </text>
    </comment>
    <comment ref="Q82" authorId="0" shapeId="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82" authorId="0" shapeId="0">
      <text>
        <r>
          <rPr>
            <b/>
            <sz val="9"/>
            <color indexed="81"/>
            <rFont val="Tahoma"/>
            <family val="2"/>
          </rPr>
          <t>Quantumuser:</t>
        </r>
        <r>
          <rPr>
            <sz val="9"/>
            <color indexed="81"/>
            <rFont val="Tahoma"/>
            <family val="2"/>
          </rPr>
          <t xml:space="preserve">
MOC TA May- Jun'20
</t>
        </r>
      </text>
    </comment>
    <comment ref="V82" authorId="1" shapeId="0">
      <text>
        <r>
          <rPr>
            <b/>
            <sz val="9"/>
            <color indexed="81"/>
            <rFont val="Tahoma"/>
            <family val="2"/>
          </rPr>
          <t>Windows User:</t>
        </r>
        <r>
          <rPr>
            <sz val="9"/>
            <color indexed="81"/>
            <rFont val="Tahoma"/>
            <family val="2"/>
          </rPr>
          <t xml:space="preserve">
rev0 = 33.4 
rev1 = 39.4 KT โยกมาจากเดือน May +6 KT
MOC TA</t>
        </r>
      </text>
    </comment>
    <comment ref="W82" authorId="1" shapeId="0">
      <text>
        <r>
          <rPr>
            <b/>
            <sz val="9"/>
            <color indexed="81"/>
            <rFont val="Tahoma"/>
            <family val="2"/>
          </rPr>
          <t>Windows User:</t>
        </r>
        <r>
          <rPr>
            <sz val="9"/>
            <color indexed="81"/>
            <rFont val="Tahoma"/>
            <family val="2"/>
          </rPr>
          <t xml:space="preserve">
MOC TA</t>
        </r>
      </text>
    </comment>
    <comment ref="Z82" authorId="1" shapeId="0">
      <text>
        <r>
          <rPr>
            <b/>
            <sz val="9"/>
            <color indexed="81"/>
            <rFont val="Tahoma"/>
            <family val="2"/>
          </rPr>
          <t>Windows User:</t>
        </r>
        <r>
          <rPr>
            <sz val="9"/>
            <color indexed="81"/>
            <rFont val="Tahoma"/>
            <family val="2"/>
          </rPr>
          <t xml:space="preserve">
17.6 KT เป็น Spot price : MOP'J-70</t>
        </r>
      </text>
    </comment>
    <comment ref="G83" authorId="0" shapeId="0">
      <text>
        <r>
          <rPr>
            <b/>
            <sz val="9"/>
            <color indexed="81"/>
            <rFont val="Tahoma"/>
            <family val="2"/>
          </rPr>
          <t xml:space="preserve">Quantumuser:
rev0  =27.8
rev1 = 24.5   HMC delay start up
</t>
        </r>
      </text>
    </comment>
    <comment ref="H83" authorId="0" shapeId="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83" authorId="0" shapeId="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83" authorId="0" shapeId="0">
      <text>
        <r>
          <rPr>
            <b/>
            <sz val="9"/>
            <color indexed="81"/>
            <rFont val="Tahoma"/>
            <family val="2"/>
          </rPr>
          <t>Quantumuser:</t>
        </r>
        <r>
          <rPr>
            <sz val="9"/>
            <color indexed="81"/>
            <rFont val="Tahoma"/>
            <family val="2"/>
          </rPr>
          <t xml:space="preserve">
rev0 = 32.55 KT
rev1 = 33.48 KT HMC run 100% @1,080 Ton/day</t>
        </r>
      </text>
    </comment>
    <comment ref="K83" authorId="0" shapeId="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83" authorId="0" shapeId="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83" authorId="0" shapeId="0">
      <text>
        <r>
          <rPr>
            <b/>
            <sz val="9"/>
            <color indexed="81"/>
            <rFont val="Tahoma"/>
            <family val="2"/>
          </rPr>
          <t>Quantumuser
HMC has planned to receive Propane at 1,060 Ton/day (98%) เพื่อรักษา catalyst ใน reactor</t>
        </r>
      </text>
    </comment>
    <comment ref="N83" authorId="0" shapeId="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83" authorId="0" shapeId="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83" authorId="0" shapeId="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83" authorId="0" shapeId="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83" authorId="0" shapeId="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83" authorId="0" shapeId="0">
      <text>
        <r>
          <rPr>
            <b/>
            <sz val="9"/>
            <color indexed="81"/>
            <rFont val="Tahoma"/>
            <family val="2"/>
          </rPr>
          <t xml:space="preserve">Quantumuser
rev0 =27
rev1 = 25.8
</t>
        </r>
      </text>
    </comment>
    <comment ref="U83" authorId="0" shapeId="0">
      <text>
        <r>
          <rPr>
            <b/>
            <sz val="9"/>
            <color indexed="81"/>
            <rFont val="Tahoma"/>
            <family val="2"/>
          </rPr>
          <t xml:space="preserve">rev0 = 31.8
rev1 = 30.3 </t>
        </r>
      </text>
    </comment>
    <comment ref="V83" authorId="0" shapeId="0">
      <text>
        <r>
          <rPr>
            <b/>
            <sz val="9"/>
            <color indexed="81"/>
            <rFont val="Tahoma"/>
            <family val="2"/>
          </rPr>
          <t>HMC รับลดลงเหลือ 1000 - 1040 จากแผน 1060 เนื่องจากReactor no3 has high different pressure.</t>
        </r>
      </text>
    </comment>
    <comment ref="W83" authorId="0" shapeId="0">
      <text>
        <r>
          <rPr>
            <b/>
            <sz val="9"/>
            <color indexed="81"/>
            <rFont val="Tahoma"/>
            <family val="2"/>
          </rPr>
          <t xml:space="preserve">Quantumuser
HMC has planned to receive Propane at 1,080 Ton/day (100%) เนื่องจากเปลี่ยน catalyst ใน reactor ใหม่แล้ว
</t>
        </r>
      </text>
    </comment>
    <comment ref="X83" authorId="0" shapeId="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83" authorId="1" shapeId="0">
      <text>
        <r>
          <rPr>
            <b/>
            <sz val="9"/>
            <color indexed="81"/>
            <rFont val="Tahoma"/>
            <family val="2"/>
          </rPr>
          <t>Windows User:</t>
        </r>
        <r>
          <rPr>
            <sz val="9"/>
            <color indexed="81"/>
            <rFont val="Tahoma"/>
            <family val="2"/>
          </rPr>
          <t xml:space="preserve">
HMC รับ 1,040 Ton/hr.</t>
        </r>
      </text>
    </comment>
    <comment ref="Z83" authorId="1" shapeId="0">
      <text>
        <r>
          <rPr>
            <b/>
            <sz val="9"/>
            <color indexed="81"/>
            <rFont val="Tahoma"/>
            <family val="2"/>
          </rPr>
          <t>Windows User:</t>
        </r>
        <r>
          <rPr>
            <sz val="9"/>
            <color indexed="81"/>
            <rFont val="Tahoma"/>
            <family val="2"/>
          </rPr>
          <t xml:space="preserve">
HMC รับ 1,040 Ton/hr.
rev0 = 29.12
rev1 = 28.24 plant PP shutdown ทำให้ PDH ที่รับ C3 ต้อง slowdown ตาม ลดจาก 100&gt;90%  เริ่มลดตั้งแต่ 12- 19 กพ</t>
        </r>
      </text>
    </comment>
    <comment ref="AA83" authorId="1" shapeId="0">
      <text>
        <r>
          <rPr>
            <b/>
            <sz val="9"/>
            <color indexed="81"/>
            <rFont val="Tahoma"/>
            <family val="2"/>
          </rPr>
          <t>Windows User:</t>
        </r>
        <r>
          <rPr>
            <sz val="9"/>
            <color indexed="81"/>
            <rFont val="Tahoma"/>
            <family val="2"/>
          </rPr>
          <t xml:space="preserve">
HMC รับ 1,040 Ton/hr.</t>
        </r>
      </text>
    </comment>
    <comment ref="AE83" authorId="0" shapeId="0">
      <text>
        <r>
          <rPr>
            <b/>
            <sz val="9"/>
            <color indexed="81"/>
            <rFont val="Tahoma"/>
            <family val="2"/>
          </rPr>
          <t>Quantumuser:</t>
        </r>
        <r>
          <rPr>
            <sz val="9"/>
            <color indexed="81"/>
            <rFont val="Tahoma"/>
            <family val="2"/>
          </rPr>
          <t xml:space="preserve">
GSP6 TA แบ่งตามสัดส่วน</t>
        </r>
      </text>
    </comment>
    <comment ref="AH83" authorId="0" shapeId="0">
      <text>
        <r>
          <rPr>
            <b/>
            <sz val="9"/>
            <color indexed="81"/>
            <rFont val="Tahoma"/>
            <family val="2"/>
          </rPr>
          <t>Quantumuser:</t>
        </r>
        <r>
          <rPr>
            <sz val="9"/>
            <color indexed="81"/>
            <rFont val="Tahoma"/>
            <family val="2"/>
          </rPr>
          <t xml:space="preserve">
HMC SD 10 days</t>
        </r>
      </text>
    </comment>
    <comment ref="AI83" authorId="0" shapeId="0">
      <text>
        <r>
          <rPr>
            <b/>
            <sz val="9"/>
            <color indexed="81"/>
            <rFont val="Tahoma"/>
            <family val="2"/>
          </rPr>
          <t>Quantumuser:</t>
        </r>
        <r>
          <rPr>
            <sz val="9"/>
            <color indexed="81"/>
            <rFont val="Tahoma"/>
            <family val="2"/>
          </rPr>
          <t xml:space="preserve">
HMC SD 30 days</t>
        </r>
      </text>
    </comment>
    <comment ref="F84" authorId="0" shapeId="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84" authorId="1" shapeId="0">
      <text>
        <r>
          <rPr>
            <b/>
            <sz val="9"/>
            <color indexed="81"/>
            <rFont val="Tahoma"/>
            <family val="2"/>
          </rPr>
          <t>Windows User:</t>
        </r>
        <r>
          <rPr>
            <sz val="9"/>
            <color indexed="81"/>
            <rFont val="Tahoma"/>
            <family val="2"/>
          </rPr>
          <t xml:space="preserve">
rev0 = 31.837
rev1= 30.837 KT cause GSP3 trip</t>
        </r>
      </text>
    </comment>
    <comment ref="L84" authorId="0" shapeId="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84" authorId="0" shapeId="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84" authorId="1" shapeId="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84" authorId="1" shapeId="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84" authorId="1" shapeId="0">
      <text>
        <r>
          <rPr>
            <b/>
            <sz val="9"/>
            <color indexed="81"/>
            <rFont val="Tahoma"/>
            <family val="2"/>
          </rPr>
          <t>Windows User:</t>
        </r>
        <r>
          <rPr>
            <sz val="9"/>
            <color indexed="81"/>
            <rFont val="Tahoma"/>
            <family val="2"/>
          </rPr>
          <t xml:space="preserve">
rev0 = 27.118
rev1 = 20.55 PTTAC plan to S/D 1 Reactor on 1 Apr’202
</t>
        </r>
      </text>
    </comment>
    <comment ref="Q84" authorId="1" shapeId="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84" authorId="1" shapeId="0">
      <text>
        <r>
          <rPr>
            <b/>
            <sz val="9"/>
            <color indexed="81"/>
            <rFont val="Tahoma"/>
            <family val="2"/>
          </rPr>
          <t>Windows User:</t>
        </r>
        <r>
          <rPr>
            <sz val="9"/>
            <color indexed="81"/>
            <rFont val="Tahoma"/>
            <family val="2"/>
          </rPr>
          <t xml:space="preserve">
rev0 28.032 
rev1 27.120
May
18.486 
rev0= 20 KT</t>
        </r>
      </text>
    </comment>
    <comment ref="T84" authorId="1" shapeId="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84" authorId="1" shapeId="0">
      <text>
        <r>
          <rPr>
            <b/>
            <sz val="9"/>
            <color indexed="81"/>
            <rFont val="Tahoma"/>
            <family val="2"/>
          </rPr>
          <t>Windows User:</t>
        </r>
        <r>
          <rPr>
            <sz val="9"/>
            <color indexed="81"/>
            <rFont val="Tahoma"/>
            <family val="2"/>
          </rPr>
          <t xml:space="preserve">
ปรับลดจากผลกระทบ GSP5 แล้ว -8%</t>
        </r>
      </text>
    </comment>
    <comment ref="Z84" authorId="1" shapeId="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E84" authorId="0" shapeId="0">
      <text>
        <r>
          <rPr>
            <b/>
            <sz val="9"/>
            <color indexed="81"/>
            <rFont val="Tahoma"/>
            <family val="2"/>
          </rPr>
          <t>Quantumuser:</t>
        </r>
        <r>
          <rPr>
            <sz val="9"/>
            <color indexed="81"/>
            <rFont val="Tahoma"/>
            <family val="2"/>
          </rPr>
          <t xml:space="preserve">
PTTAC TA</t>
        </r>
      </text>
    </comment>
    <comment ref="AF84" authorId="0" shapeId="0">
      <text>
        <r>
          <rPr>
            <b/>
            <sz val="9"/>
            <color indexed="81"/>
            <rFont val="Tahoma"/>
            <family val="2"/>
          </rPr>
          <t>Quantumuser:</t>
        </r>
        <r>
          <rPr>
            <sz val="9"/>
            <color indexed="81"/>
            <rFont val="Tahoma"/>
            <family val="2"/>
          </rPr>
          <t xml:space="preserve">
PTTAC TA</t>
        </r>
      </text>
    </comment>
    <comment ref="U86" authorId="1" shapeId="0">
      <text>
        <r>
          <rPr>
            <b/>
            <sz val="9"/>
            <color indexed="81"/>
            <rFont val="Tahoma"/>
            <family val="2"/>
          </rPr>
          <t>Windows User:</t>
        </r>
        <r>
          <rPr>
            <sz val="9"/>
            <color indexed="81"/>
            <rFont val="Tahoma"/>
            <family val="2"/>
          </rPr>
          <t xml:space="preserve">
rev0 = 0.27
rev1 = 0.7 KT Ordemand เพิ่ม</t>
        </r>
      </text>
    </comment>
    <comment ref="I92" authorId="1" shapeId="0">
      <text>
        <r>
          <rPr>
            <b/>
            <sz val="9"/>
            <color indexed="81"/>
            <rFont val="Tahoma"/>
            <family val="2"/>
          </rPr>
          <t>Windows User:</t>
        </r>
        <r>
          <rPr>
            <sz val="9"/>
            <color indexed="81"/>
            <rFont val="Tahoma"/>
            <family val="2"/>
          </rPr>
          <t xml:space="preserve">
rev0 = 32
rev1 = 33.28 SGP ขอรับเพิ่ม 4%</t>
        </r>
      </text>
    </comment>
    <comment ref="J92" authorId="1" shapeId="0">
      <text>
        <r>
          <rPr>
            <b/>
            <sz val="9"/>
            <color indexed="81"/>
            <rFont val="Tahoma"/>
            <family val="2"/>
          </rPr>
          <t>Windows User:</t>
        </r>
        <r>
          <rPr>
            <sz val="9"/>
            <color indexed="81"/>
            <rFont val="Tahoma"/>
            <family val="2"/>
          </rPr>
          <t xml:space="preserve">
rev0 = 32
rev1 = 33.6 SGP ขอรับเพิ่ม 5%</t>
        </r>
      </text>
    </comment>
    <comment ref="K92" authorId="1" shapeId="0">
      <text>
        <r>
          <rPr>
            <b/>
            <sz val="9"/>
            <color indexed="81"/>
            <rFont val="Tahoma"/>
            <family val="2"/>
          </rPr>
          <t>Windows User:</t>
        </r>
        <r>
          <rPr>
            <sz val="9"/>
            <color indexed="81"/>
            <rFont val="Tahoma"/>
            <family val="2"/>
          </rPr>
          <t xml:space="preserve">
rev0 = 32
rev1 = 33.6 SGP ขอรับเพิ่ม 5%</t>
        </r>
      </text>
    </comment>
    <comment ref="L92" authorId="1" shapeId="0">
      <text>
        <r>
          <rPr>
            <b/>
            <sz val="9"/>
            <color indexed="81"/>
            <rFont val="Tahoma"/>
            <family val="2"/>
          </rPr>
          <t>Windows User:</t>
        </r>
        <r>
          <rPr>
            <sz val="9"/>
            <color indexed="81"/>
            <rFont val="Tahoma"/>
            <family val="2"/>
          </rPr>
          <t xml:space="preserve">
rev0 = 32
rev1 = 33.6 SGP ขอรับเพิ่ม 5%</t>
        </r>
      </text>
    </comment>
    <comment ref="I93" authorId="1" shapeId="0">
      <text>
        <r>
          <rPr>
            <b/>
            <sz val="9"/>
            <color indexed="81"/>
            <rFont val="Tahoma"/>
            <family val="2"/>
          </rPr>
          <t>Windows User:</t>
        </r>
        <r>
          <rPr>
            <sz val="9"/>
            <color indexed="81"/>
            <rFont val="Tahoma"/>
            <family val="2"/>
          </rPr>
          <t xml:space="preserve">
rev0 = 12 KT
rev1 = 12.48 KT SGP ขอรับเพิ่ม 4%</t>
        </r>
      </text>
    </comment>
    <comment ref="J93" authorId="1" shapeId="0">
      <text>
        <r>
          <rPr>
            <b/>
            <sz val="9"/>
            <color indexed="81"/>
            <rFont val="Tahoma"/>
            <family val="2"/>
          </rPr>
          <t>Windows User:</t>
        </r>
        <r>
          <rPr>
            <sz val="9"/>
            <color indexed="81"/>
            <rFont val="Tahoma"/>
            <family val="2"/>
          </rPr>
          <t xml:space="preserve">
rev0 = 12 KT
rev1 = 12.6 KT SGP ขอรับเพิ่ม 5%</t>
        </r>
      </text>
    </comment>
    <comment ref="K93" authorId="1" shapeId="0">
      <text>
        <r>
          <rPr>
            <b/>
            <sz val="9"/>
            <color indexed="81"/>
            <rFont val="Tahoma"/>
            <family val="2"/>
          </rPr>
          <t>Windows User:</t>
        </r>
        <r>
          <rPr>
            <sz val="9"/>
            <color indexed="81"/>
            <rFont val="Tahoma"/>
            <family val="2"/>
          </rPr>
          <t xml:space="preserve">
rev0 = 12 KT
rev1 = 12.6 KT SGP ขอรับเพิ่ม 5%</t>
        </r>
      </text>
    </comment>
    <comment ref="L93" authorId="1" shapeId="0">
      <text>
        <r>
          <rPr>
            <b/>
            <sz val="9"/>
            <color indexed="81"/>
            <rFont val="Tahoma"/>
            <family val="2"/>
          </rPr>
          <t>Windows User:</t>
        </r>
        <r>
          <rPr>
            <sz val="9"/>
            <color indexed="81"/>
            <rFont val="Tahoma"/>
            <family val="2"/>
          </rPr>
          <t xml:space="preserve">
rev0 = 12 KT
rev1 = 12.6 KT SGP ขอรับเพิ่ม 5%</t>
        </r>
      </text>
    </comment>
    <comment ref="J105" authorId="0" shapeId="0">
      <text>
        <r>
          <rPr>
            <b/>
            <sz val="9"/>
            <color indexed="81"/>
            <rFont val="Tahoma"/>
            <family val="2"/>
          </rPr>
          <t>Quantumuser:</t>
        </r>
        <r>
          <rPr>
            <sz val="9"/>
            <color indexed="81"/>
            <rFont val="Tahoma"/>
            <family val="2"/>
          </rPr>
          <t xml:space="preserve">
rev0 = 2
rev 1 = 1.2 KT</t>
        </r>
      </text>
    </comment>
    <comment ref="K105" authorId="0" shapeId="0">
      <text>
        <r>
          <rPr>
            <b/>
            <sz val="9"/>
            <color indexed="81"/>
            <rFont val="Tahoma"/>
            <family val="2"/>
          </rPr>
          <t>Quantumuser:</t>
        </r>
        <r>
          <rPr>
            <sz val="9"/>
            <color indexed="81"/>
            <rFont val="Tahoma"/>
            <family val="2"/>
          </rPr>
          <t xml:space="preserve">
rev0 3 KT
rev1 = 3.4 KT โยกมาจากเดือน ธค. 62 = 0.4 KT</t>
        </r>
      </text>
    </comment>
    <comment ref="L105" authorId="0" shapeId="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10" authorId="1" shapeId="0">
      <text>
        <r>
          <rPr>
            <b/>
            <sz val="9"/>
            <color indexed="81"/>
            <rFont val="Tahoma"/>
            <family val="2"/>
          </rPr>
          <t>Windows User:</t>
        </r>
        <r>
          <rPr>
            <sz val="9"/>
            <color indexed="81"/>
            <rFont val="Tahoma"/>
            <family val="2"/>
          </rPr>
          <t xml:space="preserve">
rev0 = 4
rev1 = 4.2</t>
        </r>
      </text>
    </comment>
    <comment ref="G116" authorId="0" shapeId="0">
      <text>
        <r>
          <rPr>
            <b/>
            <sz val="9"/>
            <color indexed="81"/>
            <rFont val="Tahoma"/>
            <family val="2"/>
          </rPr>
          <t>Quantumuser:
rev0=0
rev1=2  GC ปรับเพิ่มจาก 19 เป็น 21 KT</t>
        </r>
      </text>
    </comment>
    <comment ref="L122" authorId="1" shapeId="0">
      <text>
        <r>
          <rPr>
            <b/>
            <sz val="9"/>
            <color indexed="81"/>
            <rFont val="Tahoma"/>
            <family val="2"/>
          </rPr>
          <t xml:space="preserve">Windows User:
</t>
        </r>
        <r>
          <rPr>
            <sz val="9"/>
            <color indexed="81"/>
            <rFont val="Tahoma"/>
            <family val="2"/>
          </rPr>
          <t>rev0 = 1.8
rev1 = 2.4  ตช ขายเพิ่ม</t>
        </r>
      </text>
    </comment>
    <comment ref="J125" authorId="1" shapeId="0">
      <text>
        <r>
          <rPr>
            <b/>
            <sz val="9"/>
            <color indexed="81"/>
            <rFont val="Tahoma"/>
            <family val="2"/>
          </rPr>
          <t>Windows User:</t>
        </r>
        <r>
          <rPr>
            <sz val="9"/>
            <color indexed="81"/>
            <rFont val="Tahoma"/>
            <family val="2"/>
          </rPr>
          <t xml:space="preserve">
rev0 = 5
rev1 = 6.4</t>
        </r>
      </text>
    </comment>
    <comment ref="K125" authorId="1" shapeId="0">
      <text>
        <r>
          <rPr>
            <b/>
            <sz val="9"/>
            <color indexed="81"/>
            <rFont val="Tahoma"/>
            <family val="2"/>
          </rPr>
          <t>Windows User:</t>
        </r>
        <r>
          <rPr>
            <sz val="9"/>
            <color indexed="81"/>
            <rFont val="Tahoma"/>
            <family val="2"/>
          </rPr>
          <t xml:space="preserve">
rev0 = 5
rev1 = 6.4
rev2 = 5.6
</t>
        </r>
      </text>
    </comment>
    <comment ref="L125" authorId="1" shapeId="0">
      <text>
        <r>
          <rPr>
            <b/>
            <sz val="9"/>
            <color indexed="81"/>
            <rFont val="Tahoma"/>
            <family val="2"/>
          </rPr>
          <t>Windows User:</t>
        </r>
        <r>
          <rPr>
            <sz val="9"/>
            <color indexed="81"/>
            <rFont val="Tahoma"/>
            <family val="2"/>
          </rPr>
          <t xml:space="preserve">
rev0 = 5
rev1 = 5.7
</t>
        </r>
      </text>
    </comment>
  </commentList>
</comments>
</file>

<file path=xl/comments3.xml><?xml version="1.0" encoding="utf-8"?>
<comments xmlns="http://schemas.openxmlformats.org/spreadsheetml/2006/main">
  <authors>
    <author>SAOWANI DETJAREANSRI</author>
    <author>Quantumuser</author>
    <author>Windows User</author>
  </authors>
  <commentList>
    <comment ref="Y6" authorId="0" shapeId="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text>
        <r>
          <rPr>
            <b/>
            <sz val="9"/>
            <color indexed="81"/>
            <rFont val="Tahoma"/>
            <family val="2"/>
          </rPr>
          <t>SAOWANI DETJAREANSRI:</t>
        </r>
        <r>
          <rPr>
            <sz val="9"/>
            <color indexed="81"/>
            <rFont val="Tahoma"/>
            <family val="2"/>
          </rPr>
          <t xml:space="preserve">
rev0 = 90.5
</t>
        </r>
      </text>
    </comment>
    <comment ref="AB6" authorId="0" shapeId="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text>
        <r>
          <rPr>
            <b/>
            <sz val="9"/>
            <color indexed="81"/>
            <rFont val="Tahoma"/>
            <family val="2"/>
          </rPr>
          <t>SAOWANI DETJAREANSRI:</t>
        </r>
        <r>
          <rPr>
            <sz val="9"/>
            <color indexed="81"/>
            <rFont val="Tahoma"/>
            <family val="2"/>
          </rPr>
          <t xml:space="preserve">
rev0 = 83.37 Km3
</t>
        </r>
      </text>
    </comment>
    <comment ref="AG6" authorId="0" shapeId="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text>
        <r>
          <rPr>
            <b/>
            <sz val="9"/>
            <color indexed="81"/>
            <rFont val="Tahoma"/>
            <family val="2"/>
          </rPr>
          <t>SAOWANI DETJAREANSRI:</t>
        </r>
        <r>
          <rPr>
            <sz val="9"/>
            <color indexed="81"/>
            <rFont val="Tahoma"/>
            <family val="2"/>
          </rPr>
          <t xml:space="preserve">
Apr - May 2019 : GSP6 Shutdown 17 Days (Tentatve)</t>
        </r>
      </text>
    </comment>
    <comment ref="BF6" authorId="1" shapeId="0">
      <text>
        <r>
          <rPr>
            <b/>
            <sz val="9"/>
            <color indexed="81"/>
            <rFont val="Tahoma"/>
            <family val="2"/>
          </rPr>
          <t>Quantumuser:
rev0 = 71.59</t>
        </r>
      </text>
    </comment>
    <comment ref="BG6" authorId="2" shapeId="0">
      <text>
        <r>
          <rPr>
            <b/>
            <sz val="9"/>
            <color indexed="81"/>
            <rFont val="Tahoma"/>
            <family val="2"/>
          </rPr>
          <t>Windows User:</t>
        </r>
        <r>
          <rPr>
            <sz val="9"/>
            <color indexed="81"/>
            <rFont val="Tahoma"/>
            <family val="2"/>
          </rPr>
          <t xml:space="preserve">
ผลิตสูงขึ้นจาก stab
</t>
        </r>
      </text>
    </comment>
    <comment ref="L7" authorId="0" shapeId="0">
      <text>
        <r>
          <rPr>
            <b/>
            <sz val="9"/>
            <color indexed="81"/>
            <rFont val="Tahoma"/>
            <family val="2"/>
          </rPr>
          <t>SAOWANI DETJAREANSRI:</t>
        </r>
        <r>
          <rPr>
            <sz val="9"/>
            <color indexed="81"/>
            <rFont val="Tahoma"/>
            <family val="2"/>
          </rPr>
          <t xml:space="preserve">
rev0 = 46.5 
rev1 = 52.5</t>
        </r>
      </text>
    </comment>
    <comment ref="M7" authorId="0" shapeId="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text>
        <r>
          <rPr>
            <b/>
            <sz val="9"/>
            <color indexed="81"/>
            <rFont val="Tahoma"/>
            <family val="2"/>
          </rPr>
          <t>SAOWANI DETJAREANSRI:</t>
        </r>
        <r>
          <rPr>
            <sz val="9"/>
            <color indexed="81"/>
            <rFont val="Tahoma"/>
            <family val="2"/>
          </rPr>
          <t xml:space="preserve">
rev0 = 30.5</t>
        </r>
      </text>
    </comment>
    <comment ref="P7" authorId="0" shapeId="0">
      <text>
        <r>
          <rPr>
            <b/>
            <sz val="9"/>
            <color indexed="81"/>
            <rFont val="Tahoma"/>
            <family val="2"/>
          </rPr>
          <t>SAOWANI DETJAREANSRI:</t>
        </r>
        <r>
          <rPr>
            <sz val="9"/>
            <color indexed="81"/>
            <rFont val="Tahoma"/>
            <family val="2"/>
          </rPr>
          <t xml:space="preserve">
rev0 = 30.5
rev1 = 28.5</t>
        </r>
      </text>
    </comment>
    <comment ref="Q7" authorId="0" shapeId="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text>
        <r>
          <rPr>
            <b/>
            <sz val="9"/>
            <color indexed="81"/>
            <rFont val="Tahoma"/>
            <family val="2"/>
          </rPr>
          <t>SAOWANI DETJAREANSRI:
rev0 = 33.174 km3 (21.5 KT)
rev1 = 35.179 km3 (22.8 KT)</t>
        </r>
      </text>
    </comment>
    <comment ref="AG7" authorId="0" shapeId="0">
      <text>
        <r>
          <rPr>
            <b/>
            <sz val="9"/>
            <color indexed="81"/>
            <rFont val="Tahoma"/>
            <family val="2"/>
          </rPr>
          <t>SAOWANI DETJAREANSRI:
rev0 = 29.32 
rev1 = 27.32 KT ปรับลด 2 km3 เนื่องจาก stab น้อย</t>
        </r>
      </text>
    </comment>
    <comment ref="AK7" authorId="0" shapeId="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text>
        <r>
          <rPr>
            <b/>
            <sz val="9"/>
            <color indexed="81"/>
            <rFont val="Tahoma"/>
            <family val="2"/>
          </rPr>
          <t>SAOWANI DETJAREANSRI:</t>
        </r>
        <r>
          <rPr>
            <sz val="9"/>
            <color indexed="81"/>
            <rFont val="Tahoma"/>
            <family val="2"/>
          </rPr>
          <t xml:space="preserve">
rev0 = 19
rev1 = 21</t>
        </r>
      </text>
    </comment>
    <comment ref="AP7" authorId="1" shapeId="0">
      <text>
        <r>
          <rPr>
            <b/>
            <sz val="9"/>
            <color indexed="81"/>
            <rFont val="Tahoma"/>
            <family val="2"/>
          </rPr>
          <t>Quantumuser:</t>
        </r>
        <r>
          <rPr>
            <sz val="9"/>
            <color indexed="81"/>
            <rFont val="Tahoma"/>
            <family val="2"/>
          </rPr>
          <t xml:space="preserve">
rev0 = 19 KT
rev1 = 20 KT</t>
        </r>
      </text>
    </comment>
    <comment ref="AQ7" authorId="1" shapeId="0">
      <text>
        <r>
          <rPr>
            <b/>
            <sz val="9"/>
            <color indexed="81"/>
            <rFont val="Tahoma"/>
            <family val="2"/>
          </rPr>
          <t>Quantumuser:</t>
        </r>
        <r>
          <rPr>
            <sz val="9"/>
            <color indexed="81"/>
            <rFont val="Tahoma"/>
            <family val="2"/>
          </rPr>
          <t xml:space="preserve">
rev0 = 16 KT
rev1 = 17 KT</t>
        </r>
      </text>
    </comment>
    <comment ref="AS7" authorId="1" shapeId="0">
      <text>
        <r>
          <rPr>
            <b/>
            <sz val="9"/>
            <color indexed="81"/>
            <rFont val="Tahoma"/>
            <family val="2"/>
          </rPr>
          <t>Quantumuser:</t>
        </r>
        <r>
          <rPr>
            <sz val="9"/>
            <color indexed="81"/>
            <rFont val="Tahoma"/>
            <family val="2"/>
          </rPr>
          <t xml:space="preserve">
rev0 = 17 KT
</t>
        </r>
      </text>
    </comment>
    <comment ref="AT7" authorId="1" shapeId="0">
      <text>
        <r>
          <rPr>
            <b/>
            <sz val="9"/>
            <color indexed="81"/>
            <rFont val="Tahoma"/>
            <family val="2"/>
          </rPr>
          <t>Quantumuser:</t>
        </r>
        <r>
          <rPr>
            <sz val="9"/>
            <color indexed="81"/>
            <rFont val="Tahoma"/>
            <family val="2"/>
          </rPr>
          <t xml:space="preserve">
Nom @Jun = 18 KT
</t>
        </r>
      </text>
    </comment>
    <comment ref="AV7" authorId="2" shapeId="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text>
        <r>
          <rPr>
            <b/>
            <sz val="9"/>
            <color indexed="81"/>
            <rFont val="Tahoma"/>
            <family val="2"/>
          </rPr>
          <t>Quantumuser:</t>
        </r>
        <r>
          <rPr>
            <sz val="9"/>
            <color indexed="81"/>
            <rFont val="Tahoma"/>
            <family val="2"/>
          </rPr>
          <t xml:space="preserve">
rev0 = 17 
rev1 = 19 GSP balance inv
rev2 = 21 GSP balance inv</t>
        </r>
      </text>
    </comment>
    <comment ref="AY7" authorId="1" shapeId="0">
      <text>
        <r>
          <rPr>
            <b/>
            <sz val="9"/>
            <color indexed="81"/>
            <rFont val="Tahoma"/>
            <family val="2"/>
          </rPr>
          <t>Quantumuser:
rev0 = 15
rev1 = 18
rev2 = 19 KT</t>
        </r>
      </text>
    </comment>
    <comment ref="AZ7" authorId="2" shapeId="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text>
        <r>
          <rPr>
            <b/>
            <sz val="9"/>
            <color indexed="81"/>
            <rFont val="Tahoma"/>
            <family val="2"/>
          </rPr>
          <t>Quantumuser:
rev0 = 22.5 KT
rev1 = 25.2 KT เนื่องจากโยก 2.7 KT มาจากเดือน ก.พ. 63</t>
        </r>
      </text>
    </comment>
    <comment ref="BB7" authorId="2" shapeId="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text>
        <r>
          <rPr>
            <b/>
            <sz val="9"/>
            <color indexed="81"/>
            <rFont val="Tahoma"/>
            <family val="2"/>
          </rPr>
          <t>Windows User:</t>
        </r>
        <r>
          <rPr>
            <sz val="9"/>
            <color indexed="81"/>
            <rFont val="Tahoma"/>
            <family val="2"/>
          </rPr>
          <t xml:space="preserve">
rev0 = 24.5 KT
rev1 = 25.5 KT</t>
        </r>
      </text>
    </comment>
    <comment ref="BI7" authorId="2" shapeId="0">
      <text>
        <r>
          <rPr>
            <b/>
            <sz val="9"/>
            <color indexed="81"/>
            <rFont val="Tahoma"/>
            <family val="2"/>
          </rPr>
          <t>Windows User:
rev0 = 21.5 KT
rev1 = 20 KT เหตุจาก GSP5</t>
        </r>
      </text>
    </comment>
    <comment ref="BJ7" authorId="2" shapeId="0">
      <text>
        <r>
          <rPr>
            <b/>
            <sz val="9"/>
            <color indexed="81"/>
            <rFont val="Tahoma"/>
            <family val="2"/>
          </rPr>
          <t>Windows User:</t>
        </r>
        <r>
          <rPr>
            <sz val="9"/>
            <color indexed="81"/>
            <rFont val="Tahoma"/>
            <family val="2"/>
          </rPr>
          <t xml:space="preserve">
20</t>
        </r>
      </text>
    </comment>
    <comment ref="BK7" authorId="2" shapeId="0">
      <text>
        <r>
          <rPr>
            <b/>
            <sz val="9"/>
            <color indexed="81"/>
            <rFont val="Tahoma"/>
            <family val="2"/>
          </rPr>
          <t>Windows User:</t>
        </r>
        <r>
          <rPr>
            <sz val="9"/>
            <color indexed="81"/>
            <rFont val="Tahoma"/>
            <family val="2"/>
          </rPr>
          <t xml:space="preserve">
rev1 = 24.5 KT
</t>
        </r>
      </text>
    </comment>
    <comment ref="BL7" authorId="2" shapeId="0">
      <text>
        <r>
          <rPr>
            <b/>
            <sz val="9"/>
            <color indexed="81"/>
            <rFont val="Tahoma"/>
            <family val="2"/>
          </rPr>
          <t>Windows User:</t>
        </r>
        <r>
          <rPr>
            <sz val="9"/>
            <color indexed="81"/>
            <rFont val="Tahoma"/>
            <family val="2"/>
          </rPr>
          <t xml:space="preserve">
rev0 = 23 KT
rev1 = 24.5 KT GSP ปรับเพิ่ม เพื่อ balance inventory
</t>
        </r>
      </text>
    </comment>
    <comment ref="I8" authorId="0" shapeId="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text>
        <r>
          <rPr>
            <sz val="9"/>
            <color indexed="81"/>
            <rFont val="Tahoma"/>
            <family val="2"/>
          </rPr>
          <t xml:space="preserve">ทำ nom ให้ลูกค้า 30 Km3
</t>
        </r>
      </text>
    </comment>
    <comment ref="M8" authorId="0" shapeId="0">
      <text>
        <r>
          <rPr>
            <sz val="9"/>
            <color indexed="81"/>
            <rFont val="Tahoma"/>
            <family val="2"/>
          </rPr>
          <t>ROC T/A : 4 พ.ย. 59 – 13 ธ.ค. 59</t>
        </r>
      </text>
    </comment>
    <comment ref="N8" authorId="0" shapeId="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text>
        <r>
          <rPr>
            <b/>
            <sz val="9"/>
            <color indexed="81"/>
            <rFont val="Tahoma"/>
            <family val="2"/>
          </rPr>
          <t>SAOWANI DETJAREANSRI:</t>
        </r>
        <r>
          <rPr>
            <sz val="9"/>
            <color indexed="81"/>
            <rFont val="Tahoma"/>
            <family val="2"/>
          </rPr>
          <t xml:space="preserve">
rev0 = 55 km3
</t>
        </r>
      </text>
    </comment>
    <comment ref="AO8" authorId="0" shapeId="0">
      <text>
        <r>
          <rPr>
            <b/>
            <sz val="9"/>
            <color indexed="81"/>
            <rFont val="Tahoma"/>
            <family val="2"/>
          </rPr>
          <t>SAOWANI DETJAREANSRI:</t>
        </r>
        <r>
          <rPr>
            <sz val="9"/>
            <color indexed="81"/>
            <rFont val="Tahoma"/>
            <family val="2"/>
          </rPr>
          <t xml:space="preserve">
rev0 = 54 Km3
rev1 = 55 Km3 เพื่อ balance inv GSP</t>
        </r>
      </text>
    </comment>
    <comment ref="AU8" authorId="1" shapeId="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text>
        <r>
          <rPr>
            <b/>
            <sz val="9"/>
            <color indexed="81"/>
            <rFont val="Tahoma"/>
            <family val="2"/>
          </rPr>
          <t>Quantumuser:</t>
        </r>
        <r>
          <rPr>
            <sz val="9"/>
            <color indexed="81"/>
            <rFont val="Tahoma"/>
            <family val="2"/>
          </rPr>
          <t xml:space="preserve">
rev0 = 53 km3
rev1 = 55 km3</t>
        </r>
      </text>
    </comment>
    <comment ref="BC8" authorId="2" shapeId="0">
      <text>
        <r>
          <rPr>
            <b/>
            <sz val="9"/>
            <color indexed="81"/>
            <rFont val="Tahoma"/>
            <family val="2"/>
          </rPr>
          <t>Windows User:</t>
        </r>
        <r>
          <rPr>
            <sz val="9"/>
            <color indexed="81"/>
            <rFont val="Tahoma"/>
            <family val="2"/>
          </rPr>
          <t xml:space="preserve">
rev0 = 43.6 Km3
</t>
        </r>
      </text>
    </comment>
    <comment ref="BD8" authorId="2" shapeId="0">
      <text>
        <r>
          <rPr>
            <b/>
            <sz val="9"/>
            <color indexed="81"/>
            <rFont val="Tahoma"/>
            <family val="2"/>
          </rPr>
          <t>Windows User:</t>
        </r>
        <r>
          <rPr>
            <sz val="9"/>
            <color indexed="81"/>
            <rFont val="Tahoma"/>
            <family val="2"/>
          </rPr>
          <t xml:space="preserve">
53.3 Km3 (Spot MOP'J - 34.5)</t>
        </r>
      </text>
    </comment>
    <comment ref="BE8" authorId="2" shapeId="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text>
        <r>
          <rPr>
            <b/>
            <sz val="9"/>
            <color indexed="81"/>
            <rFont val="Tahoma"/>
            <family val="2"/>
          </rPr>
          <t>Windows User:</t>
        </r>
        <r>
          <rPr>
            <sz val="9"/>
            <color indexed="81"/>
            <rFont val="Tahoma"/>
            <family val="2"/>
          </rPr>
          <t xml:space="preserve">
rev0 = 42.22 Km3
rev1 = 40 Km3
</t>
        </r>
      </text>
    </comment>
    <comment ref="BJ8" authorId="2" shapeId="0">
      <text>
        <r>
          <rPr>
            <b/>
            <sz val="9"/>
            <color indexed="81"/>
            <rFont val="Tahoma"/>
            <family val="2"/>
          </rPr>
          <t>Windows User:</t>
        </r>
        <r>
          <rPr>
            <sz val="9"/>
            <color indexed="81"/>
            <rFont val="Tahoma"/>
            <family val="2"/>
          </rPr>
          <t xml:space="preserve">
rev0 = 40.6 Km3
rev1 = 42.6 Km3 SCG ขอเพิ่ม</t>
        </r>
      </text>
    </comment>
    <comment ref="BK8" authorId="2" shapeId="0">
      <text>
        <r>
          <rPr>
            <b/>
            <sz val="9"/>
            <color indexed="81"/>
            <rFont val="Tahoma"/>
            <family val="2"/>
          </rPr>
          <t xml:space="preserve">Windows User:rev1
rev 1 = 45 Km3
</t>
        </r>
      </text>
    </comment>
    <comment ref="K10" authorId="0" shapeId="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text>
        <r>
          <rPr>
            <b/>
            <sz val="9"/>
            <color indexed="81"/>
            <rFont val="Tahoma"/>
            <family val="2"/>
          </rPr>
          <t>SAOWANI DETJAREANSRI:</t>
        </r>
        <r>
          <rPr>
            <sz val="9"/>
            <color indexed="81"/>
            <rFont val="Tahoma"/>
            <family val="2"/>
          </rPr>
          <t xml:space="preserve">
20-22 July 18
PTT TANK</t>
        </r>
      </text>
    </comment>
    <comment ref="AI10" authorId="0" shapeId="0">
      <text>
        <r>
          <rPr>
            <b/>
            <sz val="9"/>
            <color indexed="81"/>
            <rFont val="Tahoma"/>
            <family val="2"/>
          </rPr>
          <t>SAOWANI DETJAREANSRI:</t>
        </r>
        <r>
          <rPr>
            <sz val="9"/>
            <color indexed="81"/>
            <rFont val="Tahoma"/>
            <family val="2"/>
          </rPr>
          <t xml:space="preserve">
PTT TANK</t>
        </r>
      </text>
    </comment>
    <comment ref="AJ10" authorId="0" shapeId="0">
      <text>
        <r>
          <rPr>
            <b/>
            <sz val="9"/>
            <color indexed="81"/>
            <rFont val="Tahoma"/>
            <family val="2"/>
          </rPr>
          <t>SAOWANI DETJAREANSRI:</t>
        </r>
        <r>
          <rPr>
            <sz val="9"/>
            <color indexed="81"/>
            <rFont val="Tahoma"/>
            <family val="2"/>
          </rPr>
          <t xml:space="preserve">
PTT TANK</t>
        </r>
      </text>
    </comment>
    <comment ref="AZ10" authorId="1" shapeId="0">
      <text>
        <r>
          <rPr>
            <b/>
            <sz val="9"/>
            <color indexed="81"/>
            <rFont val="Tahoma"/>
            <family val="2"/>
          </rPr>
          <t xml:space="preserve">Quantumuser:
rev 0 = 1.9 Km3
rev1 = 0.5 Km3 cancel
</t>
        </r>
      </text>
    </comment>
    <comment ref="BJ10" authorId="2" shapeId="0">
      <text>
        <r>
          <rPr>
            <b/>
            <sz val="9"/>
            <color indexed="81"/>
            <rFont val="Tahoma"/>
            <family val="2"/>
          </rPr>
          <t>Windows User:</t>
        </r>
        <r>
          <rPr>
            <sz val="9"/>
            <color indexed="81"/>
            <rFont val="Tahoma"/>
            <family val="2"/>
          </rPr>
          <t xml:space="preserve">
NGL Export @MT = 1.8 Km3 clear ของ MT</t>
        </r>
      </text>
    </comment>
    <comment ref="BK10" authorId="2" shapeId="0">
      <text>
        <r>
          <rPr>
            <b/>
            <sz val="9"/>
            <color indexed="81"/>
            <rFont val="Tahoma"/>
            <family val="2"/>
          </rPr>
          <t>Windows User:</t>
        </r>
        <r>
          <rPr>
            <sz val="9"/>
            <color indexed="81"/>
            <rFont val="Tahoma"/>
            <family val="2"/>
          </rPr>
          <t xml:space="preserve">
ส่งออก NGL to TBU 3-5 Feb
</t>
        </r>
      </text>
    </comment>
    <comment ref="AX12" authorId="2" shapeId="0">
      <text>
        <r>
          <rPr>
            <b/>
            <sz val="9"/>
            <color indexed="81"/>
            <rFont val="Tahoma"/>
            <family val="2"/>
          </rPr>
          <t>Windows User:</t>
        </r>
        <r>
          <rPr>
            <sz val="9"/>
            <color indexed="81"/>
            <rFont val="Tahoma"/>
            <family val="2"/>
          </rPr>
          <t xml:space="preserve">
ห้ามเกิน 47%</t>
        </r>
      </text>
    </comment>
    <comment ref="AY12" authorId="1" shapeId="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<sst xmlns="http://schemas.openxmlformats.org/spreadsheetml/2006/main" count="598" uniqueCount="214">
  <si>
    <t>Total C2 (Ability 3rev0_2Feb'21)</t>
  </si>
  <si>
    <t>KT</t>
  </si>
  <si>
    <t xml:space="preserve">Diff New - Old </t>
  </si>
  <si>
    <t>Low CO2 (ETU 65 Ton/hr.)</t>
  </si>
  <si>
    <t>GSP C2 Production</t>
  </si>
  <si>
    <t>Unit</t>
  </si>
  <si>
    <t>SUM</t>
  </si>
  <si>
    <t>Total C2 (Ability 3rev1_11Feb'21)</t>
  </si>
  <si>
    <t>Ton/hr.</t>
  </si>
  <si>
    <t>Standard Rate</t>
  </si>
  <si>
    <t>GC</t>
  </si>
  <si>
    <t>SCG</t>
  </si>
  <si>
    <t>GSP C2 Production &lt; 295 Ton/hr.</t>
  </si>
  <si>
    <t>Allocate ลดลงตามสัดส่วน</t>
  </si>
  <si>
    <t>C2 GC</t>
  </si>
  <si>
    <t>Allo C2 Low CO2 to GC</t>
  </si>
  <si>
    <t>Ton</t>
  </si>
  <si>
    <t>Allo C2 High CO2 to GC</t>
  </si>
  <si>
    <t>Allo Total C2 to GC</t>
  </si>
  <si>
    <t>**GC Low CO2 ต้องมากกว่า 50 Ton/hr.**</t>
  </si>
  <si>
    <t>C2 SCG</t>
  </si>
  <si>
    <t>SCG Demand (Updated on 2/12/63)</t>
  </si>
  <si>
    <t>Ton/day</t>
  </si>
  <si>
    <t>Allo C2 Low CO2 to SCG</t>
  </si>
  <si>
    <t>Balance C2</t>
  </si>
  <si>
    <t>C2 Supply &lt; Demand SCG</t>
  </si>
  <si>
    <t>Fill</t>
  </si>
  <si>
    <t>Demand SCG(KT)</t>
  </si>
  <si>
    <t>SCG (C2)</t>
  </si>
  <si>
    <t>SCG (Sub C3)</t>
  </si>
  <si>
    <t>SCG (C3)</t>
  </si>
  <si>
    <t>Total C3</t>
  </si>
  <si>
    <t>Allocate SCG(KT)</t>
  </si>
  <si>
    <t xml:space="preserve">Total Allocate C3 </t>
  </si>
  <si>
    <t>updated 17 dec'20 by SCG</t>
  </si>
  <si>
    <t>GSP RY</t>
  </si>
  <si>
    <t xml:space="preserve">Supply </t>
  </si>
  <si>
    <t>GSP RY Production</t>
  </si>
  <si>
    <t>GC Production</t>
  </si>
  <si>
    <t>Import</t>
  </si>
  <si>
    <t>Demand</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</si>
  <si>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</si>
  <si>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</si>
  <si>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</si>
  <si>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</si>
  <si>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</si>
  <si>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</si>
  <si>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</si>
  <si>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</si>
  <si>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</si>
  <si>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</si>
  <si>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</si>
  <si>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</si>
  <si>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</si>
  <si>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 TBU ดึง Import ขาย Re-Export</t>
  </si>
  <si>
    <t>- GSP ดึง Import ขาย Re-Export (Vessel)</t>
  </si>
  <si>
    <t>- GSP ดึง Import ขาย Re-Export (Truck)</t>
  </si>
  <si>
    <t>BRP Ending Inventory</t>
  </si>
  <si>
    <t>MT-Sphere Ending Inventory</t>
  </si>
  <si>
    <t>MT-C3 Refig Ending Inventory</t>
  </si>
  <si>
    <t>MT-C4 Refig Ending Inventory</t>
  </si>
  <si>
    <t>MT-C3 Refig Ending Inventory (LIFE)</t>
  </si>
  <si>
    <t>MT-C4 Refig Ending Inventory (LIFE)</t>
  </si>
  <si>
    <t>Import Cargo</t>
  </si>
  <si>
    <r>
      <t xml:space="preserve">LR GSP+MT+BRP </t>
    </r>
    <r>
      <rPr>
        <b/>
        <sz val="10"/>
        <rFont val="Calibri"/>
        <family val="2"/>
        <scheme val="minor"/>
      </rPr>
      <t>(min กม. 19 KT/ internal LR 36 KT)</t>
    </r>
  </si>
  <si>
    <t>Term import</t>
  </si>
  <si>
    <t>-</t>
  </si>
  <si>
    <t>GSP need</t>
  </si>
  <si>
    <t>Total LR (GSP RY+MT+BRP)</t>
  </si>
  <si>
    <t>Stock (GSP RY+MT+BRP)</t>
  </si>
  <si>
    <t xml:space="preserve">LR by Legal </t>
  </si>
  <si>
    <t>LR by Internal Control</t>
  </si>
  <si>
    <t>จำนวนวัน</t>
  </si>
  <si>
    <t>Balance C3/LPG</t>
  </si>
  <si>
    <t>Supply Source</t>
  </si>
  <si>
    <t>C3/LPG Tank capacity (49624.4 TON)</t>
  </si>
  <si>
    <t>TON</t>
  </si>
  <si>
    <t>C3/LPG End Inventory</t>
  </si>
  <si>
    <t>% C3/LPG Inventory</t>
  </si>
  <si>
    <t>%</t>
  </si>
  <si>
    <t>SUM Y2021</t>
  </si>
  <si>
    <t>Import จ่ายแทน GSP</t>
  </si>
  <si>
    <t>รอจำหน่าย</t>
  </si>
  <si>
    <t>ดึง Unknow untax</t>
  </si>
  <si>
    <t>ดึง Import จ่ายเพิ่ม</t>
  </si>
  <si>
    <t>Balance C3</t>
  </si>
  <si>
    <t>C3 Tank capacity (10820 TON)</t>
  </si>
  <si>
    <t>C3 End Inventory</t>
  </si>
  <si>
    <t>Cross to LPG (normal cross C3 to aerosal 1,000 Ton/เดือน)</t>
  </si>
  <si>
    <t>% Inventory</t>
  </si>
  <si>
    <t>Balance LPG</t>
  </si>
  <si>
    <t>LPG Tank capacity (38804.4 TON)</t>
  </si>
  <si>
    <t>LPG End Inventory</t>
  </si>
  <si>
    <t>% Inventory (&lt;30% จจ. พิจารณาดึง import แทน C3 Cross to LPG)</t>
  </si>
  <si>
    <t xml:space="preserve">Balance C3 (Directly) --&gt; (-) ผลิตน้อยกว่าขาย </t>
  </si>
  <si>
    <t>Supply</t>
  </si>
  <si>
    <t>Old</t>
  </si>
  <si>
    <t>Updated</t>
  </si>
  <si>
    <t>C3 GSP RY</t>
  </si>
  <si>
    <t>Ability 3rev0_2Feb'21</t>
  </si>
  <si>
    <t>LPG GSP RY</t>
  </si>
  <si>
    <t>C3/LPG GSP RY</t>
  </si>
  <si>
    <t>IRPC</t>
  </si>
  <si>
    <t>SPRC</t>
  </si>
  <si>
    <t xml:space="preserve">PTTEP/LKB </t>
  </si>
  <si>
    <t>GSP KHM</t>
  </si>
  <si>
    <t>Total Supply</t>
  </si>
  <si>
    <t>Lastest</t>
  </si>
  <si>
    <t>Ability 3rev1_11Feb'21</t>
  </si>
  <si>
    <t>Diff</t>
  </si>
  <si>
    <t>เพื่อใส่ใน New balance</t>
  </si>
  <si>
    <t>PTTOR</t>
  </si>
  <si>
    <t>SGP</t>
  </si>
  <si>
    <t>UGP</t>
  </si>
  <si>
    <t>MT</t>
  </si>
  <si>
    <t>MT (หัก import แล้ว)</t>
  </si>
  <si>
    <t>เพื่อดูไฟล์ Daily LPG GSP to MT/BRP/PTT TANK</t>
  </si>
  <si>
    <t>(LPG GSP to MT,BRP)-GC-import</t>
  </si>
  <si>
    <t>C2</t>
  </si>
  <si>
    <t>เพื่อดู Limit max cap ท่อ</t>
  </si>
  <si>
    <t>LPG limit @MT/BRP 184 KT</t>
  </si>
  <si>
    <t>C3</t>
  </si>
  <si>
    <t>เพื่อดู การเสนอราคา import to PTTOR</t>
  </si>
  <si>
    <t>LPG GSP RY + KHM (156 + 5%) 161 KT</t>
  </si>
  <si>
    <t>C3 import</t>
  </si>
  <si>
    <t>SCG (Sum C3)</t>
  </si>
  <si>
    <t>GC (C3/LPG)</t>
  </si>
  <si>
    <t>Customer</t>
  </si>
  <si>
    <t>Source</t>
  </si>
  <si>
    <t>Delivery Point</t>
  </si>
  <si>
    <t>Petro</t>
  </si>
  <si>
    <t>GC (C3)</t>
  </si>
  <si>
    <t>GC (LPG)</t>
  </si>
  <si>
    <t>MOC (Sub C3)</t>
  </si>
  <si>
    <t>SCG/ROC (LPG)</t>
  </si>
  <si>
    <t>HMC (C3)</t>
  </si>
  <si>
    <t>PTTAC (C3)</t>
  </si>
  <si>
    <t>PTTAC (C3 Spot)</t>
  </si>
  <si>
    <t>M.7</t>
  </si>
  <si>
    <t>PTTOR (C3)</t>
  </si>
  <si>
    <t>PTTOR (LPG ไม่มีกลิ่น)</t>
  </si>
  <si>
    <t>MT ก่อนหัก import</t>
  </si>
  <si>
    <t xml:space="preserve">BRP </t>
  </si>
  <si>
    <t>PTT TANK</t>
  </si>
  <si>
    <t>PTT TANK (Truck)</t>
  </si>
  <si>
    <t>BCP</t>
  </si>
  <si>
    <t>Big gas</t>
  </si>
  <si>
    <t>PAP</t>
  </si>
  <si>
    <t>WP</t>
  </si>
  <si>
    <t>Chevron</t>
  </si>
  <si>
    <t>Atlas</t>
  </si>
  <si>
    <t>ESSO</t>
  </si>
  <si>
    <t>UNO</t>
  </si>
  <si>
    <t>Orchid</t>
  </si>
  <si>
    <t xml:space="preserve">SPRC </t>
  </si>
  <si>
    <t>PTTEP (LKB)</t>
  </si>
  <si>
    <t>PTTEP/LKB (Truck)</t>
  </si>
  <si>
    <t>Demand Petro</t>
  </si>
  <si>
    <t>Petro M.7</t>
  </si>
  <si>
    <t>GC+ROC</t>
  </si>
  <si>
    <t>Petro Non M.7</t>
  </si>
  <si>
    <t>HMC+PTTAC</t>
  </si>
  <si>
    <t>Demand M.7</t>
  </si>
  <si>
    <t>All Source</t>
  </si>
  <si>
    <t>M.7 C3+LPG Total Demand</t>
  </si>
  <si>
    <t>All Delivery Point</t>
  </si>
  <si>
    <t>M.7 LPG Total Demand</t>
  </si>
  <si>
    <t>MT+BRP</t>
  </si>
  <si>
    <t>หน้า GSP RY</t>
  </si>
  <si>
    <t>SPRC+EP+KHM</t>
  </si>
  <si>
    <t>All Refinery</t>
  </si>
  <si>
    <r>
      <t xml:space="preserve">M.7 </t>
    </r>
    <r>
      <rPr>
        <b/>
        <sz val="11"/>
        <color theme="1"/>
        <rFont val="Calibri"/>
        <family val="2"/>
        <scheme val="minor"/>
      </rPr>
      <t xml:space="preserve">LPG Total Demand </t>
    </r>
  </si>
  <si>
    <r>
      <rPr>
        <b/>
        <sz val="11"/>
        <color theme="1"/>
        <rFont val="Calibri"/>
        <family val="2"/>
        <scheme val="minor"/>
      </rPr>
      <t>PTTOR</t>
    </r>
    <r>
      <rPr>
        <sz val="11"/>
        <color theme="1"/>
        <rFont val="Calibri"/>
        <family val="2"/>
        <scheme val="minor"/>
      </rPr>
      <t xml:space="preserve"> C3+LPG Total Demand</t>
    </r>
  </si>
  <si>
    <r>
      <rPr>
        <b/>
        <sz val="8"/>
        <color theme="0" tint="-0.499984740745262"/>
        <rFont val="Calibri"/>
        <family val="2"/>
        <scheme val="minor"/>
      </rPr>
      <t>PTTOR</t>
    </r>
    <r>
      <rPr>
        <sz val="8"/>
        <color theme="0" tint="-0.499984740745262"/>
        <rFont val="Calibri"/>
        <family val="2"/>
        <scheme val="minor"/>
      </rPr>
      <t xml:space="preserve"> C3+LPG หัก C3 Truck/Ordourant</t>
    </r>
  </si>
  <si>
    <r>
      <rPr>
        <b/>
        <sz val="11"/>
        <color theme="1"/>
        <rFont val="Calibri"/>
        <family val="2"/>
        <scheme val="minor"/>
      </rPr>
      <t xml:space="preserve">SGP+UGP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</si>
  <si>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</si>
  <si>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</si>
  <si>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Chevron </t>
    </r>
    <r>
      <rPr>
        <sz val="11"/>
        <color theme="1"/>
        <rFont val="Calibri"/>
        <family val="2"/>
        <scheme val="minor"/>
      </rPr>
      <t>LPG Total Demand</t>
    </r>
  </si>
  <si>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</si>
  <si>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</si>
  <si>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</si>
  <si>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Demand Petro + M.7</t>
  </si>
  <si>
    <t>All</t>
  </si>
  <si>
    <t xml:space="preserve">Total Demand Petro + M.7 </t>
  </si>
  <si>
    <t>Check</t>
  </si>
  <si>
    <t>เสนอ import OR (+)</t>
  </si>
  <si>
    <t>NGL (km3)</t>
  </si>
  <si>
    <t>Km3</t>
  </si>
  <si>
    <t>Supply (IN)</t>
  </si>
  <si>
    <t>Demand (OUT)</t>
  </si>
  <si>
    <t xml:space="preserve">PTTGC (km3) </t>
  </si>
  <si>
    <r>
      <t>ROC</t>
    </r>
    <r>
      <rPr>
        <sz val="8"/>
        <color theme="1"/>
        <rFont val="Calibri"/>
        <family val="2"/>
        <scheme val="minor"/>
      </rPr>
      <t xml:space="preserve"> (max meter 48 T/hr.)72 m3/hr)--&gt; 38 T/hr.</t>
    </r>
  </si>
  <si>
    <t>Export to IRPC@MT</t>
  </si>
  <si>
    <t>Export RY</t>
  </si>
  <si>
    <t>Inventory</t>
  </si>
  <si>
    <t>End Inventory (m3)</t>
  </si>
  <si>
    <t>End Inventory (%)</t>
  </si>
  <si>
    <t>Total Demand</t>
  </si>
  <si>
    <t>ROC 2019 ต้องมากกว่า 600 Km3 เพื่อความพึงพอใจของลูกค้า</t>
  </si>
  <si>
    <t>Surplus/Deficit</t>
  </si>
  <si>
    <t>Total Petro</t>
  </si>
  <si>
    <t>Non M.7</t>
  </si>
  <si>
    <t>PTTGC (kTON)</t>
  </si>
  <si>
    <t>10-15 KT</t>
  </si>
  <si>
    <t>8-12 KT</t>
  </si>
  <si>
    <t>ROC</t>
  </si>
  <si>
    <t>NGL 2019</t>
  </si>
  <si>
    <t>NGL 2020</t>
  </si>
  <si>
    <t>MOP'J-15.5</t>
  </si>
  <si>
    <t>MOP'J-12.5</t>
  </si>
  <si>
    <t>MOP'J-12</t>
  </si>
  <si>
    <t>นับ GC 200 KT</t>
  </si>
  <si>
    <t>Ability 11 rev0</t>
  </si>
  <si>
    <t>Ability 11 rev0 (stab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</si>
</sst>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B1mmm\-yy"/>
    <numFmt numFmtId="166" formatCode="_-* #,##0_-;\-* #,##0_-;_-* &quot;-&quot;??_-;_-@_-"/>
    <numFmt numFmtId="167" formatCode="_(* #,##0_);_(* \(#,##0\);_(* &quot;-&quot;??_);_(@_)"/>
    <numFmt numFmtId="168" formatCode="_(* #,##0.0_);_(* \(#,##0.0\);_(* &quot;-&quot;??_);_(@_)"/>
    <numFmt numFmtId="169" formatCode="B1d\-mmm"/>
    <numFmt numFmtId="170" formatCode="_-* #,##0.0_-;\-* #,##0.0_-;_-* &quot;-&quot;??_-;_-@_-"/>
  </numFmts>
  <fonts count="64">
    <font>
      <sz val="11"/>
      <color theme="1"/>
      <name val="Calibri"/>
      <family val="2"/>
      <charset val="222"/>
      <scheme val="minor"/>
    </font>
    <font>
      <sz val="11"/>
      <color theme="1"/>
      <name val="Calibri"/>
      <family val="2"/>
      <charset val="222"/>
      <scheme val="minor"/>
    </font>
    <font>
      <b/>
      <sz val="11"/>
      <color theme="1"/>
      <name val="Calibri"/>
      <family val="2"/>
      <charset val="222"/>
      <scheme val="minor"/>
    </font>
    <font>
      <b/>
      <sz val="11"/>
      <color theme="1"/>
      <name val="Calibri"/>
      <family val="2"/>
      <scheme val="minor"/>
    </font>
    <font>
      <sz val="10"/>
      <color theme="1"/>
      <name val="Tahoma"/>
      <family val="2"/>
    </font>
    <font>
      <b/>
      <sz val="10"/>
      <name val="Tahoma"/>
      <family val="2"/>
    </font>
    <font>
      <b/>
      <sz val="11"/>
      <color rgb="FF0033CC"/>
      <name val="Calibri"/>
      <family val="2"/>
      <charset val="222"/>
      <scheme val="minor"/>
    </font>
    <font>
      <sz val="11"/>
      <color rgb="FF0000FF"/>
      <name val="Calibri"/>
      <family val="2"/>
      <charset val="222"/>
      <scheme val="minor"/>
    </font>
    <font>
      <sz val="11"/>
      <color rgb="FF0033CC"/>
      <name val="Calibri"/>
      <family val="2"/>
      <charset val="222"/>
      <scheme val="minor"/>
    </font>
    <font>
      <sz val="11"/>
      <name val="Calibri"/>
      <family val="2"/>
      <charset val="222"/>
      <scheme val="minor"/>
    </font>
    <font>
      <b/>
      <sz val="11"/>
      <color rgb="FF0000FF"/>
      <name val="Calibri"/>
      <family val="2"/>
      <charset val="222"/>
      <scheme val="minor"/>
    </font>
    <font>
      <sz val="11"/>
      <color rgb="FFFF0000"/>
      <name val="Calibri"/>
      <family val="2"/>
      <charset val="222"/>
      <scheme val="minor"/>
    </font>
    <font>
      <b/>
      <sz val="11"/>
      <color theme="0" tint="-0.499984740745262"/>
      <name val="Calibri"/>
      <family val="2"/>
      <charset val="222"/>
      <scheme val="minor"/>
    </font>
    <font>
      <sz val="11"/>
      <color theme="0" tint="-0.499984740745262"/>
      <name val="Tahoma"/>
      <family val="2"/>
      <charset val="222"/>
    </font>
    <font>
      <b/>
      <sz val="11"/>
      <color theme="0" tint="-0.499984740745262"/>
      <name val="Tahoma"/>
      <family val="2"/>
      <charset val="222"/>
    </font>
    <font>
      <sz val="11"/>
      <color theme="1"/>
      <name val="Calibri"/>
      <family val="2"/>
      <scheme val="minor"/>
    </font>
    <font>
      <b/>
      <sz val="11"/>
      <name val="Tahoma"/>
      <family val="2"/>
    </font>
    <font>
      <b/>
      <sz val="11"/>
      <color rgb="FFFF0000"/>
      <name val="Calibri"/>
      <family val="2"/>
      <scheme val="minor"/>
    </font>
    <font>
      <b/>
      <sz val="10"/>
      <color rgb="FF0000FF"/>
      <name val="Tahoma"/>
      <family val="2"/>
    </font>
    <font>
      <sz val="11"/>
      <color rgb="FF0000FF"/>
      <name val="Tahoma"/>
      <family val="2"/>
      <charset val="222"/>
    </font>
    <font>
      <sz val="11"/>
      <name val="Tahoma"/>
      <family val="2"/>
      <charset val="222"/>
    </font>
    <font>
      <b/>
      <sz val="10"/>
      <color theme="0" tint="-0.499984740745262"/>
      <name val="Tahoma"/>
      <family val="2"/>
    </font>
    <font>
      <b/>
      <sz val="10"/>
      <color rgb="FF000000"/>
      <name val="Tahoma"/>
      <family val="2"/>
    </font>
    <font>
      <sz val="10"/>
      <color rgb="FF000000"/>
      <name val="Tahoma"/>
      <family val="2"/>
    </font>
    <font>
      <sz val="10"/>
      <name val="Tahoma"/>
      <family val="2"/>
    </font>
    <font>
      <b/>
      <sz val="10"/>
      <color theme="1"/>
      <name val="Tahoma"/>
      <family val="2"/>
    </font>
    <font>
      <sz val="10"/>
      <color rgb="FF0033CC"/>
      <name val="Tahoma"/>
      <family val="2"/>
    </font>
    <font>
      <sz val="11"/>
      <name val="Calibri"/>
      <family val="2"/>
      <scheme val="minor"/>
    </font>
    <font>
      <b/>
      <sz val="11"/>
      <name val="Calibri"/>
      <family val="2"/>
      <scheme val="minor"/>
    </font>
    <font>
      <b/>
      <u/>
      <sz val="11"/>
      <color rgb="FFC00000"/>
      <name val="Calibri"/>
      <family val="2"/>
      <scheme val="minor"/>
    </font>
    <font>
      <b/>
      <u/>
      <sz val="11"/>
      <color rgb="FF0000FF"/>
      <name val="Calibri"/>
      <family val="2"/>
      <scheme val="minor"/>
    </font>
    <font>
      <sz val="11"/>
      <color rgb="FF00B0F0"/>
      <name val="Calibri"/>
      <family val="2"/>
      <scheme val="minor"/>
    </font>
    <font>
      <sz val="11"/>
      <color rgb="FFFF0000"/>
      <name val="Calibri"/>
      <family val="2"/>
      <scheme val="minor"/>
    </font>
    <font>
      <sz val="11"/>
      <color theme="5"/>
      <name val="Calibri"/>
      <family val="2"/>
      <scheme val="minor"/>
    </font>
    <font>
      <b/>
      <sz val="10"/>
      <name val="Calibri"/>
      <family val="2"/>
      <scheme val="minor"/>
    </font>
    <font>
      <b/>
      <sz val="8"/>
      <color rgb="FF0000FF"/>
      <name val="Calibri"/>
      <family val="2"/>
      <scheme val="minor"/>
    </font>
    <font>
      <b/>
      <sz val="11"/>
      <color rgb="FF0000FF"/>
      <name val="Calibri"/>
      <family val="2"/>
      <scheme val="minor"/>
    </font>
    <font>
      <b/>
      <sz val="9"/>
      <color indexed="81"/>
      <name val="Tahoma"/>
      <family val="2"/>
    </font>
    <font>
      <sz val="9"/>
      <color indexed="81"/>
      <name val="Tahoma"/>
      <family val="2"/>
    </font>
    <font>
      <b/>
      <sz val="18"/>
      <color rgb="FF0000FF"/>
      <name val="Calibri"/>
      <family val="2"/>
      <scheme val="minor"/>
    </font>
    <font>
      <b/>
      <sz val="11"/>
      <color theme="8" tint="-0.249977111117893"/>
      <name val="Calibri"/>
      <family val="2"/>
      <scheme val="minor"/>
    </font>
    <font>
      <sz val="11"/>
      <color theme="8" tint="-0.249977111117893"/>
      <name val="Calibri"/>
      <family val="2"/>
      <scheme val="minor"/>
    </font>
    <font>
      <sz val="11"/>
      <color rgb="FFC00000"/>
      <name val="Calibri"/>
      <family val="2"/>
      <charset val="222"/>
      <scheme val="minor"/>
    </font>
    <font>
      <b/>
      <sz val="11"/>
      <color theme="0"/>
      <name val="Calibri"/>
      <family val="2"/>
      <scheme val="minor"/>
    </font>
    <font>
      <b/>
      <sz val="11"/>
      <color rgb="FFC00000"/>
      <name val="Calibri"/>
      <family val="2"/>
      <scheme val="minor"/>
    </font>
    <font>
      <sz val="11"/>
      <color rgb="FFC00000"/>
      <name val="Calibri"/>
      <family val="2"/>
      <scheme val="minor"/>
    </font>
    <font>
      <sz val="11"/>
      <color theme="0" tint="-0.499984740745262"/>
      <name val="Calibri"/>
      <family val="2"/>
      <scheme val="minor"/>
    </font>
    <font>
      <sz val="11"/>
      <color theme="0" tint="-0.499984740745262"/>
      <name val="Calibri"/>
      <family val="2"/>
      <charset val="222"/>
      <scheme val="minor"/>
    </font>
    <font>
      <b/>
      <sz val="9"/>
      <color theme="1"/>
      <name val="Calibri"/>
      <family val="2"/>
      <scheme val="minor"/>
    </font>
    <font>
      <sz val="11"/>
      <color rgb="FF0000FF"/>
      <name val="Calibri"/>
      <family val="2"/>
      <scheme val="minor"/>
    </font>
    <font>
      <sz val="11"/>
      <color rgb="FF00B050"/>
      <name val="Calibri"/>
      <family val="2"/>
      <charset val="222"/>
      <scheme val="minor"/>
    </font>
    <font>
      <sz val="9"/>
      <color rgb="FF0000FF"/>
      <name val="Calibri"/>
      <family val="2"/>
      <scheme val="minor"/>
    </font>
    <font>
      <sz val="11"/>
      <color theme="5" tint="-0.249977111117893"/>
      <name val="Calibri"/>
      <family val="2"/>
      <scheme val="minor"/>
    </font>
    <font>
      <sz val="11"/>
      <color rgb="FF7030A0"/>
      <name val="Calibri"/>
      <family val="2"/>
      <scheme val="minor"/>
    </font>
    <font>
      <sz val="11"/>
      <color rgb="FF00B050"/>
      <name val="Calibri"/>
      <family val="2"/>
      <scheme val="minor"/>
    </font>
    <font>
      <sz val="8"/>
      <color theme="0" tint="-0.499984740745262"/>
      <name val="Calibri"/>
      <family val="2"/>
      <scheme val="minor"/>
    </font>
    <font>
      <b/>
      <sz val="8"/>
      <color theme="0" tint="-0.499984740745262"/>
      <name val="Calibri"/>
      <family val="2"/>
      <scheme val="minor"/>
    </font>
    <font>
      <b/>
      <sz val="11"/>
      <color rgb="FF0000FF"/>
      <name val="Tahoma"/>
      <family val="2"/>
    </font>
    <font>
      <b/>
      <sz val="11"/>
      <color rgb="FFFF0000"/>
      <name val="Tahoma"/>
      <family val="2"/>
    </font>
    <font>
      <sz val="8"/>
      <color theme="1"/>
      <name val="Calibri"/>
      <family val="2"/>
      <scheme val="minor"/>
    </font>
    <font>
      <b/>
      <sz val="11"/>
      <color theme="6" tint="0.59999389629810485"/>
      <name val="Tahoma"/>
      <family val="2"/>
    </font>
    <font>
      <b/>
      <sz val="11"/>
      <color rgb="FF92D050"/>
      <name val="Calibri"/>
      <family val="2"/>
      <scheme val="minor"/>
    </font>
    <font>
      <b/>
      <sz val="11"/>
      <color rgb="FFFF00FF"/>
      <name val="Calibri"/>
      <family val="2"/>
      <scheme val="minor"/>
    </font>
    <font>
      <sz val="9"/>
      <color theme="1"/>
      <name val="Calibri"/>
      <family val="2"/>
      <charset val="222"/>
      <scheme val="minor"/>
    </font>
  </fonts>
  <fills count="33">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8ADFF6"/>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E5FF"/>
        <bgColor indexed="64"/>
      </patternFill>
    </fill>
    <fill>
      <patternFill patternType="solid">
        <fgColor theme="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rgb="FFFFC000"/>
        <bgColor rgb="FF000000"/>
      </patternFill>
    </fill>
    <fill>
      <patternFill patternType="solid">
        <fgColor rgb="FFEBF1DE"/>
        <bgColor rgb="FF000000"/>
      </patternFill>
    </fill>
    <fill>
      <patternFill patternType="solid">
        <fgColor rgb="FFFFFF00"/>
        <bgColor rgb="FF000000"/>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610">
    <xf numFmtId="0" fontId="0" fillId="0" borderId="0" xfId="0"/>
    <xf numFmtId="0" fontId="2" fillId="0" borderId="0" xfId="0" applyFont="1"/>
    <xf numFmtId="0" fontId="0" fillId="0" borderId="0" xfId="0" applyAlignment="1">
      <alignment horizontal="center"/>
    </xf>
    <xf numFmtId="164" fontId="3" fillId="0" borderId="0" xfId="1" applyFont="1"/>
    <xf numFmtId="164" fontId="0" fillId="0" borderId="0" xfId="1" applyFont="1" applyFill="1"/>
    <xf numFmtId="164" fontId="0" fillId="0" borderId="0" xfId="1" applyFont="1"/>
    <xf numFmtId="0" fontId="0" fillId="0" borderId="0" xfId="0" applyFill="1"/>
    <xf numFmtId="0" fontId="2" fillId="0" borderId="0" xfId="0" applyFont="1" applyBorder="1"/>
    <xf numFmtId="0" fontId="0" fillId="0" borderId="0" xfId="0" applyBorder="1"/>
    <xf numFmtId="0" fontId="4" fillId="0" borderId="0" xfId="0" applyFont="1" applyBorder="1" applyAlignment="1">
      <alignment vertical="center"/>
    </xf>
    <xf numFmtId="0" fontId="4" fillId="0" borderId="0" xfId="0" applyFont="1" applyFill="1" applyBorder="1" applyAlignment="1">
      <alignment vertical="center"/>
    </xf>
    <xf numFmtId="0" fontId="5" fillId="2" borderId="0" xfId="0" applyFont="1" applyFill="1" applyBorder="1" applyAlignment="1">
      <alignment horizontal="center" vertical="center"/>
    </xf>
    <xf numFmtId="165" fontId="5" fillId="3" borderId="0" xfId="0" applyNumberFormat="1" applyFont="1" applyFill="1" applyBorder="1" applyAlignment="1">
      <alignment horizontal="center" vertical="center"/>
    </xf>
    <xf numFmtId="165" fontId="5" fillId="4" borderId="0"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xf>
    <xf numFmtId="165" fontId="5" fillId="2" borderId="0" xfId="0" applyNumberFormat="1" applyFont="1" applyFill="1" applyBorder="1" applyAlignment="1">
      <alignment horizontal="center" vertical="center"/>
    </xf>
    <xf numFmtId="0" fontId="6" fillId="0" borderId="0" xfId="0" applyFont="1" applyBorder="1"/>
    <xf numFmtId="0" fontId="0" fillId="0" borderId="0" xfId="0" applyBorder="1" applyAlignment="1">
      <alignment horizontal="center"/>
    </xf>
    <xf numFmtId="164" fontId="7" fillId="5" borderId="0" xfId="1" applyFont="1" applyFill="1" applyBorder="1"/>
    <xf numFmtId="164" fontId="8" fillId="5" borderId="0" xfId="1" applyFont="1" applyFill="1" applyBorder="1"/>
    <xf numFmtId="164" fontId="8" fillId="0" borderId="0" xfId="1" applyFont="1" applyFill="1" applyBorder="1"/>
    <xf numFmtId="164" fontId="5" fillId="0" borderId="0" xfId="0" applyNumberFormat="1" applyFont="1" applyBorder="1" applyAlignment="1">
      <alignment vertical="center"/>
    </xf>
    <xf numFmtId="164" fontId="9" fillId="0" borderId="0" xfId="1" applyFont="1" applyBorder="1"/>
    <xf numFmtId="164" fontId="9" fillId="0" borderId="0" xfId="1" applyFont="1" applyFill="1" applyBorder="1"/>
    <xf numFmtId="0" fontId="10" fillId="0" borderId="0" xfId="0" applyFont="1" applyBorder="1"/>
    <xf numFmtId="164" fontId="0" fillId="0" borderId="0" xfId="1" applyFont="1" applyFill="1" applyBorder="1"/>
    <xf numFmtId="166" fontId="0" fillId="0" borderId="0" xfId="1" applyNumberFormat="1" applyFont="1" applyBorder="1"/>
    <xf numFmtId="166" fontId="0" fillId="0" borderId="0" xfId="1" applyNumberFormat="1" applyFont="1" applyFill="1" applyBorder="1"/>
    <xf numFmtId="164" fontId="11" fillId="0" borderId="0" xfId="1" applyFont="1" applyBorder="1"/>
    <xf numFmtId="164" fontId="11" fillId="0" borderId="0" xfId="1" applyFont="1" applyFill="1" applyBorder="1"/>
    <xf numFmtId="164" fontId="0" fillId="0" borderId="0" xfId="1" applyFont="1" applyBorder="1"/>
    <xf numFmtId="0" fontId="12" fillId="0" borderId="0" xfId="0" applyFont="1" applyBorder="1"/>
    <xf numFmtId="0" fontId="13" fillId="0" borderId="0" xfId="0" applyFont="1" applyFill="1" applyBorder="1" applyAlignment="1">
      <alignment horizontal="center" vertical="center"/>
    </xf>
    <xf numFmtId="167" fontId="13" fillId="0" borderId="0" xfId="1" applyNumberFormat="1" applyFont="1" applyFill="1" applyBorder="1" applyAlignment="1">
      <alignment horizontal="center" vertical="center"/>
    </xf>
    <xf numFmtId="164" fontId="14" fillId="0" borderId="0" xfId="0" applyNumberFormat="1" applyFont="1" applyBorder="1" applyAlignment="1">
      <alignment vertical="center"/>
    </xf>
    <xf numFmtId="0" fontId="15" fillId="0" borderId="0" xfId="0" applyFont="1" applyBorder="1" applyAlignment="1">
      <alignment horizontal="center"/>
    </xf>
    <xf numFmtId="164" fontId="15" fillId="0" borderId="0" xfId="1" applyFont="1" applyBorder="1"/>
    <xf numFmtId="164" fontId="15" fillId="0" borderId="0" xfId="1" applyFont="1" applyFill="1" applyBorder="1"/>
    <xf numFmtId="164" fontId="16" fillId="0" borderId="0" xfId="0" applyNumberFormat="1" applyFont="1" applyBorder="1" applyAlignment="1">
      <alignment vertical="center"/>
    </xf>
    <xf numFmtId="166" fontId="15" fillId="0" borderId="0" xfId="1" applyNumberFormat="1" applyFont="1" applyBorder="1"/>
    <xf numFmtId="166" fontId="15" fillId="0" borderId="0" xfId="1" applyNumberFormat="1" applyFont="1" applyFill="1" applyBorder="1"/>
    <xf numFmtId="0" fontId="17" fillId="0" borderId="0" xfId="0" applyFont="1"/>
    <xf numFmtId="0" fontId="18" fillId="0" borderId="0" xfId="0" applyFont="1" applyBorder="1" applyAlignment="1">
      <alignment horizontal="left" vertical="center"/>
    </xf>
    <xf numFmtId="0" fontId="0" fillId="0" borderId="0" xfId="0" applyFont="1" applyBorder="1" applyAlignment="1">
      <alignment horizontal="center"/>
    </xf>
    <xf numFmtId="164" fontId="19" fillId="5" borderId="0" xfId="1" applyFont="1" applyFill="1" applyBorder="1" applyAlignment="1">
      <alignment vertical="center"/>
    </xf>
    <xf numFmtId="164" fontId="19" fillId="0" borderId="0" xfId="1" applyFont="1" applyFill="1" applyBorder="1" applyAlignment="1">
      <alignment vertical="center"/>
    </xf>
    <xf numFmtId="0" fontId="5" fillId="0" borderId="0" xfId="0" applyFont="1" applyBorder="1" applyAlignment="1">
      <alignment horizontal="left" vertical="center"/>
    </xf>
    <xf numFmtId="164" fontId="20" fillId="0" borderId="0" xfId="1" applyFont="1" applyBorder="1" applyAlignment="1">
      <alignment vertical="center"/>
    </xf>
    <xf numFmtId="166" fontId="20" fillId="0" borderId="0" xfId="1" applyNumberFormat="1" applyFont="1" applyFill="1" applyBorder="1" applyAlignment="1">
      <alignment vertical="center"/>
    </xf>
    <xf numFmtId="167" fontId="20" fillId="0" borderId="0" xfId="1" applyNumberFormat="1" applyFont="1" applyBorder="1" applyAlignment="1">
      <alignment vertical="center"/>
    </xf>
    <xf numFmtId="167" fontId="13" fillId="0" borderId="0" xfId="1" applyNumberFormat="1" applyFont="1" applyBorder="1" applyAlignment="1">
      <alignment vertical="center"/>
    </xf>
    <xf numFmtId="164" fontId="21" fillId="0" borderId="0" xfId="0" applyNumberFormat="1" applyFont="1" applyBorder="1" applyAlignment="1">
      <alignment vertical="center"/>
    </xf>
    <xf numFmtId="164" fontId="11" fillId="5" borderId="0" xfId="1" applyFont="1" applyFill="1" applyBorder="1"/>
    <xf numFmtId="164" fontId="11" fillId="5" borderId="0" xfId="0" applyNumberFormat="1" applyFont="1" applyFill="1"/>
    <xf numFmtId="0" fontId="0" fillId="0" borderId="0" xfId="0" applyFill="1" applyBorder="1" applyAlignment="1">
      <alignment horizontal="center"/>
    </xf>
    <xf numFmtId="0" fontId="2" fillId="5" borderId="0" xfId="0" applyFont="1" applyFill="1"/>
    <xf numFmtId="0" fontId="2" fillId="4" borderId="0" xfId="0" applyFont="1" applyFill="1"/>
    <xf numFmtId="0" fontId="2" fillId="0" borderId="0" xfId="0" applyFont="1" applyFill="1"/>
    <xf numFmtId="0" fontId="0" fillId="4" borderId="0" xfId="0" applyFill="1"/>
    <xf numFmtId="0" fontId="22" fillId="0" borderId="1" xfId="0" applyFont="1" applyBorder="1" applyAlignment="1">
      <alignment horizontal="center" vertical="center"/>
    </xf>
    <xf numFmtId="0" fontId="5" fillId="2" borderId="1" xfId="0" applyFont="1" applyFill="1" applyBorder="1" applyAlignment="1">
      <alignment horizontal="center" vertical="center"/>
    </xf>
    <xf numFmtId="165" fontId="22" fillId="6" borderId="1" xfId="0" applyNumberFormat="1" applyFont="1" applyFill="1" applyBorder="1" applyAlignment="1">
      <alignment horizontal="center" vertical="center"/>
    </xf>
    <xf numFmtId="165" fontId="22" fillId="0" borderId="1" xfId="0" applyNumberFormat="1" applyFont="1" applyFill="1" applyBorder="1" applyAlignment="1">
      <alignment horizontal="center" vertical="center"/>
    </xf>
    <xf numFmtId="165" fontId="22" fillId="0" borderId="0" xfId="0" applyNumberFormat="1" applyFont="1" applyFill="1" applyBorder="1" applyAlignment="1">
      <alignment horizontal="center" vertical="center"/>
    </xf>
    <xf numFmtId="0" fontId="4" fillId="0" borderId="0" xfId="0" applyFont="1" applyAlignment="1">
      <alignment vertical="center"/>
    </xf>
    <xf numFmtId="0" fontId="23" fillId="0" borderId="1" xfId="0" applyFont="1" applyBorder="1" applyAlignment="1">
      <alignment vertical="center"/>
    </xf>
    <xf numFmtId="0" fontId="0" fillId="0" borderId="1" xfId="0" applyBorder="1" applyAlignment="1">
      <alignment horizontal="center"/>
    </xf>
    <xf numFmtId="164" fontId="24" fillId="0" borderId="1" xfId="1" applyFont="1" applyBorder="1" applyAlignment="1">
      <alignment vertical="center"/>
    </xf>
    <xf numFmtId="164" fontId="24" fillId="0" borderId="0" xfId="1" applyFont="1" applyFill="1" applyBorder="1" applyAlignment="1">
      <alignment vertical="center"/>
    </xf>
    <xf numFmtId="164" fontId="4" fillId="0" borderId="0" xfId="0" applyNumberFormat="1" applyFont="1" applyAlignment="1">
      <alignment vertical="center"/>
    </xf>
    <xf numFmtId="164" fontId="23" fillId="0" borderId="1" xfId="1" applyFont="1" applyBorder="1" applyAlignment="1">
      <alignment horizontal="center" vertical="center"/>
    </xf>
    <xf numFmtId="164" fontId="4" fillId="0" borderId="1" xfId="1" applyFont="1" applyBorder="1" applyAlignment="1">
      <alignment vertical="center"/>
    </xf>
    <xf numFmtId="164" fontId="4" fillId="0" borderId="0" xfId="1" applyFont="1" applyFill="1" applyBorder="1" applyAlignment="1">
      <alignment vertical="center"/>
    </xf>
    <xf numFmtId="0" fontId="25" fillId="0" borderId="0" xfId="0" applyFont="1" applyAlignment="1">
      <alignment vertical="center"/>
    </xf>
    <xf numFmtId="0" fontId="3" fillId="0" borderId="0" xfId="0" applyFont="1"/>
    <xf numFmtId="164" fontId="25" fillId="0" borderId="0" xfId="1" applyFont="1" applyAlignment="1">
      <alignment vertical="center"/>
    </xf>
    <xf numFmtId="164" fontId="25" fillId="0" borderId="0" xfId="1" applyFont="1" applyFill="1" applyAlignment="1">
      <alignment vertical="center"/>
    </xf>
    <xf numFmtId="164" fontId="25" fillId="0" borderId="0" xfId="0" applyNumberFormat="1" applyFont="1" applyAlignment="1">
      <alignment vertical="center"/>
    </xf>
    <xf numFmtId="164" fontId="4" fillId="0" borderId="0" xfId="1" applyFont="1" applyAlignment="1">
      <alignment vertical="center"/>
    </xf>
    <xf numFmtId="164" fontId="4" fillId="0" borderId="0" xfId="1" applyFont="1" applyFill="1" applyAlignment="1">
      <alignment vertical="center"/>
    </xf>
    <xf numFmtId="0" fontId="26" fillId="0" borderId="1" xfId="0" applyFont="1" applyBorder="1" applyAlignment="1">
      <alignment vertical="center"/>
    </xf>
    <xf numFmtId="0" fontId="8" fillId="0" borderId="1" xfId="0" applyFont="1" applyBorder="1" applyAlignment="1">
      <alignment horizontal="center"/>
    </xf>
    <xf numFmtId="164" fontId="26" fillId="0" borderId="1" xfId="1" applyFont="1" applyBorder="1" applyAlignment="1">
      <alignment vertical="center"/>
    </xf>
    <xf numFmtId="164" fontId="26" fillId="0" borderId="0" xfId="1" applyFont="1" applyFill="1" applyBorder="1" applyAlignment="1">
      <alignment vertical="center"/>
    </xf>
    <xf numFmtId="164" fontId="26" fillId="0" borderId="0" xfId="0" applyNumberFormat="1" applyFont="1" applyAlignment="1">
      <alignment vertical="center"/>
    </xf>
    <xf numFmtId="0" fontId="6" fillId="0" borderId="0" xfId="0" applyFont="1"/>
    <xf numFmtId="0" fontId="8" fillId="0" borderId="0" xfId="0" applyFont="1"/>
    <xf numFmtId="164" fontId="26" fillId="0" borderId="1" xfId="1" applyFont="1" applyBorder="1" applyAlignment="1">
      <alignment horizontal="center" vertical="center"/>
    </xf>
    <xf numFmtId="164" fontId="0" fillId="6" borderId="0" xfId="1" applyFont="1" applyFill="1"/>
    <xf numFmtId="9" fontId="3" fillId="7" borderId="2" xfId="2" applyNumberFormat="1" applyFont="1" applyFill="1" applyBorder="1"/>
    <xf numFmtId="9" fontId="3" fillId="0" borderId="0" xfId="2" applyNumberFormat="1" applyFont="1" applyFill="1" applyBorder="1"/>
    <xf numFmtId="164" fontId="0" fillId="0" borderId="0" xfId="0" applyNumberFormat="1"/>
    <xf numFmtId="0" fontId="27" fillId="8" borderId="3" xfId="0" applyFont="1" applyFill="1" applyBorder="1"/>
    <xf numFmtId="0" fontId="28" fillId="8" borderId="4" xfId="0" applyFont="1" applyFill="1" applyBorder="1" applyAlignment="1">
      <alignment horizontal="center"/>
    </xf>
    <xf numFmtId="165" fontId="28" fillId="8" borderId="4" xfId="0" applyNumberFormat="1" applyFont="1" applyFill="1" applyBorder="1" applyAlignment="1">
      <alignment horizontal="center" vertical="center"/>
    </xf>
    <xf numFmtId="0" fontId="27" fillId="8" borderId="0" xfId="0" applyFont="1" applyFill="1" applyBorder="1"/>
    <xf numFmtId="0" fontId="29" fillId="8" borderId="0" xfId="0" applyFont="1" applyFill="1" applyBorder="1"/>
    <xf numFmtId="0" fontId="27" fillId="8" borderId="0" xfId="0" applyFont="1" applyFill="1" applyBorder="1" applyAlignment="1">
      <alignment horizontal="center"/>
    </xf>
    <xf numFmtId="165" fontId="27" fillId="8" borderId="0" xfId="0" applyNumberFormat="1" applyFont="1" applyFill="1" applyBorder="1" applyAlignment="1">
      <alignment horizontal="center" vertical="center"/>
    </xf>
    <xf numFmtId="0" fontId="30" fillId="9" borderId="0" xfId="0" applyFont="1" applyFill="1" applyBorder="1"/>
    <xf numFmtId="0" fontId="27" fillId="9" borderId="0" xfId="0" applyFont="1" applyFill="1" applyBorder="1" applyAlignment="1">
      <alignment horizontal="center"/>
    </xf>
    <xf numFmtId="167" fontId="27" fillId="9" borderId="0" xfId="1" applyNumberFormat="1" applyFont="1" applyFill="1" applyBorder="1"/>
    <xf numFmtId="0" fontId="31" fillId="8" borderId="0" xfId="0" applyFont="1" applyFill="1" applyBorder="1"/>
    <xf numFmtId="0" fontId="31" fillId="8" borderId="0" xfId="0" applyFont="1" applyFill="1" applyBorder="1" applyAlignment="1">
      <alignment horizontal="center"/>
    </xf>
    <xf numFmtId="167" fontId="32" fillId="8" borderId="0" xfId="1" applyNumberFormat="1" applyFont="1" applyFill="1" applyBorder="1"/>
    <xf numFmtId="167" fontId="31" fillId="8" borderId="0" xfId="1" applyNumberFormat="1" applyFont="1" applyFill="1" applyBorder="1"/>
    <xf numFmtId="0" fontId="33" fillId="8" borderId="0" xfId="0" quotePrefix="1" applyFont="1" applyFill="1" applyBorder="1"/>
    <xf numFmtId="0" fontId="33" fillId="8" borderId="0" xfId="0" applyFont="1" applyFill="1" applyBorder="1" applyAlignment="1">
      <alignment horizontal="center"/>
    </xf>
    <xf numFmtId="0" fontId="27" fillId="10" borderId="0" xfId="0" applyFont="1" applyFill="1" applyBorder="1"/>
    <xf numFmtId="0" fontId="27" fillId="10" borderId="0" xfId="0" applyFont="1" applyFill="1" applyBorder="1" applyAlignment="1">
      <alignment horizontal="center"/>
    </xf>
    <xf numFmtId="167" fontId="32" fillId="10" borderId="0" xfId="1" applyNumberFormat="1" applyFont="1" applyFill="1" applyBorder="1"/>
    <xf numFmtId="167" fontId="27" fillId="8" borderId="0" xfId="1" applyNumberFormat="1" applyFont="1" applyFill="1" applyBorder="1" applyAlignment="1">
      <alignment horizontal="center" vertical="center"/>
    </xf>
    <xf numFmtId="167" fontId="27" fillId="8" borderId="0" xfId="1" applyNumberFormat="1" applyFont="1" applyFill="1" applyBorder="1"/>
    <xf numFmtId="0" fontId="31" fillId="9" borderId="0" xfId="0" applyFont="1" applyFill="1" applyBorder="1" applyAlignment="1">
      <alignment horizontal="center"/>
    </xf>
    <xf numFmtId="167" fontId="31" fillId="9" borderId="0" xfId="1" applyNumberFormat="1" applyFont="1" applyFill="1" applyBorder="1"/>
    <xf numFmtId="167" fontId="33" fillId="8" borderId="0" xfId="1" applyNumberFormat="1" applyFont="1" applyFill="1" applyBorder="1"/>
    <xf numFmtId="0" fontId="30" fillId="11" borderId="0" xfId="0" applyFont="1" applyFill="1" applyBorder="1"/>
    <xf numFmtId="0" fontId="27" fillId="11" borderId="0" xfId="0" applyFont="1" applyFill="1" applyBorder="1" applyAlignment="1">
      <alignment horizontal="center"/>
    </xf>
    <xf numFmtId="167" fontId="27" fillId="11" borderId="0" xfId="1" applyNumberFormat="1" applyFont="1" applyFill="1" applyBorder="1"/>
    <xf numFmtId="168" fontId="32" fillId="8" borderId="0" xfId="1" applyNumberFormat="1" applyFont="1" applyFill="1" applyBorder="1"/>
    <xf numFmtId="167" fontId="27" fillId="10" borderId="0" xfId="1" applyNumberFormat="1" applyFont="1" applyFill="1" applyBorder="1"/>
    <xf numFmtId="4" fontId="27" fillId="8" borderId="0" xfId="0" applyNumberFormat="1" applyFont="1" applyFill="1" applyBorder="1"/>
    <xf numFmtId="164" fontId="27" fillId="8" borderId="0" xfId="1" applyFont="1" applyFill="1" applyBorder="1"/>
    <xf numFmtId="0" fontId="28" fillId="8" borderId="0" xfId="0" applyFont="1" applyFill="1" applyBorder="1"/>
    <xf numFmtId="0" fontId="28" fillId="8" borderId="0" xfId="0" applyFont="1" applyFill="1" applyBorder="1" applyAlignment="1">
      <alignment horizontal="center"/>
    </xf>
    <xf numFmtId="167" fontId="28" fillId="8" borderId="0" xfId="1" applyNumberFormat="1" applyFont="1" applyFill="1" applyBorder="1"/>
    <xf numFmtId="167" fontId="17" fillId="8" borderId="0" xfId="1" applyNumberFormat="1" applyFont="1" applyFill="1" applyBorder="1"/>
    <xf numFmtId="0" fontId="28" fillId="12" borderId="0" xfId="0" applyFont="1" applyFill="1" applyBorder="1" applyAlignment="1"/>
    <xf numFmtId="0" fontId="28" fillId="12" borderId="0" xfId="0" applyFont="1" applyFill="1" applyBorder="1" applyAlignment="1">
      <alignment horizontal="center"/>
    </xf>
    <xf numFmtId="167" fontId="28" fillId="12" borderId="0" xfId="1" applyNumberFormat="1" applyFont="1" applyFill="1" applyBorder="1"/>
    <xf numFmtId="166" fontId="27" fillId="8" borderId="0" xfId="0" applyNumberFormat="1" applyFont="1" applyFill="1" applyBorder="1"/>
    <xf numFmtId="0" fontId="27" fillId="8" borderId="0" xfId="0" applyFont="1" applyFill="1" applyBorder="1" applyAlignment="1"/>
    <xf numFmtId="0" fontId="35" fillId="8" borderId="0" xfId="0" applyFont="1" applyFill="1" applyBorder="1" applyAlignment="1">
      <alignment horizontal="center"/>
    </xf>
    <xf numFmtId="166" fontId="27" fillId="8" borderId="0" xfId="3" applyNumberFormat="1" applyFont="1" applyFill="1" applyBorder="1"/>
    <xf numFmtId="167" fontId="36" fillId="8" borderId="0" xfId="1" applyNumberFormat="1" applyFont="1" applyFill="1" applyBorder="1"/>
    <xf numFmtId="0" fontId="15" fillId="8" borderId="0" xfId="0" applyFont="1" applyFill="1" applyBorder="1"/>
    <xf numFmtId="0" fontId="17" fillId="8" borderId="0" xfId="0" applyFont="1" applyFill="1" applyBorder="1"/>
    <xf numFmtId="4" fontId="15" fillId="8" borderId="0" xfId="0" applyNumberFormat="1" applyFont="1" applyFill="1" applyBorder="1"/>
    <xf numFmtId="0" fontId="15" fillId="8" borderId="0" xfId="0" applyFont="1" applyFill="1" applyBorder="1" applyAlignment="1">
      <alignment horizontal="center"/>
    </xf>
    <xf numFmtId="167" fontId="15" fillId="8" borderId="0" xfId="0" applyNumberFormat="1" applyFont="1" applyFill="1" applyBorder="1"/>
    <xf numFmtId="165" fontId="15" fillId="8" borderId="0" xfId="0" applyNumberFormat="1" applyFont="1" applyFill="1" applyBorder="1"/>
    <xf numFmtId="165" fontId="3" fillId="8" borderId="0" xfId="0" applyNumberFormat="1" applyFont="1" applyFill="1" applyBorder="1"/>
    <xf numFmtId="166" fontId="15" fillId="8" borderId="0" xfId="0" applyNumberFormat="1" applyFont="1" applyFill="1" applyBorder="1"/>
    <xf numFmtId="0" fontId="3" fillId="8" borderId="0" xfId="0" applyFont="1" applyFill="1"/>
    <xf numFmtId="0" fontId="0" fillId="8" borderId="0" xfId="0" applyFill="1" applyAlignment="1">
      <alignment horizontal="center"/>
    </xf>
    <xf numFmtId="0" fontId="0" fillId="8" borderId="0" xfId="0" applyFill="1"/>
    <xf numFmtId="0" fontId="0" fillId="8" borderId="0" xfId="0" applyFill="1" applyAlignment="1">
      <alignment horizontal="right"/>
    </xf>
    <xf numFmtId="0" fontId="39" fillId="8" borderId="0" xfId="0" applyFont="1" applyFill="1"/>
    <xf numFmtId="164" fontId="0" fillId="8" borderId="0" xfId="1" applyFont="1" applyFill="1"/>
    <xf numFmtId="169" fontId="0" fillId="8" borderId="0" xfId="0" applyNumberFormat="1" applyFill="1"/>
    <xf numFmtId="167" fontId="0" fillId="8" borderId="0" xfId="1" applyNumberFormat="1" applyFont="1" applyFill="1" applyAlignment="1">
      <alignment horizontal="center"/>
    </xf>
    <xf numFmtId="0" fontId="40" fillId="13" borderId="3" xfId="0" applyFont="1" applyFill="1" applyBorder="1" applyAlignment="1">
      <alignment horizontal="center"/>
    </xf>
    <xf numFmtId="0" fontId="40" fillId="13" borderId="4" xfId="0" applyFont="1" applyFill="1" applyBorder="1" applyAlignment="1">
      <alignment horizontal="center"/>
    </xf>
    <xf numFmtId="0" fontId="40" fillId="13" borderId="4" xfId="0" applyFont="1" applyFill="1" applyBorder="1" applyAlignment="1">
      <alignment horizontal="center"/>
    </xf>
    <xf numFmtId="0" fontId="40" fillId="13" borderId="5" xfId="0" applyFont="1" applyFill="1" applyBorder="1" applyAlignment="1">
      <alignment horizontal="center"/>
    </xf>
    <xf numFmtId="165" fontId="40" fillId="13" borderId="4" xfId="0" applyNumberFormat="1" applyFont="1" applyFill="1" applyBorder="1" applyAlignment="1">
      <alignment horizontal="center" vertical="center"/>
    </xf>
    <xf numFmtId="165" fontId="40" fillId="14" borderId="4" xfId="0" applyNumberFormat="1" applyFont="1" applyFill="1" applyBorder="1" applyAlignment="1">
      <alignment horizontal="center" vertical="center"/>
    </xf>
    <xf numFmtId="165" fontId="17" fillId="14" borderId="4" xfId="0" applyNumberFormat="1" applyFont="1" applyFill="1" applyBorder="1" applyAlignment="1">
      <alignment horizontal="center" vertical="center"/>
    </xf>
    <xf numFmtId="0" fontId="41" fillId="8" borderId="6" xfId="0" applyFont="1" applyFill="1" applyBorder="1"/>
    <xf numFmtId="0" fontId="41" fillId="8" borderId="0" xfId="0" applyFont="1" applyFill="1"/>
    <xf numFmtId="0" fontId="41" fillId="0" borderId="0" xfId="0" applyFont="1"/>
    <xf numFmtId="0" fontId="3" fillId="8" borderId="7" xfId="0" applyFont="1" applyFill="1" applyBorder="1"/>
    <xf numFmtId="0" fontId="0" fillId="8" borderId="8" xfId="0" applyFill="1" applyBorder="1" applyAlignment="1">
      <alignment horizontal="center"/>
    </xf>
    <xf numFmtId="0" fontId="0" fillId="8" borderId="8" xfId="0" applyFill="1" applyBorder="1"/>
    <xf numFmtId="0" fontId="0" fillId="8" borderId="9" xfId="0" applyFill="1" applyBorder="1" applyAlignment="1">
      <alignment horizontal="right"/>
    </xf>
    <xf numFmtId="170" fontId="0" fillId="0" borderId="8" xfId="1" applyNumberFormat="1" applyFont="1" applyBorder="1"/>
    <xf numFmtId="170" fontId="0" fillId="8" borderId="8" xfId="1" applyNumberFormat="1" applyFont="1" applyFill="1" applyBorder="1"/>
    <xf numFmtId="0" fontId="0" fillId="8" borderId="0" xfId="0" applyFill="1" applyBorder="1"/>
    <xf numFmtId="9" fontId="0" fillId="0" borderId="0" xfId="0" applyNumberFormat="1"/>
    <xf numFmtId="9" fontId="0" fillId="0" borderId="0" xfId="2" applyFont="1"/>
    <xf numFmtId="0" fontId="3" fillId="8" borderId="10" xfId="0" applyFont="1" applyFill="1" applyBorder="1" applyAlignment="1">
      <alignment horizontal="left" indent="1"/>
    </xf>
    <xf numFmtId="0" fontId="0" fillId="8" borderId="0" xfId="0" applyFill="1" applyBorder="1" applyAlignment="1">
      <alignment horizontal="center"/>
    </xf>
    <xf numFmtId="0" fontId="0" fillId="8" borderId="11" xfId="0" applyFill="1" applyBorder="1" applyAlignment="1">
      <alignment horizontal="right"/>
    </xf>
    <xf numFmtId="170" fontId="0" fillId="8" borderId="0" xfId="1" applyNumberFormat="1" applyFont="1" applyFill="1" applyBorder="1"/>
    <xf numFmtId="170" fontId="42" fillId="8" borderId="0" xfId="1" applyNumberFormat="1" applyFont="1" applyFill="1" applyBorder="1"/>
    <xf numFmtId="170" fontId="11" fillId="8" borderId="0" xfId="1" applyNumberFormat="1" applyFont="1" applyFill="1" applyBorder="1"/>
    <xf numFmtId="170" fontId="9" fillId="8" borderId="0" xfId="1" applyNumberFormat="1" applyFont="1" applyFill="1" applyBorder="1"/>
    <xf numFmtId="0" fontId="3" fillId="0" borderId="10" xfId="0" applyFont="1" applyBorder="1" applyAlignment="1">
      <alignment horizontal="left" indent="1"/>
    </xf>
    <xf numFmtId="166" fontId="0" fillId="8" borderId="0" xfId="1" applyNumberFormat="1" applyFont="1" applyFill="1" applyBorder="1"/>
    <xf numFmtId="0" fontId="3" fillId="15" borderId="10" xfId="0" applyFont="1" applyFill="1" applyBorder="1" applyAlignment="1">
      <alignment horizontal="left" indent="1"/>
    </xf>
    <xf numFmtId="9" fontId="3" fillId="8" borderId="0" xfId="2" applyFont="1" applyFill="1" applyBorder="1"/>
    <xf numFmtId="9" fontId="3" fillId="8" borderId="0" xfId="2" applyNumberFormat="1" applyFont="1" applyFill="1" applyBorder="1"/>
    <xf numFmtId="9" fontId="3" fillId="15" borderId="0" xfId="2" applyNumberFormat="1" applyFont="1" applyFill="1" applyBorder="1"/>
    <xf numFmtId="0" fontId="40" fillId="8" borderId="0" xfId="0" applyFont="1" applyFill="1"/>
    <xf numFmtId="0" fontId="43" fillId="16" borderId="10" xfId="0" applyFont="1" applyFill="1" applyBorder="1" applyAlignment="1">
      <alignment horizontal="left" indent="1"/>
    </xf>
    <xf numFmtId="166" fontId="43" fillId="16" borderId="0" xfId="1" applyNumberFormat="1" applyFont="1" applyFill="1" applyBorder="1"/>
    <xf numFmtId="170" fontId="43" fillId="16" borderId="0" xfId="1" applyNumberFormat="1" applyFont="1" applyFill="1" applyBorder="1"/>
    <xf numFmtId="164" fontId="43" fillId="16" borderId="0" xfId="1" applyNumberFormat="1" applyFont="1" applyFill="1" applyBorder="1"/>
    <xf numFmtId="167" fontId="43" fillId="16" borderId="0" xfId="1" applyNumberFormat="1" applyFont="1" applyFill="1" applyBorder="1"/>
    <xf numFmtId="168" fontId="43" fillId="16" borderId="0" xfId="1" applyNumberFormat="1" applyFont="1" applyFill="1" applyBorder="1"/>
    <xf numFmtId="164" fontId="43" fillId="16" borderId="0" xfId="1" applyFont="1" applyFill="1" applyBorder="1"/>
    <xf numFmtId="167" fontId="3" fillId="8" borderId="0" xfId="1" applyNumberFormat="1" applyFont="1" applyFill="1"/>
    <xf numFmtId="0" fontId="43" fillId="17" borderId="12" xfId="0" applyFont="1" applyFill="1" applyBorder="1" applyAlignment="1">
      <alignment horizontal="left" indent="1"/>
    </xf>
    <xf numFmtId="0" fontId="0" fillId="8" borderId="2" xfId="0" applyFill="1" applyBorder="1" applyAlignment="1">
      <alignment horizontal="center"/>
    </xf>
    <xf numFmtId="0" fontId="0" fillId="8" borderId="2" xfId="0" applyFill="1" applyBorder="1"/>
    <xf numFmtId="0" fontId="0" fillId="8" borderId="13" xfId="0" applyFill="1" applyBorder="1" applyAlignment="1">
      <alignment horizontal="right"/>
    </xf>
    <xf numFmtId="166" fontId="43" fillId="18" borderId="2" xfId="1" applyNumberFormat="1" applyFont="1" applyFill="1" applyBorder="1"/>
    <xf numFmtId="170" fontId="43" fillId="18" borderId="2" xfId="1" applyNumberFormat="1" applyFont="1" applyFill="1" applyBorder="1"/>
    <xf numFmtId="164" fontId="43" fillId="18" borderId="2" xfId="1" applyNumberFormat="1" applyFont="1" applyFill="1" applyBorder="1"/>
    <xf numFmtId="167" fontId="43" fillId="18" borderId="2" xfId="1" applyNumberFormat="1" applyFont="1" applyFill="1" applyBorder="1"/>
    <xf numFmtId="0" fontId="0" fillId="8" borderId="0" xfId="0" applyFill="1" applyBorder="1" applyAlignment="1">
      <alignment horizontal="right"/>
    </xf>
    <xf numFmtId="166" fontId="28" fillId="8" borderId="0" xfId="1" applyNumberFormat="1" applyFont="1" applyFill="1" applyBorder="1"/>
    <xf numFmtId="164" fontId="28" fillId="8" borderId="0" xfId="1" applyFont="1" applyFill="1" applyBorder="1"/>
    <xf numFmtId="170" fontId="28" fillId="8" borderId="0" xfId="1" applyNumberFormat="1" applyFont="1" applyFill="1" applyBorder="1"/>
    <xf numFmtId="0" fontId="41" fillId="8" borderId="0" xfId="0" applyFont="1" applyFill="1" applyBorder="1"/>
    <xf numFmtId="170" fontId="0" fillId="8" borderId="7" xfId="1" applyNumberFormat="1" applyFont="1" applyFill="1" applyBorder="1"/>
    <xf numFmtId="170" fontId="9" fillId="8" borderId="10" xfId="1" applyNumberFormat="1" applyFont="1" applyFill="1" applyBorder="1"/>
    <xf numFmtId="166" fontId="0" fillId="8" borderId="10" xfId="1" applyNumberFormat="1" applyFont="1" applyFill="1" applyBorder="1"/>
    <xf numFmtId="0" fontId="3" fillId="8" borderId="12" xfId="0" applyFont="1" applyFill="1" applyBorder="1" applyAlignment="1">
      <alignment horizontal="left" indent="1"/>
    </xf>
    <xf numFmtId="9" fontId="3" fillId="7" borderId="12" xfId="2" applyNumberFormat="1" applyFont="1" applyFill="1" applyBorder="1"/>
    <xf numFmtId="165" fontId="40" fillId="13" borderId="3" xfId="0" applyNumberFormat="1" applyFont="1" applyFill="1" applyBorder="1" applyAlignment="1">
      <alignment horizontal="center" vertical="center"/>
    </xf>
    <xf numFmtId="164" fontId="0" fillId="8" borderId="0" xfId="0" applyNumberFormat="1" applyFill="1"/>
    <xf numFmtId="0" fontId="44" fillId="8" borderId="0" xfId="0" applyFont="1" applyFill="1"/>
    <xf numFmtId="0" fontId="40" fillId="13" borderId="7" xfId="0" applyFont="1" applyFill="1" applyBorder="1" applyAlignment="1">
      <alignment horizontal="center"/>
    </xf>
    <xf numFmtId="0" fontId="40" fillId="13" borderId="8" xfId="0" applyFont="1" applyFill="1" applyBorder="1" applyAlignment="1">
      <alignment horizontal="center"/>
    </xf>
    <xf numFmtId="0" fontId="40" fillId="13" borderId="9" xfId="0" applyFont="1" applyFill="1" applyBorder="1" applyAlignment="1">
      <alignment horizontal="center"/>
    </xf>
    <xf numFmtId="0" fontId="3" fillId="8" borderId="7" xfId="0" applyFont="1" applyFill="1" applyBorder="1" applyAlignment="1"/>
    <xf numFmtId="0" fontId="3" fillId="8" borderId="8" xfId="0" applyFont="1" applyFill="1" applyBorder="1" applyAlignment="1"/>
    <xf numFmtId="0" fontId="0" fillId="8" borderId="8" xfId="0" applyFill="1" applyBorder="1" applyAlignment="1">
      <alignment horizontal="center"/>
    </xf>
    <xf numFmtId="0" fontId="0" fillId="8" borderId="9" xfId="0" applyFill="1" applyBorder="1" applyAlignment="1">
      <alignment horizontal="center"/>
    </xf>
    <xf numFmtId="165" fontId="40" fillId="13" borderId="0" xfId="0" applyNumberFormat="1" applyFont="1" applyFill="1" applyBorder="1" applyAlignment="1">
      <alignment horizontal="center" vertical="center"/>
    </xf>
    <xf numFmtId="164" fontId="15" fillId="8" borderId="0" xfId="1" applyFont="1" applyFill="1" applyBorder="1" applyAlignment="1">
      <alignment horizontal="center" vertical="center"/>
    </xf>
    <xf numFmtId="167" fontId="15" fillId="8" borderId="0" xfId="1" applyNumberFormat="1" applyFont="1" applyFill="1" applyBorder="1" applyAlignment="1">
      <alignment horizontal="center" vertical="center"/>
    </xf>
    <xf numFmtId="0" fontId="3" fillId="8" borderId="10" xfId="0" applyFont="1" applyFill="1" applyBorder="1" applyAlignment="1"/>
    <xf numFmtId="0" fontId="3" fillId="8" borderId="0" xfId="0" applyFont="1" applyFill="1" applyBorder="1" applyAlignment="1"/>
    <xf numFmtId="0" fontId="0" fillId="8" borderId="0" xfId="0" applyFill="1" applyBorder="1" applyAlignment="1">
      <alignment horizontal="center"/>
    </xf>
    <xf numFmtId="0" fontId="0" fillId="8" borderId="11" xfId="0" applyFill="1" applyBorder="1" applyAlignment="1">
      <alignment horizontal="center"/>
    </xf>
    <xf numFmtId="0" fontId="0" fillId="8" borderId="0" xfId="0" applyFill="1" applyBorder="1" applyAlignment="1"/>
    <xf numFmtId="164" fontId="27" fillId="8" borderId="0" xfId="1" applyFont="1" applyFill="1" applyBorder="1" applyAlignment="1">
      <alignment horizontal="center" vertical="center"/>
    </xf>
    <xf numFmtId="169" fontId="0" fillId="8" borderId="0" xfId="0" applyNumberFormat="1" applyFill="1" applyBorder="1" applyAlignment="1">
      <alignment horizontal="center"/>
    </xf>
    <xf numFmtId="169" fontId="0" fillId="8" borderId="11" xfId="0" applyNumberFormat="1" applyFill="1" applyBorder="1" applyAlignment="1">
      <alignment horizontal="center"/>
    </xf>
    <xf numFmtId="164" fontId="15" fillId="8" borderId="0" xfId="1" applyFont="1" applyFill="1" applyBorder="1"/>
    <xf numFmtId="0" fontId="3" fillId="8" borderId="12" xfId="0" applyFont="1" applyFill="1" applyBorder="1" applyAlignment="1"/>
    <xf numFmtId="0" fontId="0" fillId="8" borderId="2" xfId="0" applyFill="1" applyBorder="1" applyAlignment="1"/>
    <xf numFmtId="169" fontId="0" fillId="8" borderId="2" xfId="0" applyNumberFormat="1" applyFill="1" applyBorder="1" applyAlignment="1">
      <alignment horizontal="center"/>
    </xf>
    <xf numFmtId="169" fontId="0" fillId="8" borderId="13" xfId="0" applyNumberFormat="1" applyFill="1" applyBorder="1" applyAlignment="1">
      <alignment horizontal="center"/>
    </xf>
    <xf numFmtId="0" fontId="3" fillId="8" borderId="12" xfId="0" applyFont="1" applyFill="1" applyBorder="1" applyAlignment="1">
      <alignment horizontal="center"/>
    </xf>
    <xf numFmtId="0" fontId="3" fillId="8" borderId="2" xfId="0" applyFont="1" applyFill="1" applyBorder="1" applyAlignment="1">
      <alignment horizontal="center"/>
    </xf>
    <xf numFmtId="0" fontId="3" fillId="8" borderId="13" xfId="0" applyFont="1" applyFill="1" applyBorder="1" applyAlignment="1">
      <alignment horizontal="center"/>
    </xf>
    <xf numFmtId="164" fontId="3" fillId="8" borderId="3" xfId="0" applyNumberFormat="1" applyFont="1" applyFill="1" applyBorder="1"/>
    <xf numFmtId="164" fontId="3" fillId="8" borderId="4" xfId="0" applyNumberFormat="1" applyFont="1" applyFill="1" applyBorder="1"/>
    <xf numFmtId="167" fontId="15" fillId="19" borderId="0" xfId="1" applyNumberFormat="1" applyFont="1" applyFill="1" applyBorder="1" applyAlignment="1">
      <alignment horizontal="center" vertical="center"/>
    </xf>
    <xf numFmtId="164" fontId="27" fillId="19" borderId="0" xfId="1" applyFont="1" applyFill="1" applyBorder="1" applyAlignment="1">
      <alignment horizontal="center" vertical="center"/>
    </xf>
    <xf numFmtId="164" fontId="32" fillId="19" borderId="0" xfId="1" applyFont="1" applyFill="1" applyBorder="1" applyAlignment="1">
      <alignment horizontal="center" vertical="center"/>
    </xf>
    <xf numFmtId="164" fontId="15" fillId="19" borderId="0" xfId="1" applyFont="1" applyFill="1" applyBorder="1" applyAlignment="1">
      <alignment horizontal="center" vertical="center"/>
    </xf>
    <xf numFmtId="167" fontId="32" fillId="19" borderId="0" xfId="1" applyNumberFormat="1" applyFont="1" applyFill="1" applyBorder="1" applyAlignment="1">
      <alignment horizontal="center" vertical="center"/>
    </xf>
    <xf numFmtId="167" fontId="15" fillId="4" borderId="0" xfId="1" applyNumberFormat="1" applyFont="1" applyFill="1" applyBorder="1" applyAlignment="1">
      <alignment horizontal="center" vertical="center"/>
    </xf>
    <xf numFmtId="168" fontId="32" fillId="19" borderId="0" xfId="1" applyNumberFormat="1" applyFont="1" applyFill="1" applyBorder="1" applyAlignment="1">
      <alignment horizontal="center" vertical="center"/>
    </xf>
    <xf numFmtId="168" fontId="15" fillId="19" borderId="0" xfId="1" applyNumberFormat="1" applyFont="1" applyFill="1" applyBorder="1" applyAlignment="1">
      <alignment horizontal="center" vertical="center"/>
    </xf>
    <xf numFmtId="168" fontId="15" fillId="7" borderId="0" xfId="1" applyNumberFormat="1" applyFont="1" applyFill="1" applyBorder="1" applyAlignment="1">
      <alignment horizontal="center" vertical="center"/>
    </xf>
    <xf numFmtId="168" fontId="45" fillId="7" borderId="0" xfId="1" applyNumberFormat="1" applyFont="1" applyFill="1" applyBorder="1" applyAlignment="1">
      <alignment horizontal="center" vertical="center"/>
    </xf>
    <xf numFmtId="168" fontId="32" fillId="7" borderId="0" xfId="1" applyNumberFormat="1" applyFont="1" applyFill="1" applyBorder="1" applyAlignment="1">
      <alignment horizontal="center" vertical="center"/>
    </xf>
    <xf numFmtId="168" fontId="27" fillId="7" borderId="0" xfId="1" applyNumberFormat="1" applyFont="1" applyFill="1" applyBorder="1" applyAlignment="1">
      <alignment horizontal="center" vertical="center"/>
    </xf>
    <xf numFmtId="168" fontId="27" fillId="19" borderId="0" xfId="1" applyNumberFormat="1" applyFont="1" applyFill="1" applyBorder="1" applyAlignment="1">
      <alignment horizontal="center" vertical="center"/>
    </xf>
    <xf numFmtId="164" fontId="15" fillId="19" borderId="0" xfId="1" applyFont="1" applyFill="1" applyBorder="1"/>
    <xf numFmtId="164" fontId="32" fillId="19" borderId="0" xfId="1" applyFont="1" applyFill="1" applyBorder="1"/>
    <xf numFmtId="167" fontId="32" fillId="19" borderId="0" xfId="1" applyNumberFormat="1" applyFont="1" applyFill="1" applyBorder="1"/>
    <xf numFmtId="167" fontId="27" fillId="19" borderId="0" xfId="1" applyNumberFormat="1" applyFont="1" applyFill="1" applyBorder="1" applyAlignment="1">
      <alignment horizontal="center" vertical="center"/>
    </xf>
    <xf numFmtId="167" fontId="15" fillId="19" borderId="0" xfId="1" applyNumberFormat="1" applyFont="1" applyFill="1" applyBorder="1"/>
    <xf numFmtId="168" fontId="15" fillId="19" borderId="0" xfId="1" applyNumberFormat="1" applyFont="1" applyFill="1" applyBorder="1"/>
    <xf numFmtId="168" fontId="32" fillId="19" borderId="0" xfId="1" applyNumberFormat="1" applyFont="1" applyFill="1" applyBorder="1"/>
    <xf numFmtId="164" fontId="27" fillId="19" borderId="0" xfId="1" applyFont="1" applyFill="1" applyBorder="1"/>
    <xf numFmtId="168" fontId="27" fillId="19" borderId="0" xfId="1" applyNumberFormat="1" applyFont="1" applyFill="1" applyBorder="1"/>
    <xf numFmtId="0" fontId="3" fillId="8" borderId="2" xfId="0" applyFont="1" applyFill="1" applyBorder="1" applyAlignment="1"/>
    <xf numFmtId="0" fontId="0" fillId="8" borderId="13" xfId="0" applyFill="1" applyBorder="1" applyAlignment="1">
      <alignment horizontal="center"/>
    </xf>
    <xf numFmtId="167" fontId="0" fillId="8" borderId="0" xfId="0" applyNumberFormat="1" applyFill="1"/>
    <xf numFmtId="165" fontId="40" fillId="13" borderId="7" xfId="0" applyNumberFormat="1" applyFont="1" applyFill="1" applyBorder="1" applyAlignment="1">
      <alignment horizontal="center" vertical="center"/>
    </xf>
    <xf numFmtId="165" fontId="40" fillId="13" borderId="8" xfId="0" applyNumberFormat="1" applyFont="1" applyFill="1" applyBorder="1" applyAlignment="1">
      <alignment horizontal="center" vertical="center"/>
    </xf>
    <xf numFmtId="164" fontId="27" fillId="8" borderId="8" xfId="1" applyFont="1" applyFill="1" applyBorder="1" applyAlignment="1">
      <alignment horizontal="center" vertical="center"/>
    </xf>
    <xf numFmtId="164" fontId="27" fillId="8" borderId="7" xfId="1" applyFont="1" applyFill="1" applyBorder="1" applyAlignment="1">
      <alignment horizontal="center" vertical="center"/>
    </xf>
    <xf numFmtId="164" fontId="27" fillId="8" borderId="10" xfId="1" applyFont="1" applyFill="1" applyBorder="1" applyAlignment="1">
      <alignment horizontal="center" vertical="center"/>
    </xf>
    <xf numFmtId="0" fontId="0" fillId="8" borderId="2" xfId="0" applyFill="1" applyBorder="1" applyAlignment="1">
      <alignment horizontal="center"/>
    </xf>
    <xf numFmtId="164" fontId="27" fillId="8" borderId="12" xfId="1" applyFont="1" applyFill="1" applyBorder="1" applyAlignment="1">
      <alignment horizontal="center" vertical="center"/>
    </xf>
    <xf numFmtId="164" fontId="27" fillId="8" borderId="2" xfId="1" applyFont="1" applyFill="1" applyBorder="1" applyAlignment="1">
      <alignment horizontal="center" vertical="center"/>
    </xf>
    <xf numFmtId="164" fontId="3" fillId="8" borderId="12" xfId="0" applyNumberFormat="1" applyFont="1" applyFill="1" applyBorder="1"/>
    <xf numFmtId="164" fontId="3" fillId="8" borderId="2" xfId="0" applyNumberFormat="1" applyFont="1" applyFill="1" applyBorder="1"/>
    <xf numFmtId="0" fontId="3" fillId="9" borderId="0" xfId="0" applyFont="1" applyFill="1" applyBorder="1" applyAlignment="1">
      <alignment horizontal="right"/>
    </xf>
    <xf numFmtId="0" fontId="46" fillId="8" borderId="0" xfId="0" applyFont="1" applyFill="1" applyBorder="1" applyAlignment="1">
      <alignment horizontal="center"/>
    </xf>
    <xf numFmtId="164" fontId="3" fillId="8" borderId="0" xfId="0" applyNumberFormat="1" applyFont="1" applyFill="1" applyBorder="1"/>
    <xf numFmtId="164" fontId="27" fillId="8" borderId="0" xfId="0" applyNumberFormat="1" applyFont="1" applyFill="1" applyBorder="1"/>
    <xf numFmtId="0" fontId="3" fillId="9" borderId="0" xfId="0" applyFont="1" applyFill="1" applyBorder="1" applyAlignment="1">
      <alignment horizontal="center"/>
    </xf>
    <xf numFmtId="0" fontId="15" fillId="11" borderId="0" xfId="0" applyFont="1" applyFill="1" applyBorder="1" applyAlignment="1">
      <alignment horizontal="center"/>
    </xf>
    <xf numFmtId="164" fontId="32" fillId="11" borderId="0" xfId="0" applyNumberFormat="1" applyFont="1" applyFill="1" applyBorder="1"/>
    <xf numFmtId="0" fontId="47" fillId="8" borderId="0" xfId="0" applyFont="1" applyFill="1" applyAlignment="1">
      <alignment horizontal="center"/>
    </xf>
    <xf numFmtId="164" fontId="15" fillId="9" borderId="0" xfId="0" applyNumberFormat="1" applyFont="1" applyFill="1" applyBorder="1"/>
    <xf numFmtId="164" fontId="15" fillId="0" borderId="0" xfId="0" applyNumberFormat="1" applyFont="1" applyFill="1" applyBorder="1"/>
    <xf numFmtId="0" fontId="15" fillId="9" borderId="0" xfId="0" applyFont="1" applyFill="1" applyBorder="1" applyAlignment="1">
      <alignment horizontal="center"/>
    </xf>
    <xf numFmtId="0" fontId="3" fillId="20" borderId="0" xfId="0" applyFont="1" applyFill="1" applyBorder="1" applyAlignment="1">
      <alignment horizontal="center"/>
    </xf>
    <xf numFmtId="0" fontId="3" fillId="20" borderId="0" xfId="0" applyFont="1" applyFill="1" applyBorder="1" applyAlignment="1">
      <alignment horizontal="right"/>
    </xf>
    <xf numFmtId="164" fontId="3" fillId="20" borderId="0" xfId="0" applyNumberFormat="1" applyFont="1" applyFill="1" applyBorder="1"/>
    <xf numFmtId="0" fontId="3" fillId="5" borderId="0" xfId="0" applyFont="1" applyFill="1" applyBorder="1" applyAlignment="1">
      <alignment horizontal="center"/>
    </xf>
    <xf numFmtId="0" fontId="3" fillId="5" borderId="0" xfId="0" applyFont="1" applyFill="1" applyBorder="1" applyAlignment="1">
      <alignment horizontal="right"/>
    </xf>
    <xf numFmtId="0" fontId="48" fillId="5" borderId="0" xfId="0" applyFont="1" applyFill="1" applyBorder="1" applyAlignment="1">
      <alignment horizontal="right"/>
    </xf>
    <xf numFmtId="164" fontId="3" fillId="5" borderId="0" xfId="0" applyNumberFormat="1" applyFont="1" applyFill="1" applyBorder="1"/>
    <xf numFmtId="0" fontId="3" fillId="8" borderId="0" xfId="0" applyFont="1" applyFill="1" applyBorder="1" applyAlignment="1">
      <alignment horizontal="center"/>
    </xf>
    <xf numFmtId="0" fontId="32" fillId="8" borderId="0" xfId="0" applyFont="1" applyFill="1" applyBorder="1" applyAlignment="1">
      <alignment horizontal="center"/>
    </xf>
    <xf numFmtId="0" fontId="32" fillId="8" borderId="0" xfId="0" applyFont="1" applyFill="1" applyBorder="1" applyAlignment="1">
      <alignment horizontal="center" vertical="center"/>
    </xf>
    <xf numFmtId="164" fontId="3" fillId="0" borderId="0" xfId="0" applyNumberFormat="1" applyFont="1" applyFill="1" applyBorder="1"/>
    <xf numFmtId="164" fontId="32" fillId="14" borderId="0" xfId="0" applyNumberFormat="1" applyFont="1" applyFill="1" applyBorder="1"/>
    <xf numFmtId="164" fontId="32" fillId="8" borderId="0" xfId="0" applyNumberFormat="1" applyFont="1" applyFill="1" applyBorder="1"/>
    <xf numFmtId="0" fontId="0" fillId="0" borderId="0" xfId="0" applyFill="1" applyBorder="1"/>
    <xf numFmtId="0" fontId="15" fillId="8" borderId="0" xfId="0" applyFont="1" applyFill="1" applyBorder="1" applyAlignment="1">
      <alignment horizontal="center" vertical="center"/>
    </xf>
    <xf numFmtId="0" fontId="39" fillId="8" borderId="0" xfId="0" applyFont="1" applyFill="1" applyBorder="1"/>
    <xf numFmtId="164" fontId="0" fillId="8" borderId="0" xfId="1" applyFont="1" applyFill="1" applyBorder="1"/>
    <xf numFmtId="164" fontId="9" fillId="8" borderId="0" xfId="1" applyFont="1" applyFill="1" applyBorder="1"/>
    <xf numFmtId="164" fontId="11" fillId="8" borderId="0" xfId="1" applyFont="1" applyFill="1" applyBorder="1"/>
    <xf numFmtId="0" fontId="40" fillId="13" borderId="3" xfId="0" applyFont="1" applyFill="1" applyBorder="1"/>
    <xf numFmtId="0" fontId="40" fillId="13" borderId="3" xfId="0" applyFont="1" applyFill="1" applyBorder="1" applyAlignment="1">
      <alignment horizontal="center"/>
    </xf>
    <xf numFmtId="165" fontId="40" fillId="13" borderId="2" xfId="0" applyNumberFormat="1" applyFont="1" applyFill="1" applyBorder="1" applyAlignment="1">
      <alignment horizontal="center" vertical="center"/>
    </xf>
    <xf numFmtId="0" fontId="28" fillId="8" borderId="0" xfId="0" applyFont="1" applyFill="1"/>
    <xf numFmtId="0" fontId="15" fillId="8" borderId="10" xfId="0" applyFont="1" applyFill="1" applyBorder="1" applyAlignment="1">
      <alignment horizontal="center"/>
    </xf>
    <xf numFmtId="0" fontId="15" fillId="8" borderId="8" xfId="0" applyFont="1" applyFill="1" applyBorder="1" applyAlignment="1">
      <alignment horizontal="center"/>
    </xf>
    <xf numFmtId="0" fontId="15" fillId="6" borderId="11" xfId="0" applyFont="1" applyFill="1" applyBorder="1" applyAlignment="1">
      <alignment horizontal="center" vertical="center"/>
    </xf>
    <xf numFmtId="164" fontId="15" fillId="8" borderId="0" xfId="0" applyNumberFormat="1" applyFont="1" applyFill="1" applyBorder="1"/>
    <xf numFmtId="164" fontId="27" fillId="10" borderId="0" xfId="0" applyNumberFormat="1" applyFont="1" applyFill="1" applyBorder="1"/>
    <xf numFmtId="164" fontId="32" fillId="10" borderId="0" xfId="0" applyNumberFormat="1" applyFont="1" applyFill="1" applyBorder="1"/>
    <xf numFmtId="164" fontId="27" fillId="6" borderId="7" xfId="0" applyNumberFormat="1" applyFont="1" applyFill="1" applyBorder="1"/>
    <xf numFmtId="164" fontId="27" fillId="6" borderId="8" xfId="0" applyNumberFormat="1" applyFont="1" applyFill="1" applyBorder="1"/>
    <xf numFmtId="164" fontId="49" fillId="6" borderId="8" xfId="0" applyNumberFormat="1" applyFont="1" applyFill="1" applyBorder="1"/>
    <xf numFmtId="164" fontId="49" fillId="6" borderId="7" xfId="0" applyNumberFormat="1" applyFont="1" applyFill="1" applyBorder="1"/>
    <xf numFmtId="164" fontId="17" fillId="8" borderId="0" xfId="0" applyNumberFormat="1" applyFont="1" applyFill="1" applyBorder="1"/>
    <xf numFmtId="164" fontId="27" fillId="4" borderId="0" xfId="0" applyNumberFormat="1" applyFont="1" applyFill="1" applyBorder="1"/>
    <xf numFmtId="164" fontId="32" fillId="8" borderId="0" xfId="0" applyNumberFormat="1" applyFont="1" applyFill="1"/>
    <xf numFmtId="164" fontId="32" fillId="4" borderId="0" xfId="0" applyNumberFormat="1" applyFont="1" applyFill="1" applyBorder="1"/>
    <xf numFmtId="164" fontId="9" fillId="8" borderId="10" xfId="1" applyFont="1" applyFill="1" applyBorder="1"/>
    <xf numFmtId="164" fontId="49" fillId="8" borderId="0" xfId="1" applyFont="1" applyFill="1" applyBorder="1"/>
    <xf numFmtId="164" fontId="49" fillId="8" borderId="10" xfId="1" applyFont="1" applyFill="1" applyBorder="1"/>
    <xf numFmtId="0" fontId="3" fillId="8" borderId="10" xfId="0" applyFont="1" applyFill="1" applyBorder="1"/>
    <xf numFmtId="164" fontId="11" fillId="14" borderId="0" xfId="1" applyFont="1" applyFill="1" applyBorder="1"/>
    <xf numFmtId="164" fontId="7" fillId="6" borderId="10" xfId="1" applyFont="1" applyFill="1" applyBorder="1"/>
    <xf numFmtId="164" fontId="11" fillId="6" borderId="0" xfId="1" applyFont="1" applyFill="1" applyBorder="1"/>
    <xf numFmtId="164" fontId="9" fillId="6" borderId="0" xfId="1" applyFont="1" applyFill="1" applyBorder="1"/>
    <xf numFmtId="164" fontId="7" fillId="14" borderId="0" xfId="1" applyFont="1" applyFill="1" applyBorder="1"/>
    <xf numFmtId="164" fontId="7" fillId="6" borderId="0" xfId="1" applyFont="1" applyFill="1" applyBorder="1"/>
    <xf numFmtId="164" fontId="1" fillId="8" borderId="0" xfId="1" applyFont="1" applyFill="1" applyBorder="1"/>
    <xf numFmtId="164" fontId="1" fillId="4" borderId="0" xfId="1" applyFont="1" applyFill="1" applyBorder="1"/>
    <xf numFmtId="164" fontId="47" fillId="8" borderId="0" xfId="1" applyFont="1" applyFill="1" applyBorder="1"/>
    <xf numFmtId="164" fontId="50" fillId="8" borderId="0" xfId="1" applyFont="1" applyFill="1" applyBorder="1"/>
    <xf numFmtId="164" fontId="7" fillId="8" borderId="10" xfId="1" applyFont="1" applyFill="1" applyBorder="1"/>
    <xf numFmtId="164" fontId="7" fillId="8" borderId="0" xfId="1" applyFont="1" applyFill="1" applyBorder="1"/>
    <xf numFmtId="164" fontId="0" fillId="4" borderId="0" xfId="1" applyFont="1" applyFill="1" applyBorder="1"/>
    <xf numFmtId="164" fontId="11" fillId="4" borderId="0" xfId="1" applyFont="1" applyFill="1" applyBorder="1"/>
    <xf numFmtId="164" fontId="9" fillId="6" borderId="10" xfId="1" applyFont="1" applyFill="1" applyBorder="1"/>
    <xf numFmtId="164" fontId="0" fillId="14" borderId="0" xfId="1" applyFont="1" applyFill="1" applyBorder="1"/>
    <xf numFmtId="164" fontId="9" fillId="4" borderId="0" xfId="1" applyFont="1" applyFill="1" applyBorder="1"/>
    <xf numFmtId="164" fontId="7" fillId="4" borderId="0" xfId="1" applyFont="1" applyFill="1" applyBorder="1"/>
    <xf numFmtId="164" fontId="11" fillId="4" borderId="12" xfId="1" applyFont="1" applyFill="1" applyBorder="1"/>
    <xf numFmtId="0" fontId="3" fillId="8" borderId="0" xfId="0" applyFont="1" applyFill="1" applyBorder="1"/>
    <xf numFmtId="164" fontId="11" fillId="4" borderId="10" xfId="1" applyFont="1" applyFill="1" applyBorder="1"/>
    <xf numFmtId="164" fontId="7" fillId="8" borderId="12" xfId="1" applyFont="1" applyFill="1" applyBorder="1"/>
    <xf numFmtId="164" fontId="7" fillId="8" borderId="2" xfId="1" applyFont="1" applyFill="1" applyBorder="1"/>
    <xf numFmtId="0" fontId="3" fillId="8" borderId="14" xfId="0" applyFont="1" applyFill="1" applyBorder="1"/>
    <xf numFmtId="0" fontId="15" fillId="8" borderId="15" xfId="0" applyFont="1" applyFill="1" applyBorder="1" applyAlignment="1">
      <alignment horizontal="center"/>
    </xf>
    <xf numFmtId="0" fontId="49" fillId="8" borderId="16" xfId="0" applyFont="1" applyFill="1" applyBorder="1" applyAlignment="1">
      <alignment horizontal="center" vertical="center"/>
    </xf>
    <xf numFmtId="0" fontId="15" fillId="6" borderId="17" xfId="0" applyFont="1" applyFill="1" applyBorder="1" applyAlignment="1">
      <alignment horizontal="center" vertical="center"/>
    </xf>
    <xf numFmtId="164" fontId="0" fillId="8" borderId="16" xfId="1" applyFont="1" applyFill="1" applyBorder="1"/>
    <xf numFmtId="164" fontId="11" fillId="8" borderId="16" xfId="1" applyFont="1" applyFill="1" applyBorder="1"/>
    <xf numFmtId="164" fontId="0" fillId="8" borderId="18" xfId="1" applyFont="1" applyFill="1" applyBorder="1"/>
    <xf numFmtId="164" fontId="0" fillId="8" borderId="19" xfId="1" applyFont="1" applyFill="1" applyBorder="1"/>
    <xf numFmtId="164" fontId="0" fillId="8" borderId="7" xfId="1" applyFont="1" applyFill="1" applyBorder="1"/>
    <xf numFmtId="164" fontId="0" fillId="8" borderId="8" xfId="1" applyFont="1" applyFill="1" applyBorder="1"/>
    <xf numFmtId="0" fontId="51" fillId="8" borderId="16" xfId="0" applyFont="1" applyFill="1" applyBorder="1" applyAlignment="1">
      <alignment horizontal="center" vertical="center"/>
    </xf>
    <xf numFmtId="164" fontId="9" fillId="8" borderId="16" xfId="1" applyFont="1" applyFill="1" applyBorder="1"/>
    <xf numFmtId="164" fontId="0" fillId="8" borderId="15" xfId="1" applyFont="1" applyFill="1" applyBorder="1"/>
    <xf numFmtId="0" fontId="49" fillId="8" borderId="0" xfId="0" applyFont="1" applyFill="1" applyBorder="1" applyAlignment="1">
      <alignment horizontal="center" vertical="center"/>
    </xf>
    <xf numFmtId="0" fontId="15" fillId="5" borderId="11" xfId="0" applyFont="1" applyFill="1" applyBorder="1" applyAlignment="1">
      <alignment horizontal="center" vertical="center"/>
    </xf>
    <xf numFmtId="164" fontId="7" fillId="8" borderId="0" xfId="1" applyFont="1" applyFill="1"/>
    <xf numFmtId="164" fontId="11" fillId="8" borderId="0" xfId="1" applyFont="1" applyFill="1"/>
    <xf numFmtId="164" fontId="7" fillId="4" borderId="0" xfId="1" applyFont="1" applyFill="1"/>
    <xf numFmtId="164" fontId="9" fillId="8" borderId="0" xfId="1" applyFont="1" applyFill="1"/>
    <xf numFmtId="164" fontId="11" fillId="14" borderId="0" xfId="1" applyFont="1" applyFill="1"/>
    <xf numFmtId="164" fontId="11" fillId="8" borderId="10" xfId="1" applyFont="1" applyFill="1" applyBorder="1"/>
    <xf numFmtId="164" fontId="9" fillId="8" borderId="20" xfId="1" applyFont="1" applyFill="1" applyBorder="1"/>
    <xf numFmtId="164" fontId="9" fillId="8" borderId="21" xfId="1" applyFont="1" applyFill="1" applyBorder="1"/>
    <xf numFmtId="0" fontId="15" fillId="19" borderId="11" xfId="0" applyFont="1" applyFill="1" applyBorder="1" applyAlignment="1">
      <alignment horizontal="center" vertical="center"/>
    </xf>
    <xf numFmtId="164" fontId="0" fillId="8" borderId="10" xfId="1" applyFont="1" applyFill="1" applyBorder="1"/>
    <xf numFmtId="0" fontId="15" fillId="8" borderId="22" xfId="0" applyFont="1" applyFill="1" applyBorder="1" applyAlignment="1">
      <alignment horizontal="center"/>
    </xf>
    <xf numFmtId="0" fontId="49" fillId="8" borderId="23" xfId="0" applyFont="1" applyFill="1" applyBorder="1" applyAlignment="1">
      <alignment horizontal="center" vertical="center"/>
    </xf>
    <xf numFmtId="0" fontId="15" fillId="21" borderId="24" xfId="0" applyFont="1" applyFill="1" applyBorder="1" applyAlignment="1">
      <alignment horizontal="center" vertical="center"/>
    </xf>
    <xf numFmtId="164" fontId="0" fillId="4" borderId="0" xfId="1" applyFont="1" applyFill="1"/>
    <xf numFmtId="164" fontId="0" fillId="8" borderId="22" xfId="1" applyFont="1" applyFill="1" applyBorder="1"/>
    <xf numFmtId="164" fontId="0" fillId="8" borderId="23" xfId="1" applyFont="1" applyFill="1" applyBorder="1"/>
    <xf numFmtId="0" fontId="15" fillId="8" borderId="20" xfId="0" applyFont="1" applyFill="1" applyBorder="1" applyAlignment="1">
      <alignment horizontal="center"/>
    </xf>
    <xf numFmtId="0" fontId="15" fillId="8" borderId="21" xfId="0" applyFont="1" applyFill="1" applyBorder="1" applyAlignment="1">
      <alignment horizontal="center" vertical="center"/>
    </xf>
    <xf numFmtId="0" fontId="15" fillId="5" borderId="25" xfId="0" applyFont="1" applyFill="1" applyBorder="1" applyAlignment="1">
      <alignment horizontal="center" vertical="center"/>
    </xf>
    <xf numFmtId="164" fontId="0" fillId="8" borderId="21" xfId="1" applyFont="1" applyFill="1" applyBorder="1"/>
    <xf numFmtId="164" fontId="11" fillId="10" borderId="21" xfId="1" applyFont="1" applyFill="1" applyBorder="1"/>
    <xf numFmtId="164" fontId="11" fillId="8" borderId="21" xfId="1" applyFont="1" applyFill="1" applyBorder="1"/>
    <xf numFmtId="164" fontId="11" fillId="8" borderId="20" xfId="1" applyFont="1" applyFill="1" applyBorder="1"/>
    <xf numFmtId="3" fontId="41" fillId="8" borderId="0" xfId="0" applyNumberFormat="1" applyFont="1" applyFill="1"/>
    <xf numFmtId="0" fontId="15" fillId="8" borderId="23" xfId="0" applyFont="1" applyFill="1" applyBorder="1" applyAlignment="1">
      <alignment horizontal="center" vertical="center"/>
    </xf>
    <xf numFmtId="0" fontId="15" fillId="5" borderId="24" xfId="0" applyFont="1" applyFill="1" applyBorder="1" applyAlignment="1">
      <alignment horizontal="center" vertical="center"/>
    </xf>
    <xf numFmtId="164" fontId="11" fillId="10" borderId="23" xfId="1" applyFont="1" applyFill="1" applyBorder="1"/>
    <xf numFmtId="164" fontId="9" fillId="8" borderId="23" xfId="1" applyFont="1" applyFill="1" applyBorder="1"/>
    <xf numFmtId="164" fontId="11" fillId="8" borderId="23" xfId="1" applyFont="1" applyFill="1" applyBorder="1"/>
    <xf numFmtId="0" fontId="52" fillId="8" borderId="21" xfId="0" applyFont="1" applyFill="1" applyBorder="1" applyAlignment="1">
      <alignment horizontal="center" vertical="center"/>
    </xf>
    <xf numFmtId="164" fontId="50" fillId="8" borderId="21" xfId="1" applyFont="1" applyFill="1" applyBorder="1"/>
    <xf numFmtId="164" fontId="0" fillId="8" borderId="20" xfId="1" applyFont="1" applyFill="1" applyBorder="1"/>
    <xf numFmtId="0" fontId="52" fillId="8" borderId="23" xfId="0" applyFont="1" applyFill="1" applyBorder="1" applyAlignment="1">
      <alignment horizontal="center" vertical="center"/>
    </xf>
    <xf numFmtId="0" fontId="53" fillId="8" borderId="21" xfId="0" applyFont="1" applyFill="1" applyBorder="1" applyAlignment="1">
      <alignment horizontal="center" vertical="center"/>
    </xf>
    <xf numFmtId="0" fontId="53" fillId="8" borderId="0" xfId="0" applyFont="1" applyFill="1" applyBorder="1" applyAlignment="1">
      <alignment horizontal="center" vertical="center"/>
    </xf>
    <xf numFmtId="0" fontId="15" fillId="21" borderId="11" xfId="0" applyFont="1" applyFill="1" applyBorder="1" applyAlignment="1">
      <alignment horizontal="center" vertical="center"/>
    </xf>
    <xf numFmtId="0" fontId="32" fillId="8" borderId="21" xfId="0" applyFont="1" applyFill="1" applyBorder="1" applyAlignment="1">
      <alignment horizontal="center" vertical="center"/>
    </xf>
    <xf numFmtId="0" fontId="32" fillId="8" borderId="23" xfId="0" applyFont="1" applyFill="1" applyBorder="1" applyAlignment="1">
      <alignment horizontal="center" vertical="center"/>
    </xf>
    <xf numFmtId="0" fontId="54" fillId="8" borderId="0" xfId="0" applyFont="1" applyFill="1" applyBorder="1" applyAlignment="1">
      <alignment horizontal="center" vertical="center"/>
    </xf>
    <xf numFmtId="0" fontId="53" fillId="8" borderId="16" xfId="0" applyFont="1" applyFill="1" applyBorder="1" applyAlignment="1">
      <alignment horizontal="center" vertical="center"/>
    </xf>
    <xf numFmtId="0" fontId="15" fillId="21" borderId="17" xfId="0" applyFont="1" applyFill="1" applyBorder="1" applyAlignment="1">
      <alignment horizontal="center" vertical="center"/>
    </xf>
    <xf numFmtId="0" fontId="27" fillId="8" borderId="21" xfId="0" applyFont="1" applyFill="1" applyBorder="1" applyAlignment="1">
      <alignment horizontal="center" vertical="center"/>
    </xf>
    <xf numFmtId="0" fontId="27" fillId="8" borderId="23" xfId="0" applyFont="1" applyFill="1" applyBorder="1" applyAlignment="1">
      <alignment horizontal="center" vertical="center"/>
    </xf>
    <xf numFmtId="164" fontId="0" fillId="0" borderId="23" xfId="1" applyFont="1" applyFill="1" applyBorder="1"/>
    <xf numFmtId="0" fontId="27" fillId="8" borderId="0" xfId="0" applyFont="1" applyFill="1" applyBorder="1" applyAlignment="1">
      <alignment horizontal="center" vertical="center"/>
    </xf>
    <xf numFmtId="0" fontId="27" fillId="8" borderId="16" xfId="0" applyFont="1" applyFill="1" applyBorder="1" applyAlignment="1">
      <alignment horizontal="center" vertical="center"/>
    </xf>
    <xf numFmtId="0" fontId="15" fillId="21" borderId="25" xfId="0" applyFont="1" applyFill="1" applyBorder="1" applyAlignment="1">
      <alignment horizontal="center" vertical="center"/>
    </xf>
    <xf numFmtId="0" fontId="0" fillId="8" borderId="7" xfId="0" applyFill="1" applyBorder="1" applyAlignment="1">
      <alignment horizontal="center"/>
    </xf>
    <xf numFmtId="0" fontId="49" fillId="8" borderId="8" xfId="0" applyFont="1" applyFill="1" applyBorder="1" applyAlignment="1">
      <alignment horizontal="center" vertical="center"/>
    </xf>
    <xf numFmtId="0" fontId="0" fillId="8" borderId="9" xfId="0" applyFill="1" applyBorder="1" applyAlignment="1">
      <alignment horizontal="center"/>
    </xf>
    <xf numFmtId="164" fontId="7" fillId="8" borderId="21" xfId="1" applyFont="1" applyFill="1" applyBorder="1"/>
    <xf numFmtId="164" fontId="9" fillId="8" borderId="7" xfId="1" applyFont="1" applyFill="1" applyBorder="1"/>
    <xf numFmtId="164" fontId="9" fillId="8" borderId="8" xfId="1" applyFont="1" applyFill="1" applyBorder="1"/>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53" fillId="8" borderId="2" xfId="0" applyFont="1" applyFill="1" applyBorder="1" applyAlignment="1">
      <alignment horizontal="center" vertical="center"/>
    </xf>
    <xf numFmtId="0" fontId="0" fillId="8" borderId="13" xfId="0" applyFill="1" applyBorder="1" applyAlignment="1">
      <alignment horizontal="center"/>
    </xf>
    <xf numFmtId="164" fontId="9" fillId="8" borderId="12" xfId="1" applyFont="1" applyFill="1" applyBorder="1"/>
    <xf numFmtId="164" fontId="9" fillId="8" borderId="2" xfId="1" applyFont="1" applyFill="1" applyBorder="1"/>
    <xf numFmtId="164" fontId="0" fillId="4" borderId="21" xfId="1" applyFont="1" applyFill="1" applyBorder="1"/>
    <xf numFmtId="164" fontId="42" fillId="8" borderId="21" xfId="1" applyFont="1" applyFill="1" applyBorder="1"/>
    <xf numFmtId="0" fontId="0" fillId="8" borderId="22" xfId="0" applyFill="1" applyBorder="1" applyAlignment="1">
      <alignment horizontal="center"/>
    </xf>
    <xf numFmtId="0" fontId="52" fillId="8" borderId="0" xfId="0" applyFont="1" applyFill="1" applyBorder="1" applyAlignment="1">
      <alignment horizontal="center" vertical="center"/>
    </xf>
    <xf numFmtId="0" fontId="0" fillId="8" borderId="20" xfId="0" applyFill="1" applyBorder="1" applyAlignment="1">
      <alignment horizontal="center"/>
    </xf>
    <xf numFmtId="164" fontId="0" fillId="8" borderId="26" xfId="1" applyFont="1" applyFill="1" applyBorder="1"/>
    <xf numFmtId="164" fontId="9" fillId="4" borderId="23" xfId="1" applyFont="1" applyFill="1" applyBorder="1"/>
    <xf numFmtId="164" fontId="9" fillId="8" borderId="6" xfId="1" applyFont="1" applyFill="1" applyBorder="1"/>
    <xf numFmtId="164" fontId="9" fillId="8" borderId="27" xfId="1" applyFont="1" applyFill="1" applyBorder="1"/>
    <xf numFmtId="164" fontId="9" fillId="8" borderId="22" xfId="1" applyFont="1" applyFill="1" applyBorder="1"/>
    <xf numFmtId="164" fontId="9" fillId="10" borderId="0" xfId="1" applyFont="1" applyFill="1"/>
    <xf numFmtId="0" fontId="0" fillId="8" borderId="15" xfId="0" applyFill="1" applyBorder="1" applyAlignment="1">
      <alignment horizontal="center"/>
    </xf>
    <xf numFmtId="0" fontId="15" fillId="8" borderId="11" xfId="0" applyFont="1" applyFill="1" applyBorder="1" applyAlignment="1">
      <alignment horizontal="center" vertical="center"/>
    </xf>
    <xf numFmtId="164" fontId="1" fillId="8" borderId="0" xfId="1" applyFont="1" applyFill="1"/>
    <xf numFmtId="0" fontId="27" fillId="8" borderId="11" xfId="0" applyFont="1" applyFill="1" applyBorder="1" applyAlignment="1">
      <alignment horizontal="center" vertical="center"/>
    </xf>
    <xf numFmtId="0" fontId="0" fillId="0" borderId="17" xfId="0" applyBorder="1" applyAlignment="1">
      <alignment horizontal="center"/>
    </xf>
    <xf numFmtId="164" fontId="7" fillId="8" borderId="16" xfId="1" applyFont="1" applyFill="1" applyBorder="1"/>
    <xf numFmtId="164" fontId="7" fillId="8" borderId="15" xfId="1" applyFont="1" applyFill="1" applyBorder="1"/>
    <xf numFmtId="0" fontId="3" fillId="8" borderId="12" xfId="0" applyFont="1" applyFill="1" applyBorder="1"/>
    <xf numFmtId="0" fontId="15" fillId="8" borderId="28" xfId="0" applyFont="1" applyFill="1" applyBorder="1" applyAlignment="1">
      <alignment horizontal="center"/>
    </xf>
    <xf numFmtId="0" fontId="49" fillId="8" borderId="29" xfId="0" applyFont="1" applyFill="1" applyBorder="1" applyAlignment="1">
      <alignment horizontal="center" vertical="center"/>
    </xf>
    <xf numFmtId="0" fontId="15" fillId="3" borderId="30" xfId="0" applyFont="1" applyFill="1" applyBorder="1" applyAlignment="1">
      <alignment horizontal="center" vertical="center"/>
    </xf>
    <xf numFmtId="164" fontId="0" fillId="8" borderId="2" xfId="1" applyFont="1" applyFill="1" applyBorder="1"/>
    <xf numFmtId="164" fontId="0" fillId="8" borderId="2" xfId="0" applyNumberFormat="1" applyFill="1" applyBorder="1"/>
    <xf numFmtId="0" fontId="3" fillId="8" borderId="7" xfId="0" applyFont="1" applyFill="1" applyBorder="1" applyAlignment="1">
      <alignment horizontal="left" vertical="center"/>
    </xf>
    <xf numFmtId="164" fontId="3" fillId="8" borderId="8" xfId="1" applyFont="1" applyFill="1" applyBorder="1"/>
    <xf numFmtId="0" fontId="3" fillId="8" borderId="10" xfId="0" applyFont="1" applyFill="1" applyBorder="1" applyAlignment="1">
      <alignment horizontal="left" vertical="center" indent="1"/>
    </xf>
    <xf numFmtId="0" fontId="3" fillId="8" borderId="31" xfId="0" applyFont="1" applyFill="1" applyBorder="1"/>
    <xf numFmtId="0" fontId="15" fillId="8" borderId="8" xfId="0" applyFont="1" applyFill="1" applyBorder="1" applyAlignment="1">
      <alignment horizontal="center" vertical="center"/>
    </xf>
    <xf numFmtId="0" fontId="15" fillId="8" borderId="9" xfId="0" applyFont="1" applyFill="1" applyBorder="1" applyAlignment="1">
      <alignment horizontal="center" vertical="center"/>
    </xf>
    <xf numFmtId="0" fontId="3" fillId="8" borderId="32" xfId="0" applyFont="1" applyFill="1" applyBorder="1"/>
    <xf numFmtId="0" fontId="0" fillId="8" borderId="11" xfId="0" applyFill="1" applyBorder="1" applyAlignment="1">
      <alignment horizontal="center" vertical="center"/>
    </xf>
    <xf numFmtId="164" fontId="0" fillId="8" borderId="0" xfId="0" applyNumberFormat="1" applyFill="1" applyBorder="1"/>
    <xf numFmtId="167" fontId="0" fillId="8" borderId="0" xfId="0" applyNumberFormat="1" applyFill="1" applyBorder="1"/>
    <xf numFmtId="0" fontId="0" fillId="8" borderId="0" xfId="0" applyFill="1" applyBorder="1" applyAlignment="1">
      <alignment horizontal="center" vertical="center"/>
    </xf>
    <xf numFmtId="0" fontId="3" fillId="8" borderId="7" xfId="0" applyFont="1" applyFill="1" applyBorder="1" applyAlignment="1">
      <alignment horizontal="center" vertical="center"/>
    </xf>
    <xf numFmtId="0" fontId="0" fillId="8" borderId="9" xfId="0" applyFill="1" applyBorder="1" applyAlignment="1">
      <alignment horizontal="center" vertical="center"/>
    </xf>
    <xf numFmtId="164" fontId="0" fillId="22" borderId="9" xfId="1" applyFont="1" applyFill="1" applyBorder="1"/>
    <xf numFmtId="164" fontId="0" fillId="22" borderId="31" xfId="1" applyFont="1" applyFill="1" applyBorder="1"/>
    <xf numFmtId="164" fontId="0" fillId="22" borderId="0" xfId="1" applyFont="1" applyFill="1" applyBorder="1"/>
    <xf numFmtId="0" fontId="15" fillId="8" borderId="10" xfId="0" applyFont="1" applyFill="1" applyBorder="1" applyAlignment="1">
      <alignment horizontal="center" vertical="center"/>
    </xf>
    <xf numFmtId="0" fontId="46" fillId="8" borderId="10" xfId="0" applyFont="1" applyFill="1" applyBorder="1" applyAlignment="1">
      <alignment horizontal="center" vertical="center"/>
    </xf>
    <xf numFmtId="0" fontId="55" fillId="8" borderId="0" xfId="0" applyFont="1" applyFill="1" applyBorder="1" applyAlignment="1">
      <alignment horizontal="center" vertical="center"/>
    </xf>
    <xf numFmtId="0" fontId="46" fillId="8" borderId="11" xfId="0" applyFont="1" applyFill="1" applyBorder="1" applyAlignment="1">
      <alignment horizontal="center" vertical="center"/>
    </xf>
    <xf numFmtId="164" fontId="46" fillId="9" borderId="0" xfId="0" applyNumberFormat="1" applyFont="1" applyFill="1" applyBorder="1"/>
    <xf numFmtId="0" fontId="15" fillId="8" borderId="12" xfId="0" applyFont="1" applyFill="1" applyBorder="1" applyAlignment="1">
      <alignment horizontal="center" vertical="center"/>
    </xf>
    <xf numFmtId="0" fontId="15" fillId="8" borderId="2" xfId="0" applyFont="1" applyFill="1" applyBorder="1" applyAlignment="1">
      <alignment horizontal="center" vertical="center"/>
    </xf>
    <xf numFmtId="0" fontId="0" fillId="8" borderId="13" xfId="0" applyFill="1" applyBorder="1" applyAlignment="1">
      <alignment horizontal="center" vertical="center"/>
    </xf>
    <xf numFmtId="167" fontId="3" fillId="8" borderId="3" xfId="1" applyNumberFormat="1" applyFont="1" applyFill="1" applyBorder="1"/>
    <xf numFmtId="167" fontId="3" fillId="8" borderId="4" xfId="1" applyNumberFormat="1" applyFont="1" applyFill="1" applyBorder="1"/>
    <xf numFmtId="0" fontId="3" fillId="3" borderId="7" xfId="0" applyFont="1" applyFill="1" applyBorder="1" applyAlignment="1"/>
    <xf numFmtId="0" fontId="0" fillId="3" borderId="8" xfId="0" applyFill="1" applyBorder="1" applyAlignment="1">
      <alignment horizontal="center"/>
    </xf>
    <xf numFmtId="0" fontId="0" fillId="3" borderId="8" xfId="0" applyFill="1" applyBorder="1"/>
    <xf numFmtId="0" fontId="0" fillId="3" borderId="9" xfId="0" applyFill="1" applyBorder="1"/>
    <xf numFmtId="0" fontId="3" fillId="3" borderId="10" xfId="0" applyFont="1" applyFill="1" applyBorder="1" applyAlignment="1"/>
    <xf numFmtId="0" fontId="0" fillId="3" borderId="0" xfId="0" applyFill="1" applyBorder="1" applyAlignment="1">
      <alignment horizontal="center"/>
    </xf>
    <xf numFmtId="0" fontId="0" fillId="3" borderId="0" xfId="0" applyFill="1" applyBorder="1"/>
    <xf numFmtId="0" fontId="0" fillId="3" borderId="11" xfId="0" applyFill="1" applyBorder="1"/>
    <xf numFmtId="164" fontId="0" fillId="8" borderId="10" xfId="0" applyNumberFormat="1" applyFill="1" applyBorder="1"/>
    <xf numFmtId="0" fontId="3" fillId="3" borderId="12" xfId="0" applyFont="1" applyFill="1" applyBorder="1" applyAlignment="1"/>
    <xf numFmtId="0" fontId="0" fillId="3" borderId="2" xfId="0" applyFill="1" applyBorder="1" applyAlignment="1">
      <alignment horizontal="center"/>
    </xf>
    <xf numFmtId="0" fontId="0" fillId="3" borderId="2" xfId="0" applyFill="1" applyBorder="1"/>
    <xf numFmtId="0" fontId="0" fillId="3" borderId="13" xfId="0" applyFill="1" applyBorder="1"/>
    <xf numFmtId="164" fontId="0" fillId="8" borderId="12" xfId="0" applyNumberFormat="1" applyFill="1" applyBorder="1"/>
    <xf numFmtId="0" fontId="0" fillId="0" borderId="0" xfId="0" applyAlignment="1">
      <alignment horizontal="center" vertical="center"/>
    </xf>
    <xf numFmtId="0" fontId="3" fillId="5" borderId="31" xfId="0" applyFont="1" applyFill="1" applyBorder="1" applyAlignment="1">
      <alignment horizontal="center" vertical="center"/>
    </xf>
    <xf numFmtId="164" fontId="0" fillId="0" borderId="0" xfId="1" applyFont="1" applyAlignment="1">
      <alignment horizontal="center" vertical="center"/>
    </xf>
    <xf numFmtId="164" fontId="0" fillId="0" borderId="0" xfId="0" applyNumberFormat="1" applyAlignment="1">
      <alignment horizontal="center" vertical="center"/>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165" fontId="3" fillId="4" borderId="3" xfId="0" applyNumberFormat="1" applyFont="1" applyFill="1" applyBorder="1" applyAlignment="1">
      <alignment horizontal="center" vertical="center"/>
    </xf>
    <xf numFmtId="165" fontId="3" fillId="4" borderId="33" xfId="0" applyNumberFormat="1" applyFont="1" applyFill="1" applyBorder="1" applyAlignment="1">
      <alignment horizontal="center" vertical="center"/>
    </xf>
    <xf numFmtId="165" fontId="28" fillId="4" borderId="4" xfId="0" applyNumberFormat="1" applyFont="1" applyFill="1" applyBorder="1" applyAlignment="1">
      <alignment horizontal="center" vertical="center"/>
    </xf>
    <xf numFmtId="165" fontId="28" fillId="4" borderId="33" xfId="0" applyNumberFormat="1" applyFont="1" applyFill="1" applyBorder="1" applyAlignment="1">
      <alignment horizontal="center" vertical="center"/>
    </xf>
    <xf numFmtId="165" fontId="3" fillId="4" borderId="4" xfId="0" applyNumberFormat="1" applyFont="1" applyFill="1" applyBorder="1" applyAlignment="1">
      <alignment horizontal="center" vertical="center"/>
    </xf>
    <xf numFmtId="165" fontId="17" fillId="4" borderId="33" xfId="0" applyNumberFormat="1" applyFont="1" applyFill="1" applyBorder="1" applyAlignment="1">
      <alignment horizontal="center" vertical="center"/>
    </xf>
    <xf numFmtId="165" fontId="17" fillId="4" borderId="4" xfId="0" applyNumberFormat="1" applyFont="1" applyFill="1" applyBorder="1" applyAlignment="1">
      <alignment horizontal="center" vertical="center"/>
    </xf>
    <xf numFmtId="165" fontId="17" fillId="4" borderId="31" xfId="0" applyNumberFormat="1" applyFont="1" applyFill="1" applyBorder="1" applyAlignment="1">
      <alignment horizontal="center" vertical="center"/>
    </xf>
    <xf numFmtId="165" fontId="17" fillId="4" borderId="8" xfId="0" applyNumberFormat="1" applyFont="1" applyFill="1" applyBorder="1" applyAlignment="1">
      <alignment horizontal="center" vertical="center"/>
    </xf>
    <xf numFmtId="165" fontId="17" fillId="4" borderId="9" xfId="0" applyNumberFormat="1" applyFont="1" applyFill="1" applyBorder="1" applyAlignment="1">
      <alignment horizontal="center" vertical="center"/>
    </xf>
    <xf numFmtId="165" fontId="3" fillId="4" borderId="9" xfId="0" applyNumberFormat="1" applyFont="1" applyFill="1" applyBorder="1" applyAlignment="1">
      <alignment horizontal="center" vertical="center"/>
    </xf>
    <xf numFmtId="165" fontId="36" fillId="4" borderId="9" xfId="0" applyNumberFormat="1" applyFont="1" applyFill="1" applyBorder="1" applyAlignment="1">
      <alignment horizontal="center" vertical="center"/>
    </xf>
    <xf numFmtId="0" fontId="0" fillId="5" borderId="0" xfId="0" applyFill="1" applyAlignment="1">
      <alignment horizontal="center" vertical="center"/>
    </xf>
    <xf numFmtId="165" fontId="3" fillId="5" borderId="0" xfId="0" applyNumberFormat="1" applyFont="1" applyFill="1" applyAlignment="1">
      <alignment horizontal="center" vertical="center"/>
    </xf>
    <xf numFmtId="0" fontId="3" fillId="5" borderId="0" xfId="0" applyNumberFormat="1" applyFont="1" applyFill="1" applyAlignment="1">
      <alignment horizontal="center" vertical="center"/>
    </xf>
    <xf numFmtId="0" fontId="3" fillId="5" borderId="8" xfId="0" applyNumberFormat="1" applyFont="1" applyFill="1" applyBorder="1" applyAlignment="1">
      <alignment horizontal="center" vertical="center"/>
    </xf>
    <xf numFmtId="0" fontId="3" fillId="5" borderId="9" xfId="0" applyNumberFormat="1" applyFont="1" applyFill="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164" fontId="3" fillId="5" borderId="2" xfId="1" applyFont="1" applyFill="1" applyBorder="1" applyAlignment="1">
      <alignment horizontal="center" vertical="center"/>
    </xf>
    <xf numFmtId="164" fontId="28" fillId="5" borderId="2" xfId="1" applyFont="1" applyFill="1" applyBorder="1" applyAlignment="1">
      <alignment horizontal="center" vertical="center"/>
    </xf>
    <xf numFmtId="164" fontId="3" fillId="5" borderId="13" xfId="1" applyFont="1" applyFill="1" applyBorder="1" applyAlignment="1">
      <alignment horizontal="center"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28" fillId="23" borderId="31" xfId="0" applyFont="1" applyFill="1" applyBorder="1" applyAlignment="1">
      <alignment horizontal="center" vertical="center"/>
    </xf>
    <xf numFmtId="164" fontId="3" fillId="5" borderId="7" xfId="1" applyFont="1" applyFill="1" applyBorder="1" applyAlignment="1">
      <alignment horizontal="center" vertical="center"/>
    </xf>
    <xf numFmtId="164" fontId="3" fillId="5" borderId="31" xfId="1" applyFont="1" applyFill="1" applyBorder="1" applyAlignment="1">
      <alignment horizontal="center" vertical="center"/>
    </xf>
    <xf numFmtId="164" fontId="3" fillId="5" borderId="9" xfId="1" applyFont="1" applyFill="1" applyBorder="1" applyAlignment="1">
      <alignment horizontal="center" vertical="center"/>
    </xf>
    <xf numFmtId="164" fontId="3" fillId="5" borderId="8" xfId="1" applyFont="1" applyFill="1" applyBorder="1" applyAlignment="1">
      <alignment horizontal="center" vertical="center"/>
    </xf>
    <xf numFmtId="164" fontId="28" fillId="5" borderId="34" xfId="1" applyFont="1" applyFill="1" applyBorder="1" applyAlignment="1">
      <alignment horizontal="center" vertical="center"/>
    </xf>
    <xf numFmtId="164" fontId="28" fillId="5" borderId="0" xfId="1" applyFont="1" applyFill="1" applyBorder="1" applyAlignment="1">
      <alignment horizontal="center" vertical="center"/>
    </xf>
    <xf numFmtId="164" fontId="28" fillId="5" borderId="32" xfId="1" applyFont="1" applyFill="1" applyBorder="1" applyAlignment="1">
      <alignment horizontal="center" vertical="center"/>
    </xf>
    <xf numFmtId="164" fontId="28" fillId="5" borderId="11" xfId="1" applyFont="1" applyFill="1" applyBorder="1" applyAlignment="1">
      <alignment horizontal="center" vertical="center"/>
    </xf>
    <xf numFmtId="164" fontId="17" fillId="5" borderId="11" xfId="1" applyFont="1" applyFill="1" applyBorder="1" applyAlignment="1">
      <alignment horizontal="center" vertical="center"/>
    </xf>
    <xf numFmtId="164" fontId="28" fillId="5" borderId="33" xfId="1" applyFont="1" applyFill="1" applyBorder="1" applyAlignment="1">
      <alignment horizontal="center" vertical="center"/>
    </xf>
    <xf numFmtId="164" fontId="28" fillId="4" borderId="33" xfId="1" applyFont="1" applyFill="1" applyBorder="1" applyAlignment="1">
      <alignment horizontal="center" vertical="center"/>
    </xf>
    <xf numFmtId="164" fontId="28" fillId="5" borderId="5" xfId="1" applyFont="1" applyFill="1" applyBorder="1" applyAlignment="1">
      <alignment horizontal="center" vertical="center"/>
    </xf>
    <xf numFmtId="164" fontId="28" fillId="4" borderId="5" xfId="1" applyFont="1" applyFill="1" applyBorder="1" applyAlignment="1">
      <alignment horizontal="center" vertical="center"/>
    </xf>
    <xf numFmtId="164" fontId="28" fillId="23" borderId="5" xfId="1" applyFont="1" applyFill="1" applyBorder="1" applyAlignment="1">
      <alignment horizontal="center" vertical="center"/>
    </xf>
    <xf numFmtId="164" fontId="15" fillId="0" borderId="0" xfId="0" applyNumberFormat="1" applyFont="1" applyAlignment="1">
      <alignment horizontal="center" vertical="center"/>
    </xf>
    <xf numFmtId="164" fontId="3" fillId="0" borderId="0" xfId="0" applyNumberFormat="1" applyFont="1" applyAlignment="1">
      <alignment horizontal="center" vertical="center"/>
    </xf>
    <xf numFmtId="164" fontId="3" fillId="0" borderId="10" xfId="0" applyNumberFormat="1" applyFont="1" applyBorder="1" applyAlignment="1">
      <alignment horizontal="center" vertical="center"/>
    </xf>
    <xf numFmtId="164" fontId="3" fillId="0" borderId="11" xfId="0" applyNumberFormat="1" applyFont="1" applyBorder="1" applyAlignment="1">
      <alignment horizontal="center" vertical="center"/>
    </xf>
    <xf numFmtId="0" fontId="3" fillId="24" borderId="31" xfId="0" applyFont="1" applyFill="1" applyBorder="1" applyAlignment="1">
      <alignment horizontal="center" vertical="center"/>
    </xf>
    <xf numFmtId="0" fontId="3" fillId="24" borderId="31" xfId="0" applyFont="1" applyFill="1" applyBorder="1" applyAlignment="1">
      <alignment horizontal="center" vertical="center"/>
    </xf>
    <xf numFmtId="164" fontId="36" fillId="24" borderId="7" xfId="1" applyFont="1" applyFill="1" applyBorder="1" applyAlignment="1">
      <alignment horizontal="center" vertical="center"/>
    </xf>
    <xf numFmtId="164" fontId="36" fillId="24" borderId="31" xfId="1" applyFont="1" applyFill="1" applyBorder="1" applyAlignment="1">
      <alignment horizontal="center" vertical="center"/>
    </xf>
    <xf numFmtId="164" fontId="36" fillId="25" borderId="31" xfId="1" applyFont="1" applyFill="1" applyBorder="1" applyAlignment="1">
      <alignment horizontal="center" vertical="center"/>
    </xf>
    <xf numFmtId="164" fontId="36" fillId="25" borderId="9" xfId="1" applyFont="1" applyFill="1" applyBorder="1" applyAlignment="1">
      <alignment horizontal="center" vertical="center"/>
    </xf>
    <xf numFmtId="164" fontId="36" fillId="25" borderId="7" xfId="1" applyFont="1" applyFill="1" applyBorder="1" applyAlignment="1">
      <alignment horizontal="center" vertical="center"/>
    </xf>
    <xf numFmtId="164" fontId="57" fillId="26" borderId="9" xfId="1" applyFont="1" applyFill="1" applyBorder="1" applyAlignment="1">
      <alignment horizontal="center" vertical="center"/>
    </xf>
    <xf numFmtId="164" fontId="57" fillId="27" borderId="9" xfId="1" applyFont="1" applyFill="1" applyBorder="1" applyAlignment="1">
      <alignment horizontal="center" vertical="center"/>
    </xf>
    <xf numFmtId="164" fontId="58" fillId="27" borderId="9" xfId="1" applyFont="1" applyFill="1" applyBorder="1" applyAlignment="1">
      <alignment horizontal="center" vertical="center"/>
    </xf>
    <xf numFmtId="164" fontId="57" fillId="28" borderId="32" xfId="1" applyFont="1" applyFill="1" applyBorder="1" applyAlignment="1">
      <alignment horizontal="center" vertical="center"/>
    </xf>
    <xf numFmtId="164" fontId="58" fillId="28" borderId="32" xfId="1" applyFont="1" applyFill="1" applyBorder="1" applyAlignment="1">
      <alignment horizontal="center" vertical="center"/>
    </xf>
    <xf numFmtId="0" fontId="3" fillId="24" borderId="32" xfId="0" applyFont="1" applyFill="1" applyBorder="1" applyAlignment="1">
      <alignment horizontal="center" vertical="center"/>
    </xf>
    <xf numFmtId="0" fontId="3" fillId="24" borderId="32" xfId="0" applyFont="1" applyFill="1" applyBorder="1" applyAlignment="1">
      <alignment horizontal="center" vertical="center"/>
    </xf>
    <xf numFmtId="164" fontId="36" fillId="24" borderId="10" xfId="1" applyFont="1" applyFill="1" applyBorder="1" applyAlignment="1">
      <alignment horizontal="center" vertical="center"/>
    </xf>
    <xf numFmtId="164" fontId="36" fillId="24" borderId="32" xfId="1" applyFont="1" applyFill="1" applyBorder="1" applyAlignment="1">
      <alignment horizontal="center" vertical="center"/>
    </xf>
    <xf numFmtId="164" fontId="36" fillId="25" borderId="32" xfId="1" applyFont="1" applyFill="1" applyBorder="1" applyAlignment="1">
      <alignment horizontal="center" vertical="center"/>
    </xf>
    <xf numFmtId="164" fontId="36" fillId="25" borderId="11" xfId="1" applyFont="1" applyFill="1" applyBorder="1" applyAlignment="1">
      <alignment horizontal="center" vertical="center"/>
    </xf>
    <xf numFmtId="164" fontId="36" fillId="25" borderId="10" xfId="1" applyFont="1" applyFill="1" applyBorder="1" applyAlignment="1">
      <alignment horizontal="center" vertical="center"/>
    </xf>
    <xf numFmtId="164" fontId="58" fillId="29" borderId="32" xfId="1" applyFont="1" applyFill="1" applyBorder="1" applyAlignment="1">
      <alignment horizontal="center" vertical="center"/>
    </xf>
    <xf numFmtId="164" fontId="3" fillId="0" borderId="12" xfId="0" applyNumberFormat="1" applyFont="1" applyBorder="1" applyAlignment="1">
      <alignment horizontal="center" vertical="center"/>
    </xf>
    <xf numFmtId="164" fontId="3" fillId="0" borderId="13" xfId="0" applyNumberFormat="1" applyFont="1" applyBorder="1" applyAlignment="1">
      <alignment horizontal="center" vertical="center"/>
    </xf>
    <xf numFmtId="164" fontId="36" fillId="25" borderId="0" xfId="1" applyFont="1" applyFill="1" applyBorder="1" applyAlignment="1">
      <alignment horizontal="center" vertical="center"/>
    </xf>
    <xf numFmtId="164" fontId="57" fillId="28" borderId="11" xfId="1" applyFont="1" applyFill="1" applyBorder="1" applyAlignment="1">
      <alignment horizontal="center" vertical="center"/>
    </xf>
    <xf numFmtId="164" fontId="60" fillId="28" borderId="11" xfId="1" applyFont="1" applyFill="1" applyBorder="1" applyAlignment="1">
      <alignment horizontal="center" vertical="center"/>
    </xf>
    <xf numFmtId="164" fontId="58" fillId="28" borderId="11" xfId="1" applyFont="1" applyFill="1" applyBorder="1" applyAlignment="1">
      <alignment horizontal="center" vertical="center"/>
    </xf>
    <xf numFmtId="0" fontId="3" fillId="19" borderId="34" xfId="0" applyFont="1" applyFill="1" applyBorder="1" applyAlignment="1">
      <alignment horizontal="center" vertical="center"/>
    </xf>
    <xf numFmtId="164" fontId="36" fillId="19" borderId="12" xfId="1" applyFont="1" applyFill="1" applyBorder="1" applyAlignment="1">
      <alignment horizontal="center" vertical="center"/>
    </xf>
    <xf numFmtId="164" fontId="36" fillId="19" borderId="34" xfId="1" applyFont="1" applyFill="1" applyBorder="1" applyAlignment="1">
      <alignment horizontal="center" vertical="center"/>
    </xf>
    <xf numFmtId="164" fontId="36" fillId="9" borderId="34" xfId="1" applyFont="1" applyFill="1" applyBorder="1" applyAlignment="1">
      <alignment horizontal="center" vertical="center"/>
    </xf>
    <xf numFmtId="164" fontId="36" fillId="9" borderId="13" xfId="1" applyFont="1" applyFill="1" applyBorder="1" applyAlignment="1">
      <alignment horizontal="center" vertical="center"/>
    </xf>
    <xf numFmtId="164" fontId="36" fillId="9" borderId="2" xfId="1" applyFont="1" applyFill="1" applyBorder="1" applyAlignment="1">
      <alignment horizontal="center" vertical="center"/>
    </xf>
    <xf numFmtId="164" fontId="61" fillId="9" borderId="34" xfId="1" applyFont="1" applyFill="1" applyBorder="1" applyAlignment="1">
      <alignment horizontal="center" vertical="center"/>
    </xf>
    <xf numFmtId="164" fontId="17" fillId="9" borderId="34" xfId="1" applyFont="1" applyFill="1" applyBorder="1" applyAlignment="1">
      <alignment horizontal="center" vertical="center"/>
    </xf>
    <xf numFmtId="164" fontId="57" fillId="30" borderId="34" xfId="1" applyFont="1" applyFill="1" applyBorder="1" applyAlignment="1">
      <alignment horizontal="center" vertical="center"/>
    </xf>
    <xf numFmtId="164" fontId="58" fillId="30" borderId="34" xfId="1" applyFont="1" applyFill="1" applyBorder="1" applyAlignment="1">
      <alignment horizontal="center" vertical="center"/>
    </xf>
    <xf numFmtId="164" fontId="58" fillId="31" borderId="34" xfId="1" applyFont="1" applyFill="1" applyBorder="1" applyAlignment="1">
      <alignment horizontal="center" vertical="center"/>
    </xf>
    <xf numFmtId="0" fontId="3" fillId="10" borderId="31" xfId="0" applyFont="1" applyFill="1" applyBorder="1" applyAlignment="1">
      <alignment horizontal="center" vertical="center"/>
    </xf>
    <xf numFmtId="0" fontId="0" fillId="10" borderId="31" xfId="0" applyFill="1" applyBorder="1" applyAlignment="1">
      <alignment horizontal="center" vertical="center"/>
    </xf>
    <xf numFmtId="166" fontId="0" fillId="10" borderId="7" xfId="0" applyNumberFormat="1" applyFill="1" applyBorder="1" applyAlignment="1">
      <alignment horizontal="center" vertical="center"/>
    </xf>
    <xf numFmtId="166" fontId="0" fillId="10" borderId="31" xfId="0" applyNumberFormat="1" applyFill="1" applyBorder="1" applyAlignment="1">
      <alignment horizontal="center" vertical="center"/>
    </xf>
    <xf numFmtId="166" fontId="0" fillId="10" borderId="32" xfId="0" applyNumberFormat="1" applyFill="1" applyBorder="1" applyAlignment="1">
      <alignment horizontal="center" vertical="center"/>
    </xf>
    <xf numFmtId="0" fontId="3" fillId="10" borderId="34" xfId="0" applyFont="1" applyFill="1" applyBorder="1" applyAlignment="1">
      <alignment horizontal="center" vertical="center"/>
    </xf>
    <xf numFmtId="0" fontId="44" fillId="10" borderId="34" xfId="0" applyFont="1" applyFill="1" applyBorder="1" applyAlignment="1">
      <alignment horizontal="center" vertical="center"/>
    </xf>
    <xf numFmtId="164" fontId="44" fillId="10" borderId="2" xfId="0" applyNumberFormat="1" applyFont="1" applyFill="1" applyBorder="1" applyAlignment="1">
      <alignment horizontal="center" vertical="center"/>
    </xf>
    <xf numFmtId="164" fontId="44" fillId="10" borderId="34" xfId="0" applyNumberFormat="1" applyFont="1" applyFill="1" applyBorder="1" applyAlignment="1">
      <alignment horizontal="center" vertical="center"/>
    </xf>
    <xf numFmtId="164" fontId="44" fillId="32" borderId="34" xfId="0" applyNumberFormat="1" applyFont="1" applyFill="1" applyBorder="1" applyAlignment="1">
      <alignment horizontal="center" vertical="center"/>
    </xf>
    <xf numFmtId="9" fontId="44" fillId="10" borderId="34" xfId="2" applyFont="1" applyFill="1" applyBorder="1" applyAlignment="1">
      <alignment horizontal="center" vertical="center"/>
    </xf>
    <xf numFmtId="0" fontId="44" fillId="0" borderId="0" xfId="0" applyFont="1" applyAlignment="1">
      <alignment horizontal="center" vertical="center"/>
    </xf>
    <xf numFmtId="0" fontId="3"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0" fontId="17" fillId="0" borderId="0" xfId="0" applyFont="1" applyFill="1" applyAlignment="1">
      <alignment horizontal="left" vertic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164" fontId="36" fillId="25" borderId="33" xfId="1" applyFont="1" applyFill="1" applyBorder="1" applyAlignment="1">
      <alignment horizontal="center" vertical="center"/>
    </xf>
    <xf numFmtId="0" fontId="3" fillId="24" borderId="33" xfId="0" applyFont="1" applyFill="1" applyBorder="1" applyAlignment="1">
      <alignment horizontal="center" vertical="center"/>
    </xf>
    <xf numFmtId="164" fontId="36" fillId="24" borderId="33" xfId="1" applyFont="1" applyFill="1" applyBorder="1" applyAlignment="1">
      <alignment horizontal="center" vertical="center"/>
    </xf>
    <xf numFmtId="164" fontId="36" fillId="4" borderId="33" xfId="1" applyFont="1" applyFill="1" applyBorder="1" applyAlignment="1">
      <alignment horizontal="center" vertical="center"/>
    </xf>
    <xf numFmtId="164" fontId="0" fillId="0" borderId="0" xfId="0" quotePrefix="1" applyNumberFormat="1" applyAlignment="1">
      <alignment horizontal="center" vertical="center"/>
    </xf>
    <xf numFmtId="0" fontId="62" fillId="0" borderId="0" xfId="0" applyFont="1" applyAlignment="1">
      <alignment horizontal="center" vertical="center"/>
    </xf>
    <xf numFmtId="0" fontId="44" fillId="0" borderId="0" xfId="0" applyFont="1" applyAlignment="1">
      <alignment horizontal="left" vertical="center"/>
    </xf>
    <xf numFmtId="167" fontId="0" fillId="0" borderId="0" xfId="1" applyNumberFormat="1" applyFont="1" applyAlignment="1">
      <alignment horizontal="center" vertical="center"/>
    </xf>
    <xf numFmtId="0" fontId="0" fillId="4" borderId="0" xfId="0" applyFill="1" applyAlignment="1">
      <alignment horizontal="right" vertical="center"/>
    </xf>
    <xf numFmtId="1" fontId="62" fillId="0" borderId="0" xfId="0" applyNumberFormat="1" applyFont="1" applyAlignment="1">
      <alignment horizontal="center" vertical="center"/>
    </xf>
    <xf numFmtId="164" fontId="0" fillId="4" borderId="0" xfId="1" applyFont="1" applyFill="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167" fontId="0" fillId="0" borderId="0" xfId="0" applyNumberFormat="1" applyAlignment="1">
      <alignment horizontal="center" vertical="center"/>
    </xf>
    <xf numFmtId="3" fontId="0" fillId="0" borderId="0" xfId="0" applyNumberFormat="1" applyAlignment="1">
      <alignment horizontal="center" vertical="center"/>
    </xf>
    <xf numFmtId="167" fontId="63" fillId="0" borderId="0" xfId="1" applyNumberFormat="1" applyFont="1" applyAlignment="1">
      <alignment horizontal="center" vertical="center"/>
    </xf>
  </cellXfs>
  <cellStyles count="4">
    <cellStyle name="Comma" xfId="1" builtinId="3"/>
    <cellStyle name="Comma 3" xf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monthly'!$Q$39:$AB$39</c:f>
              <c:numCache>
                <c:formatCode>B1mmm\-yy</c:formatCode>
                <c:ptCount val="12"/>
                <c:pt idx="0">
                  <c:v>44229</c:v>
                </c:pt>
                <c:pt idx="1">
                  <c:v>44257</c:v>
                </c:pt>
                <c:pt idx="2">
                  <c:v>44288</c:v>
                </c:pt>
                <c:pt idx="3">
                  <c:v>44318</c:v>
                </c:pt>
                <c:pt idx="4">
                  <c:v>44349</c:v>
                </c:pt>
                <c:pt idx="5">
                  <c:v>44379</c:v>
                </c:pt>
                <c:pt idx="6">
                  <c:v>44410</c:v>
                </c:pt>
                <c:pt idx="7">
                  <c:v>44441</c:v>
                </c:pt>
                <c:pt idx="8">
                  <c:v>44471</c:v>
                </c:pt>
                <c:pt idx="9">
                  <c:v>44502</c:v>
                </c:pt>
                <c:pt idx="10">
                  <c:v>44532</c:v>
                </c:pt>
                <c:pt idx="11">
                  <c:v>44563</c:v>
                </c:pt>
              </c:numCache>
            </c:numRef>
          </c:cat>
          <c:val>
            <c:numRef>
              <c:f>'LR monthly'!$Q$41:$AB$41</c:f>
              <c:numCache>
                <c:formatCode>_-* #,##0_-;\-* #,##0_-;_-* "-"??_-;_-@_-</c:formatCode>
                <c:ptCount val="12"/>
                <c:pt idx="0">
                  <c:v>44.700825630188234</c:v>
                </c:pt>
                <c:pt idx="1">
                  <c:v>35.222111158911162</c:v>
                </c:pt>
                <c:pt idx="2">
                  <c:v>5.0274465168165676</c:v>
                </c:pt>
                <c:pt idx="3">
                  <c:v>-22.928497209367009</c:v>
                </c:pt>
                <c:pt idx="4">
                  <c:v>-4.7762743281773794</c:v>
                </c:pt>
                <c:pt idx="5">
                  <c:v>-35.900923597514407</c:v>
                </c:pt>
                <c:pt idx="6">
                  <c:v>45.875260362485591</c:v>
                </c:pt>
                <c:pt idx="7">
                  <c:v>36.599594822485528</c:v>
                </c:pt>
                <c:pt idx="8">
                  <c:v>25.372328493739445</c:v>
                </c:pt>
                <c:pt idx="9">
                  <c:v>63.756663452265997</c:v>
                </c:pt>
                <c:pt idx="10">
                  <c:v>41.7401237974384</c:v>
                </c:pt>
                <c:pt idx="11">
                  <c:v>46.304256662610783</c:v>
                </c:pt>
              </c:numCache>
            </c:numRef>
          </c:val>
          <c:extLst>
            <c:ext xmlns:c16="http://schemas.microsoft.com/office/drawing/2014/chart" uri="{C3380CC4-5D6E-409C-BE32-E72D297353CC}">
              <c16:uniqueId val="{00000000-AC47-4A29-A6C4-61BF611E1D1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monthly'!$Q$39:$AB$39</c:f>
              <c:numCache>
                <c:formatCode>B1mmm\-yy</c:formatCode>
                <c:ptCount val="12"/>
                <c:pt idx="0">
                  <c:v>44229</c:v>
                </c:pt>
                <c:pt idx="1">
                  <c:v>44257</c:v>
                </c:pt>
                <c:pt idx="2">
                  <c:v>44288</c:v>
                </c:pt>
                <c:pt idx="3">
                  <c:v>44318</c:v>
                </c:pt>
                <c:pt idx="4">
                  <c:v>44349</c:v>
                </c:pt>
                <c:pt idx="5">
                  <c:v>44379</c:v>
                </c:pt>
                <c:pt idx="6">
                  <c:v>44410</c:v>
                </c:pt>
                <c:pt idx="7">
                  <c:v>44441</c:v>
                </c:pt>
                <c:pt idx="8">
                  <c:v>44471</c:v>
                </c:pt>
                <c:pt idx="9">
                  <c:v>44502</c:v>
                </c:pt>
                <c:pt idx="10">
                  <c:v>44532</c:v>
                </c:pt>
                <c:pt idx="11">
                  <c:v>44563</c:v>
                </c:pt>
              </c:numCache>
            </c:numRef>
          </c:cat>
          <c:val>
            <c:numRef>
              <c:f>'LR monthly'!$Q$42:$AB$42</c:f>
              <c:numCache>
                <c:formatCode>_-* #,##0_-;\-* #,##0_-;_-* "-"??_-;_-@_-</c:formatCode>
                <c:ptCount val="12"/>
                <c:pt idx="0">
                  <c:v>22</c:v>
                </c:pt>
                <c:pt idx="1">
                  <c:v>44</c:v>
                </c:pt>
                <c:pt idx="2">
                  <c:v>44</c:v>
                </c:pt>
                <c:pt idx="3">
                  <c:v>88</c:v>
                </c:pt>
                <c:pt idx="4">
                  <c:v>88</c:v>
                </c:pt>
                <c:pt idx="5">
                  <c:v>110</c:v>
                </c:pt>
                <c:pt idx="6">
                  <c:v>44</c:v>
                </c:pt>
                <c:pt idx="7">
                  <c:v>44</c:v>
                </c:pt>
                <c:pt idx="8">
                  <c:v>55</c:v>
                </c:pt>
                <c:pt idx="9">
                  <c:v>22</c:v>
                </c:pt>
                <c:pt idx="10">
                  <c:v>44</c:v>
                </c:pt>
                <c:pt idx="11">
                  <c:v>44</c:v>
                </c:pt>
              </c:numCache>
            </c:numRef>
          </c:val>
          <c:extLst>
            <c:ext xmlns:c16="http://schemas.microsoft.com/office/drawing/2014/chart" uri="{C3380CC4-5D6E-409C-BE32-E72D297353CC}">
              <c16:uniqueId val="{00000001-AC47-4A29-A6C4-61BF611E1D1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monthly'!$Q$39:$AB$39</c:f>
              <c:numCache>
                <c:formatCode>B1mmm\-yy</c:formatCode>
                <c:ptCount val="12"/>
                <c:pt idx="0">
                  <c:v>44229</c:v>
                </c:pt>
                <c:pt idx="1">
                  <c:v>44257</c:v>
                </c:pt>
                <c:pt idx="2">
                  <c:v>44288</c:v>
                </c:pt>
                <c:pt idx="3">
                  <c:v>44318</c:v>
                </c:pt>
                <c:pt idx="4">
                  <c:v>44349</c:v>
                </c:pt>
                <c:pt idx="5">
                  <c:v>44379</c:v>
                </c:pt>
                <c:pt idx="6">
                  <c:v>44410</c:v>
                </c:pt>
                <c:pt idx="7">
                  <c:v>44441</c:v>
                </c:pt>
                <c:pt idx="8">
                  <c:v>44471</c:v>
                </c:pt>
                <c:pt idx="9">
                  <c:v>44502</c:v>
                </c:pt>
                <c:pt idx="10">
                  <c:v>44532</c:v>
                </c:pt>
                <c:pt idx="11">
                  <c:v>44563</c:v>
                </c:pt>
              </c:numCache>
            </c:numRef>
          </c:cat>
          <c:val>
            <c:numRef>
              <c:f>'LR monthly'!$Q$43:$AB$43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AC47-4A29-A6C4-61BF611E1D1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monthly'!$Q$39:$AB$39</c:f>
              <c:numCache>
                <c:formatCode>B1mmm\-yy</c:formatCode>
                <c:ptCount val="12"/>
                <c:pt idx="0">
                  <c:v>44229</c:v>
                </c:pt>
                <c:pt idx="1">
                  <c:v>44257</c:v>
                </c:pt>
                <c:pt idx="2">
                  <c:v>44288</c:v>
                </c:pt>
                <c:pt idx="3">
                  <c:v>44318</c:v>
                </c:pt>
                <c:pt idx="4">
                  <c:v>44349</c:v>
                </c:pt>
                <c:pt idx="5">
                  <c:v>44379</c:v>
                </c:pt>
                <c:pt idx="6">
                  <c:v>44410</c:v>
                </c:pt>
                <c:pt idx="7">
                  <c:v>44441</c:v>
                </c:pt>
                <c:pt idx="8">
                  <c:v>44471</c:v>
                </c:pt>
                <c:pt idx="9">
                  <c:v>44502</c:v>
                </c:pt>
                <c:pt idx="10">
                  <c:v>44532</c:v>
                </c:pt>
                <c:pt idx="11">
                  <c:v>44563</c:v>
                </c:pt>
              </c:numCache>
            </c:numRef>
          </c:cat>
          <c:val>
            <c:numRef>
              <c:f>'LR monthly'!$Q$44:$AB$44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AC47-4A29-A6C4-61BF611E1D1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monthly'!$Q$39:$AB$39</c:f>
              <c:numCache>
                <c:formatCode>B1mmm\-yy</c:formatCode>
                <c:ptCount val="12"/>
                <c:pt idx="0">
                  <c:v>44229</c:v>
                </c:pt>
                <c:pt idx="1">
                  <c:v>44257</c:v>
                </c:pt>
                <c:pt idx="2">
                  <c:v>44288</c:v>
                </c:pt>
                <c:pt idx="3">
                  <c:v>44318</c:v>
                </c:pt>
                <c:pt idx="4">
                  <c:v>44349</c:v>
                </c:pt>
                <c:pt idx="5">
                  <c:v>44379</c:v>
                </c:pt>
                <c:pt idx="6">
                  <c:v>44410</c:v>
                </c:pt>
                <c:pt idx="7">
                  <c:v>44441</c:v>
                </c:pt>
                <c:pt idx="8">
                  <c:v>44471</c:v>
                </c:pt>
                <c:pt idx="9">
                  <c:v>44502</c:v>
                </c:pt>
                <c:pt idx="10">
                  <c:v>44532</c:v>
                </c:pt>
                <c:pt idx="11">
                  <c:v>44563</c:v>
                </c:pt>
              </c:numCache>
            </c:numRef>
          </c:cat>
          <c:val>
            <c:numRef>
              <c:f>'LR monthly'!$Q$40:$AB$40</c:f>
              <c:numCache>
                <c:formatCode>_-* #,##0_-;\-* #,##0_-;_-* "-"??_-;_-@_-</c:formatCode>
                <c:ptCount val="12"/>
                <c:pt idx="0">
                  <c:v>66.700825630188234</c:v>
                </c:pt>
                <c:pt idx="1">
                  <c:v>79.222111158911162</c:v>
                </c:pt>
                <c:pt idx="2">
                  <c:v>49.027446516816568</c:v>
                </c:pt>
                <c:pt idx="3">
                  <c:v>65.071502790632991</c:v>
                </c:pt>
                <c:pt idx="4">
                  <c:v>83.223725671822621</c:v>
                </c:pt>
                <c:pt idx="5">
                  <c:v>74.099076402485593</c:v>
                </c:pt>
                <c:pt idx="6">
                  <c:v>89.875260362485591</c:v>
                </c:pt>
                <c:pt idx="7">
                  <c:v>80.599594822485528</c:v>
                </c:pt>
                <c:pt idx="8">
                  <c:v>80.372328493739445</c:v>
                </c:pt>
                <c:pt idx="9">
                  <c:v>85.756663452265997</c:v>
                </c:pt>
                <c:pt idx="10">
                  <c:v>85.7401237974384</c:v>
                </c:pt>
                <c:pt idx="11">
                  <c:v>90.304256662610783</c:v>
                </c:pt>
              </c:numCache>
            </c:numRef>
          </c:val>
          <c:smooth val="0"/>
          <c:extLst>
            <c:ext xmlns:c16="http://schemas.microsoft.com/office/drawing/2014/chart" uri="{C3380CC4-5D6E-409C-BE32-E72D297353CC}">
              <c16:uniqueId val="{00000004-AC47-4A29-A6C4-61BF611E1D1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03DA-4565-BE2C-705A6F1126BC}"/>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03DA-4565-BE2C-705A6F1126BC}"/>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'C3LPG'!$A$42</c:f>
              <c:strCache>
                <c:ptCount val="1"/>
                <c:pt idx="0">
                  <c:v>C3/LPG GSP 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'C3LPG'!$L$42:$X$42</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6="http://schemas.microsoft.com/office/drawing/2014/chart" uri="{C3380CC4-5D6E-409C-BE32-E72D297353CC}">
              <c16:uniqueId val="{00000000-C449-4B10-B22E-41FEE3F0614B}"/>
            </c:ext>
          </c:extLst>
        </c:ser>
        <c:ser>
          <c:idx val="1"/>
          <c:order val="1"/>
          <c:tx>
            <c:strRef>
              <c:f>'C3LPG'!$A$44</c:f>
              <c:strCache>
                <c:ptCount val="1"/>
                <c:pt idx="0">
                  <c:v>GC</c:v>
                </c:pt>
              </c:strCache>
            </c:strRef>
          </c:tx>
          <c:spPr>
            <a:solidFill>
              <a:schemeClr val="accent2">
                <a:lumMod val="60000"/>
                <a:lumOff val="40000"/>
              </a:schemeClr>
            </a:solidFill>
            <a:ln>
              <a:noFill/>
            </a:ln>
            <a:effectLst/>
          </c:spPr>
          <c:invertIfNegative val="0"/>
          <c:dLbls>
            <c:dLbl>
              <c:idx val="0"/>
              <c:layout>
                <c:manualLayout>
                  <c:x val="-4.6765697032749911E-6"/>
                  <c:y val="7.31119753459285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49-4B10-B22E-41FEE3F061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'C3LPG'!$L$44:$X$44</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6="http://schemas.microsoft.com/office/drawing/2014/chart" uri="{C3380CC4-5D6E-409C-BE32-E72D297353CC}">
              <c16:uniqueId val="{00000002-C449-4B10-B22E-41FEE3F0614B}"/>
            </c:ext>
          </c:extLst>
        </c:ser>
        <c:ser>
          <c:idx val="2"/>
          <c:order val="2"/>
          <c:tx>
            <c:strRef>
              <c:f>'C3LPG'!$A$45</c:f>
              <c:strCache>
                <c:ptCount val="1"/>
                <c:pt idx="0">
                  <c:v>SPRC</c:v>
                </c:pt>
              </c:strCache>
            </c:strRef>
          </c:tx>
          <c:spPr>
            <a:solidFill>
              <a:schemeClr val="accent3"/>
            </a:solidFill>
            <a:ln>
              <a:noFill/>
            </a:ln>
            <a:effectLst/>
          </c:spPr>
          <c:invertIfNegative val="0"/>
          <c:dLbls>
            <c:dLbl>
              <c:idx val="0"/>
              <c:layout>
                <c:manualLayout>
                  <c:x val="-9.617311766995507E-3"/>
                  <c:y val="4.3676069153776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49-4B10-B22E-41FEE3F061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'C3LPG'!$K$45:$X$45</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6="http://schemas.microsoft.com/office/drawing/2014/chart" uri="{C3380CC4-5D6E-409C-BE32-E72D297353CC}">
              <c16:uniqueId val="{00000004-C449-4B10-B22E-41FEE3F0614B}"/>
            </c:ext>
          </c:extLst>
        </c:ser>
        <c:ser>
          <c:idx val="3"/>
          <c:order val="3"/>
          <c:tx>
            <c:strRef>
              <c:f>'C3LPG'!$A$46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'C3LPG'!$L$46:$X$46</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6="http://schemas.microsoft.com/office/drawing/2014/chart" uri="{C3380CC4-5D6E-409C-BE32-E72D297353CC}">
              <c16:uniqueId val="{00000005-C449-4B10-B22E-41FEE3F0614B}"/>
            </c:ext>
          </c:extLst>
        </c:ser>
        <c:ser>
          <c:idx val="4"/>
          <c:order val="4"/>
          <c:tx>
            <c:strRef>
              <c:f>'C3LPG'!$A$47</c:f>
              <c:strCache>
                <c:ptCount val="1"/>
                <c:pt idx="0">
                  <c:v>GSP KHM</c:v>
                </c:pt>
              </c:strCache>
            </c:strRef>
          </c:tx>
          <c:spPr>
            <a:solidFill>
              <a:schemeClr val="accent5"/>
            </a:solidFill>
            <a:ln>
              <a:noFill/>
            </a:ln>
            <a:effectLst/>
          </c:spPr>
          <c:invertIfNegative val="0"/>
          <c:dLbls>
            <c:dLbl>
              <c:idx val="0"/>
              <c:layout>
                <c:manualLayout>
                  <c:x val="3.0081718631782322E-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49-4B10-B22E-41FEE3F061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'C3LPG'!$L$47:$X$47</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6="http://schemas.microsoft.com/office/drawing/2014/chart" uri="{C3380CC4-5D6E-409C-BE32-E72D297353CC}">
              <c16:uniqueId val="{00000007-C449-4B10-B22E-41FEE3F0614B}"/>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'C3LPG'!$L$39:$X$39</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6="http://schemas.microsoft.com/office/drawing/2014/chart" uri="{C3380CC4-5D6E-409C-BE32-E72D297353CC}">
              <c16:uniqueId val="{00000008-C449-4B10-B22E-41FEE3F0614B}"/>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'C3LPG'!$L$159:$X$159</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C449-4B10-B22E-41FEE3F0614B}"/>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49-4B10-B22E-41FEE3F0614B}"/>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49-4B10-B22E-41FEE3F0614B}"/>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449-4B10-B22E-41FEE3F0614B}"/>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449-4B10-B22E-41FEE3F0614B}"/>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449-4B10-B22E-41FEE3F0614B}"/>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449-4B10-B22E-41FEE3F061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C449-4B10-B22E-41FEE3F0614B}"/>
            </c:ext>
          </c:extLst>
        </c:ser>
        <c:dLbls>
          <c:showLegendKey val="0"/>
          <c:showVal val="1"/>
          <c:showCatName val="0"/>
          <c:showSerName val="0"/>
          <c:showPercent val="0"/>
          <c:showBubbleSize val="0"/>
        </c:dLbls>
        <c:marker val="1"/>
        <c:smooth val="0"/>
        <c:axId val="611677464"/>
        <c:axId val="611678120"/>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Offset val="100"/>
        <c:baseTimeUnit val="months"/>
      </c:date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A2-47D7-88F3-311643F3B73C}"/>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A2-47D7-88F3-311643F3B73C}"/>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A2-47D7-88F3-311643F3B73C}"/>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A2-47D7-88F3-311643F3B73C}"/>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A2-47D7-88F3-311643F3B73C}"/>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22A2-47D7-88F3-311643F3B73C}"/>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283028</xdr:colOff>
      <xdr:row>45</xdr:row>
      <xdr:rowOff>32657</xdr:rowOff>
    </xdr:from>
    <xdr:to>
      <xdr:col>30</xdr:col>
      <xdr:colOff>195047</xdr:colOff>
      <xdr:row>71</xdr:row>
      <xdr:rowOff>125748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527503</xdr:colOff>
      <xdr:row>28</xdr:row>
      <xdr:rowOff>63509</xdr:rowOff>
    </xdr:from>
    <xdr:to>
      <xdr:col>54</xdr:col>
      <xdr:colOff>391433</xdr:colOff>
      <xdr:row>53</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214313</xdr:colOff>
      <xdr:row>33</xdr:row>
      <xdr:rowOff>152399</xdr:rowOff>
    </xdr:from>
    <xdr:to>
      <xdr:col>54</xdr:col>
      <xdr:colOff>79375</xdr:colOff>
      <xdr:row>56</xdr:row>
      <xdr:rowOff>79374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64</xdr:row>
      <xdr:rowOff>0</xdr:rowOff>
    </xdr:from>
    <xdr:to>
      <xdr:col>53</xdr:col>
      <xdr:colOff>530080</xdr:colOff>
      <xdr:row>87</xdr:row>
      <xdr:rowOff>176357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PTT\prodmkt\New%20PrdMkt\Analysis\Plan\Plan\6.%20Rolling%20Plan%2012%20Months\Merge%20Allocation%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 balance"/>
      <sheetName val="C2"/>
      <sheetName val="C2 (r1)"/>
      <sheetName val="C2 (r2)"/>
      <sheetName val="LR monthly"/>
      <sheetName val="C3LPG"/>
      <sheetName val="NGL"/>
      <sheetName val="Graph DS"/>
      <sheetName val="Graph Allo"/>
      <sheetName val="Contract Vol"/>
      <sheetName val="Production"/>
    </sheetNames>
    <sheetDataSet>
      <sheetData sheetId="0"/>
      <sheetData sheetId="1"/>
      <sheetData sheetId="2"/>
      <sheetData sheetId="3"/>
      <sheetData sheetId="4">
        <row r="39">
          <cell r="Q39">
            <v>44229</v>
          </cell>
          <cell r="R39">
            <v>44257</v>
          </cell>
          <cell r="S39">
            <v>44288</v>
          </cell>
          <cell r="T39">
            <v>44318</v>
          </cell>
          <cell r="U39">
            <v>44349</v>
          </cell>
          <cell r="V39">
            <v>44379</v>
          </cell>
          <cell r="W39">
            <v>44410</v>
          </cell>
          <cell r="X39">
            <v>44441</v>
          </cell>
          <cell r="Y39">
            <v>44471</v>
          </cell>
          <cell r="Z39">
            <v>44502</v>
          </cell>
          <cell r="AA39">
            <v>44532</v>
          </cell>
          <cell r="AB39">
            <v>44563</v>
          </cell>
        </row>
        <row r="40">
          <cell r="A40" t="str">
            <v>Total LR (GSP RY+MT+BRP)</v>
          </cell>
          <cell r="Q40">
            <v>66.700825630188234</v>
          </cell>
          <cell r="R40">
            <v>79.222111158911162</v>
          </cell>
          <cell r="S40">
            <v>49.027446516816568</v>
          </cell>
          <cell r="T40">
            <v>65.071502790632991</v>
          </cell>
          <cell r="U40">
            <v>83.223725671822621</v>
          </cell>
          <cell r="V40">
            <v>74.099076402485593</v>
          </cell>
          <cell r="W40">
            <v>89.875260362485591</v>
          </cell>
          <cell r="X40">
            <v>80.599594822485528</v>
          </cell>
          <cell r="Y40">
            <v>80.372328493739445</v>
          </cell>
          <cell r="Z40">
            <v>85.756663452265997</v>
          </cell>
          <cell r="AA40">
            <v>85.7401237974384</v>
          </cell>
          <cell r="AB40">
            <v>90.304256662610783</v>
          </cell>
        </row>
        <row r="41">
          <cell r="A41" t="str">
            <v>Stock (GSP RY+MT+BRP)</v>
          </cell>
          <cell r="Q41">
            <v>44.700825630188234</v>
          </cell>
          <cell r="R41">
            <v>35.222111158911162</v>
          </cell>
          <cell r="S41">
            <v>5.0274465168165676</v>
          </cell>
          <cell r="T41">
            <v>-22.928497209367009</v>
          </cell>
          <cell r="U41">
            <v>-4.7762743281773794</v>
          </cell>
          <cell r="V41">
            <v>-35.900923597514407</v>
          </cell>
          <cell r="W41">
            <v>45.875260362485591</v>
          </cell>
          <cell r="X41">
            <v>36.599594822485528</v>
          </cell>
          <cell r="Y41">
            <v>25.372328493739445</v>
          </cell>
          <cell r="Z41">
            <v>63.756663452265997</v>
          </cell>
          <cell r="AA41">
            <v>41.7401237974384</v>
          </cell>
          <cell r="AB41">
            <v>46.304256662610783</v>
          </cell>
        </row>
        <row r="42">
          <cell r="A42" t="str">
            <v>Import Cargo</v>
          </cell>
          <cell r="Q42">
            <v>22</v>
          </cell>
          <cell r="R42">
            <v>44</v>
          </cell>
          <cell r="S42">
            <v>44</v>
          </cell>
          <cell r="T42">
            <v>88</v>
          </cell>
          <cell r="U42">
            <v>88</v>
          </cell>
          <cell r="V42">
            <v>110</v>
          </cell>
          <cell r="W42">
            <v>44</v>
          </cell>
          <cell r="X42">
            <v>44</v>
          </cell>
          <cell r="Y42">
            <v>55</v>
          </cell>
          <cell r="Z42">
            <v>22</v>
          </cell>
          <cell r="AA42">
            <v>44</v>
          </cell>
          <cell r="AB42">
            <v>44</v>
          </cell>
        </row>
        <row r="43">
          <cell r="A43" t="str">
            <v xml:space="preserve">LR by Legal </v>
          </cell>
          <cell r="Q43">
            <v>19</v>
          </cell>
          <cell r="R43">
            <v>19</v>
          </cell>
          <cell r="S43">
            <v>19</v>
          </cell>
          <cell r="T43">
            <v>19</v>
          </cell>
          <cell r="U43">
            <v>19</v>
          </cell>
          <cell r="V43">
            <v>19</v>
          </cell>
          <cell r="W43">
            <v>19</v>
          </cell>
          <cell r="X43">
            <v>19</v>
          </cell>
          <cell r="Y43">
            <v>19</v>
          </cell>
          <cell r="Z43">
            <v>19</v>
          </cell>
          <cell r="AA43">
            <v>19</v>
          </cell>
          <cell r="AB43">
            <v>19</v>
          </cell>
        </row>
        <row r="44">
          <cell r="A44" t="str">
            <v>LR by Internal Control</v>
          </cell>
          <cell r="Q44">
            <v>36</v>
          </cell>
          <cell r="R44">
            <v>36</v>
          </cell>
          <cell r="S44">
            <v>36</v>
          </cell>
          <cell r="T44">
            <v>36</v>
          </cell>
          <cell r="U44">
            <v>36</v>
          </cell>
          <cell r="V44">
            <v>36</v>
          </cell>
          <cell r="W44">
            <v>36</v>
          </cell>
          <cell r="X44">
            <v>36</v>
          </cell>
          <cell r="Y44">
            <v>36</v>
          </cell>
          <cell r="Z44">
            <v>36</v>
          </cell>
          <cell r="AA44">
            <v>36</v>
          </cell>
          <cell r="AB44">
            <v>36</v>
          </cell>
        </row>
      </sheetData>
      <sheetData sheetId="5">
        <row r="3">
          <cell r="H3">
            <v>43679</v>
          </cell>
          <cell r="I3">
            <v>43710</v>
          </cell>
          <cell r="J3">
            <v>43740</v>
          </cell>
          <cell r="K3">
            <v>43771</v>
          </cell>
          <cell r="L3">
            <v>43801</v>
          </cell>
          <cell r="M3">
            <v>43832</v>
          </cell>
          <cell r="N3">
            <v>43863</v>
          </cell>
          <cell r="O3">
            <v>43892</v>
          </cell>
          <cell r="P3">
            <v>43923</v>
          </cell>
          <cell r="Q3">
            <v>43953</v>
          </cell>
          <cell r="R3">
            <v>43984</v>
          </cell>
          <cell r="S3">
            <v>44014</v>
          </cell>
          <cell r="T3">
            <v>44045</v>
          </cell>
          <cell r="U3">
            <v>44076</v>
          </cell>
          <cell r="V3">
            <v>44106</v>
          </cell>
          <cell r="W3">
            <v>44137</v>
          </cell>
          <cell r="X3">
            <v>44167</v>
          </cell>
        </row>
        <row r="7">
          <cell r="H7">
            <v>0.39182363423008387</v>
          </cell>
          <cell r="I7">
            <v>0.2216113230263459</v>
          </cell>
          <cell r="J7">
            <v>0.59643698300303716</v>
          </cell>
          <cell r="K7">
            <v>0.56993512537453628</v>
          </cell>
          <cell r="L7">
            <v>0.64258389415354455</v>
          </cell>
          <cell r="M7">
            <v>0.33910230182228851</v>
          </cell>
          <cell r="N7">
            <v>0.72585738643227993</v>
          </cell>
          <cell r="O7">
            <v>0.67877677003271597</v>
          </cell>
          <cell r="P7">
            <v>0.37553485757121435</v>
          </cell>
          <cell r="Q7">
            <v>0.64516963887942547</v>
          </cell>
          <cell r="R7">
            <v>0.31575862400307481</v>
          </cell>
          <cell r="S7">
            <v>0.39326065497872936</v>
          </cell>
          <cell r="T7">
            <v>0.3302990993824087</v>
          </cell>
          <cell r="U7">
            <v>0.58301798614568867</v>
          </cell>
          <cell r="V7">
            <v>0.31373027945586512</v>
          </cell>
          <cell r="W7">
            <v>0.48721914685557821</v>
          </cell>
          <cell r="X7">
            <v>0.36383103528880723</v>
          </cell>
        </row>
        <row r="8">
          <cell r="L8">
            <v>14.1</v>
          </cell>
          <cell r="N8">
            <v>3.4</v>
          </cell>
          <cell r="Q8">
            <v>2</v>
          </cell>
          <cell r="R8">
            <v>3.58</v>
          </cell>
          <cell r="S8">
            <v>23</v>
          </cell>
          <cell r="T8">
            <v>27</v>
          </cell>
          <cell r="U8">
            <v>13</v>
          </cell>
          <cell r="V8">
            <v>7</v>
          </cell>
          <cell r="W8">
            <v>32</v>
          </cell>
          <cell r="X8">
            <v>20.677</v>
          </cell>
        </row>
        <row r="39">
          <cell r="L39">
            <v>43801</v>
          </cell>
          <cell r="M39">
            <v>43832</v>
          </cell>
          <cell r="N39">
            <v>43863</v>
          </cell>
          <cell r="O39">
            <v>43892</v>
          </cell>
          <cell r="P39">
            <v>43923</v>
          </cell>
          <cell r="Q39">
            <v>43953</v>
          </cell>
          <cell r="R39">
            <v>43984</v>
          </cell>
          <cell r="S39">
            <v>44014</v>
          </cell>
          <cell r="T39">
            <v>44045</v>
          </cell>
          <cell r="U39">
            <v>44076</v>
          </cell>
          <cell r="V39">
            <v>44106</v>
          </cell>
          <cell r="W39">
            <v>44137</v>
          </cell>
          <cell r="X39">
            <v>44167</v>
          </cell>
        </row>
        <row r="42">
          <cell r="A42" t="str">
            <v>C3/LPG GSP RY</v>
          </cell>
          <cell r="L42">
            <v>308.76</v>
          </cell>
          <cell r="M42">
            <v>274.16699999999997</v>
          </cell>
          <cell r="N42">
            <v>269</v>
          </cell>
          <cell r="O42">
            <v>299.5</v>
          </cell>
          <cell r="P42">
            <v>248.80099999999999</v>
          </cell>
          <cell r="Q42">
            <v>225</v>
          </cell>
          <cell r="R42">
            <v>238.5</v>
          </cell>
          <cell r="S42">
            <v>250.608</v>
          </cell>
          <cell r="T42">
            <v>270.3</v>
          </cell>
          <cell r="U42">
            <v>276</v>
          </cell>
          <cell r="V42">
            <v>279.80200000000002</v>
          </cell>
          <cell r="W42">
            <v>255.7</v>
          </cell>
          <cell r="X42">
            <v>267.7</v>
          </cell>
        </row>
        <row r="44">
          <cell r="A44" t="str">
            <v>GC</v>
          </cell>
          <cell r="L44">
            <v>25</v>
          </cell>
          <cell r="M44">
            <v>20</v>
          </cell>
          <cell r="N44">
            <v>18</v>
          </cell>
          <cell r="O44">
            <v>7</v>
          </cell>
          <cell r="P44">
            <v>2</v>
          </cell>
          <cell r="Q44">
            <v>6</v>
          </cell>
          <cell r="R44">
            <v>0</v>
          </cell>
          <cell r="S44">
            <v>4</v>
          </cell>
          <cell r="T44">
            <v>1.2</v>
          </cell>
          <cell r="U44">
            <v>0</v>
          </cell>
          <cell r="V44">
            <v>0</v>
          </cell>
          <cell r="W44">
            <v>13</v>
          </cell>
          <cell r="X44">
            <v>11.6</v>
          </cell>
        </row>
        <row r="45">
          <cell r="A45" t="str">
            <v>SPRC</v>
          </cell>
          <cell r="K45">
            <v>0</v>
          </cell>
          <cell r="L45">
            <v>3.96</v>
          </cell>
          <cell r="M45">
            <v>6.37</v>
          </cell>
          <cell r="N45">
            <v>6.1</v>
          </cell>
          <cell r="O45">
            <v>6.4799999999999995</v>
          </cell>
          <cell r="P45">
            <v>4.3</v>
          </cell>
          <cell r="Q45">
            <v>3</v>
          </cell>
          <cell r="R45">
            <v>3</v>
          </cell>
          <cell r="S45">
            <v>3.5</v>
          </cell>
          <cell r="T45">
            <v>3</v>
          </cell>
          <cell r="U45">
            <v>3.6</v>
          </cell>
          <cell r="V45">
            <v>6.7600000000000007</v>
          </cell>
          <cell r="W45">
            <v>6.06</v>
          </cell>
          <cell r="X45">
            <v>6.67</v>
          </cell>
        </row>
        <row r="46">
          <cell r="A46" t="str">
            <v xml:space="preserve">PTTEP/LKB </v>
          </cell>
          <cell r="L46">
            <v>6.05</v>
          </cell>
          <cell r="M46">
            <v>6.2</v>
          </cell>
          <cell r="N46">
            <v>5.66</v>
          </cell>
          <cell r="O46">
            <v>6.0449999999999999</v>
          </cell>
          <cell r="P46">
            <v>5.85</v>
          </cell>
          <cell r="Q46">
            <v>4.5999999999999996</v>
          </cell>
          <cell r="R46">
            <v>5.7</v>
          </cell>
          <cell r="S46">
            <v>5.7</v>
          </cell>
          <cell r="T46">
            <v>5.68</v>
          </cell>
          <cell r="U46">
            <v>5.4</v>
          </cell>
          <cell r="V46">
            <v>5.8</v>
          </cell>
          <cell r="W46">
            <v>5.4</v>
          </cell>
          <cell r="X46">
            <v>5.58</v>
          </cell>
        </row>
        <row r="47">
          <cell r="A47" t="str">
            <v>GSP KHM</v>
          </cell>
          <cell r="L47">
            <v>13.26</v>
          </cell>
          <cell r="M47">
            <v>17</v>
          </cell>
          <cell r="N47">
            <v>17.5</v>
          </cell>
          <cell r="O47">
            <v>15</v>
          </cell>
          <cell r="P47">
            <v>16.5</v>
          </cell>
          <cell r="Q47">
            <v>15</v>
          </cell>
          <cell r="R47">
            <v>14.5</v>
          </cell>
          <cell r="S47">
            <v>15.5</v>
          </cell>
          <cell r="T47">
            <v>13.04</v>
          </cell>
          <cell r="U47">
            <v>17.2</v>
          </cell>
          <cell r="V47">
            <v>15.83</v>
          </cell>
          <cell r="W47">
            <v>16.2</v>
          </cell>
          <cell r="X47">
            <v>15.4</v>
          </cell>
        </row>
        <row r="159">
          <cell r="L159">
            <v>301.83112309999996</v>
          </cell>
          <cell r="M159">
            <v>297.98329081999998</v>
          </cell>
          <cell r="N159">
            <v>287.21145953000001</v>
          </cell>
          <cell r="O159">
            <v>287.78300000000007</v>
          </cell>
          <cell r="P159">
            <v>293.58999999999986</v>
          </cell>
          <cell r="Q159">
            <v>243.57659381000002</v>
          </cell>
          <cell r="R159">
            <v>282.79017382000001</v>
          </cell>
          <cell r="S159">
            <v>301.85999999999996</v>
          </cell>
          <cell r="T159">
            <v>323.9323626373627</v>
          </cell>
          <cell r="U159">
            <v>310.59999999999997</v>
          </cell>
          <cell r="V159">
            <v>325.31</v>
          </cell>
          <cell r="W159">
            <v>323.36240770999996</v>
          </cell>
          <cell r="X159">
            <v>337.09400000000005</v>
          </cell>
        </row>
      </sheetData>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t="str">
            <v xml:space="preserve"> </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t="str">
            <v xml:space="preserve"> </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t="str">
            <v xml:space="preserve"> </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t="str">
            <v xml:space="preserve"> </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t="str">
            <v xml:space="preserve"> </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t="str">
            <v xml:space="preserve"> </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t="str">
            <v xml:space="preserve"> </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t="str">
            <v xml:space="preserve"> </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t="str">
            <v xml:space="preserve"> </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t="str">
            <v xml:space="preserve"> </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t="str">
            <v xml:space="preserve"> </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t="str">
            <v xml:space="preserve"> </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0"/>
  <sheetViews>
    <sheetView tabSelected="1" topLeftCell="A22" zoomScaleNormal="100" workbookViewId="0">
      <selection activeCell="G41" sqref="G41"/>
    </sheetView>
  </sheetViews>
  <sheetFormatPr defaultRowHeight="14.4"/>
  <cols>
    <col min="1" max="1" width="36.33203125" style="1" bestFit="1" customWidth="1"/>
    <col min="3" max="3" width="10.33203125" hidden="1" customWidth="1"/>
    <col min="4" max="8" width="9.77734375" bestFit="1" customWidth="1"/>
    <col min="9" max="9" width="10.33203125" bestFit="1" customWidth="1"/>
    <col min="10" max="16" width="9.77734375" bestFit="1" customWidth="1"/>
    <col min="17" max="17" width="9.33203125" style="6" customWidth="1"/>
    <col min="18" max="18" width="15.88671875" bestFit="1" customWidth="1"/>
  </cols>
  <sheetData>
    <row r="1" spans="1:18">
      <c r="A1" s="1" t="s">
        <v>0</v>
      </c>
      <c r="B1" s="2" t="s">
        <v>1</v>
      </c>
      <c r="C1" s="3">
        <v>200.00475408799599</v>
      </c>
      <c r="D1" s="3">
        <v>180.7371222570533</v>
      </c>
      <c r="E1" s="3">
        <v>202.47593348115299</v>
      </c>
      <c r="F1" s="3">
        <v>191.86483370288249</v>
      </c>
      <c r="G1" s="3">
        <v>203.11200000000002</v>
      </c>
      <c r="H1" s="3">
        <v>196.65</v>
      </c>
      <c r="I1" s="3">
        <v>159.36000000000001</v>
      </c>
      <c r="J1" s="3">
        <v>204.60000000000002</v>
      </c>
      <c r="K1" s="3">
        <v>184.72800000000001</v>
      </c>
      <c r="L1" s="3">
        <v>159.51758748120392</v>
      </c>
      <c r="M1" s="3">
        <v>198.54412263934552</v>
      </c>
      <c r="N1" s="3">
        <v>201.4497760022428</v>
      </c>
      <c r="O1" s="3">
        <v>203.24626380712081</v>
      </c>
      <c r="P1" s="3">
        <v>183.57727053546398</v>
      </c>
      <c r="Q1" s="4"/>
    </row>
    <row r="2" spans="1:18">
      <c r="A2" s="1" t="s">
        <v>2</v>
      </c>
      <c r="B2" s="2" t="s">
        <v>1</v>
      </c>
      <c r="C2" s="5">
        <f t="shared" ref="C2:P2" si="0">C7-C1</f>
        <v>-0.99693893053157012</v>
      </c>
      <c r="D2" s="5">
        <f t="shared" si="0"/>
        <v>1.0171268926805794</v>
      </c>
      <c r="E2" s="5">
        <f t="shared" si="0"/>
        <v>8.0689655172250241E-3</v>
      </c>
      <c r="F2" s="5">
        <f t="shared" si="0"/>
        <v>0</v>
      </c>
      <c r="G2" s="5">
        <f t="shared" si="0"/>
        <v>0</v>
      </c>
      <c r="H2" s="5">
        <f t="shared" si="0"/>
        <v>0</v>
      </c>
      <c r="I2" s="5">
        <f t="shared" si="0"/>
        <v>0</v>
      </c>
      <c r="J2" s="5">
        <f t="shared" si="0"/>
        <v>0</v>
      </c>
      <c r="K2" s="5">
        <f t="shared" si="0"/>
        <v>0</v>
      </c>
      <c r="L2" s="5">
        <f t="shared" si="0"/>
        <v>0</v>
      </c>
      <c r="M2" s="5">
        <f t="shared" si="0"/>
        <v>0</v>
      </c>
      <c r="N2" s="5">
        <f t="shared" si="0"/>
        <v>0</v>
      </c>
      <c r="O2" s="5">
        <f t="shared" si="0"/>
        <v>0</v>
      </c>
      <c r="P2" s="5">
        <f t="shared" si="0"/>
        <v>0</v>
      </c>
      <c r="Q2" s="4"/>
    </row>
    <row r="3" spans="1:18">
      <c r="A3" s="1" t="s">
        <v>3</v>
      </c>
      <c r="B3" s="2" t="s">
        <v>1</v>
      </c>
      <c r="C3" s="3">
        <v>46.417000000000002</v>
      </c>
      <c r="D3" s="3">
        <v>44.466758620689653</v>
      </c>
      <c r="E3" s="3">
        <v>48.36</v>
      </c>
      <c r="F3" s="3">
        <v>46.8</v>
      </c>
      <c r="G3" s="3">
        <v>48.36</v>
      </c>
      <c r="H3" s="3">
        <v>46.8</v>
      </c>
      <c r="I3" s="3">
        <v>48.36</v>
      </c>
      <c r="J3" s="3">
        <v>48.36</v>
      </c>
      <c r="K3" s="3">
        <v>46.8</v>
      </c>
      <c r="L3" s="3">
        <v>46.692413793103455</v>
      </c>
      <c r="M3" s="3">
        <v>45.186206896551731</v>
      </c>
      <c r="N3" s="3">
        <v>47.526206896551727</v>
      </c>
      <c r="O3" s="3">
        <v>47.526206896551727</v>
      </c>
      <c r="P3" s="3">
        <v>42.926896551724141</v>
      </c>
    </row>
    <row r="4" spans="1:18">
      <c r="A4" s="1" t="s">
        <v>2</v>
      </c>
      <c r="B4" s="2" t="s">
        <v>1</v>
      </c>
      <c r="C4" s="5">
        <f>C9-C3</f>
        <v>-0.28151834684843635</v>
      </c>
      <c r="D4" s="5">
        <f t="shared" ref="D4:P4" si="1">D9-D3</f>
        <v>-0.80892123812488137</v>
      </c>
      <c r="E4" s="5">
        <f t="shared" si="1"/>
        <v>8.0689655172392349E-3</v>
      </c>
      <c r="F4" s="5">
        <f t="shared" si="1"/>
        <v>0</v>
      </c>
      <c r="G4" s="5">
        <f t="shared" si="1"/>
        <v>0</v>
      </c>
      <c r="H4" s="5">
        <f t="shared" si="1"/>
        <v>0</v>
      </c>
      <c r="I4" s="5">
        <f t="shared" si="1"/>
        <v>0</v>
      </c>
      <c r="J4" s="5">
        <f t="shared" si="1"/>
        <v>0</v>
      </c>
      <c r="K4" s="5">
        <f t="shared" si="1"/>
        <v>0</v>
      </c>
      <c r="L4" s="5">
        <f t="shared" si="1"/>
        <v>0</v>
      </c>
      <c r="M4" s="5">
        <f t="shared" si="1"/>
        <v>0</v>
      </c>
      <c r="N4" s="5">
        <f t="shared" si="1"/>
        <v>0</v>
      </c>
      <c r="O4" s="5">
        <f t="shared" si="1"/>
        <v>0</v>
      </c>
      <c r="P4" s="5">
        <f t="shared" si="1"/>
        <v>0</v>
      </c>
    </row>
    <row r="5" spans="1:18">
      <c r="A5" s="7"/>
      <c r="B5" s="8"/>
      <c r="C5" s="9">
        <v>31</v>
      </c>
      <c r="D5" s="9">
        <v>28</v>
      </c>
      <c r="E5" s="9">
        <v>31</v>
      </c>
      <c r="F5" s="9">
        <v>30</v>
      </c>
      <c r="G5" s="9">
        <v>31</v>
      </c>
      <c r="H5" s="9">
        <v>30</v>
      </c>
      <c r="I5" s="9">
        <v>31</v>
      </c>
      <c r="J5" s="9">
        <v>31</v>
      </c>
      <c r="K5" s="9">
        <v>30</v>
      </c>
      <c r="L5" s="9">
        <v>31</v>
      </c>
      <c r="M5" s="9">
        <v>30</v>
      </c>
      <c r="N5" s="9">
        <v>31</v>
      </c>
      <c r="O5" s="9">
        <v>31</v>
      </c>
      <c r="P5" s="9">
        <v>31</v>
      </c>
      <c r="Q5" s="10"/>
      <c r="R5" s="9"/>
    </row>
    <row r="6" spans="1:18">
      <c r="A6" s="11" t="s">
        <v>4</v>
      </c>
      <c r="B6" s="11" t="s">
        <v>5</v>
      </c>
      <c r="C6" s="12">
        <v>44198</v>
      </c>
      <c r="D6" s="12">
        <v>44229</v>
      </c>
      <c r="E6" s="12">
        <v>44257</v>
      </c>
      <c r="F6" s="12">
        <v>44288</v>
      </c>
      <c r="G6" s="12">
        <v>44318</v>
      </c>
      <c r="H6" s="12">
        <v>44349</v>
      </c>
      <c r="I6" s="13">
        <v>44379</v>
      </c>
      <c r="J6" s="13">
        <v>44410</v>
      </c>
      <c r="K6" s="13">
        <v>44441</v>
      </c>
      <c r="L6" s="13">
        <v>44471</v>
      </c>
      <c r="M6" s="13">
        <v>44502</v>
      </c>
      <c r="N6" s="13">
        <v>44532</v>
      </c>
      <c r="O6" s="13">
        <v>44563</v>
      </c>
      <c r="P6" s="13">
        <v>44594</v>
      </c>
      <c r="Q6" s="14"/>
      <c r="R6" s="15" t="s">
        <v>6</v>
      </c>
    </row>
    <row r="7" spans="1:18">
      <c r="A7" s="16" t="s">
        <v>7</v>
      </c>
      <c r="B7" s="17" t="s">
        <v>1</v>
      </c>
      <c r="C7" s="18">
        <v>199.00781515746442</v>
      </c>
      <c r="D7" s="19">
        <v>181.75424914973388</v>
      </c>
      <c r="E7" s="19">
        <v>202.48400244667022</v>
      </c>
      <c r="F7" s="19">
        <v>191.86483370288249</v>
      </c>
      <c r="G7" s="19">
        <v>203.11200000000002</v>
      </c>
      <c r="H7" s="19">
        <v>196.65</v>
      </c>
      <c r="I7" s="19">
        <v>159.36000000000001</v>
      </c>
      <c r="J7" s="19">
        <v>204.60000000000002</v>
      </c>
      <c r="K7" s="19">
        <v>184.72800000000001</v>
      </c>
      <c r="L7" s="19">
        <v>159.51758748120392</v>
      </c>
      <c r="M7" s="19">
        <v>198.54412263934552</v>
      </c>
      <c r="N7" s="19">
        <v>201.4497760022428</v>
      </c>
      <c r="O7" s="19">
        <v>203.24626380712081</v>
      </c>
      <c r="P7" s="19">
        <v>183.57727053546398</v>
      </c>
      <c r="Q7" s="20"/>
      <c r="R7" s="21">
        <f>SUM(C7:N7)</f>
        <v>2283.072386579543</v>
      </c>
    </row>
    <row r="8" spans="1:18">
      <c r="A8" s="7" t="str">
        <f>A7</f>
        <v>Total C2 (Ability 3rev1_11Feb'21)</v>
      </c>
      <c r="B8" s="17" t="s">
        <v>8</v>
      </c>
      <c r="C8" s="22">
        <f>C7/24/C5*1000</f>
        <v>267.48362252347368</v>
      </c>
      <c r="D8" s="22">
        <f t="shared" ref="D8:P8" si="2">D7/24/D5*1000</f>
        <v>270.46763266329447</v>
      </c>
      <c r="E8" s="22">
        <f t="shared" si="2"/>
        <v>272.15591726702985</v>
      </c>
      <c r="F8" s="22">
        <f t="shared" si="2"/>
        <v>266.47893569844791</v>
      </c>
      <c r="G8" s="22">
        <f t="shared" si="2"/>
        <v>273</v>
      </c>
      <c r="H8" s="22">
        <f t="shared" si="2"/>
        <v>273.125</v>
      </c>
      <c r="I8" s="22">
        <f t="shared" si="2"/>
        <v>214.19354838709677</v>
      </c>
      <c r="J8" s="22">
        <f t="shared" si="2"/>
        <v>275</v>
      </c>
      <c r="K8" s="22">
        <f t="shared" si="2"/>
        <v>256.56666666666666</v>
      </c>
      <c r="L8" s="22">
        <f t="shared" si="2"/>
        <v>214.4053595177472</v>
      </c>
      <c r="M8" s="22">
        <f t="shared" si="2"/>
        <v>275.75572588797991</v>
      </c>
      <c r="N8" s="22">
        <f t="shared" si="2"/>
        <v>270.76582796000378</v>
      </c>
      <c r="O8" s="22">
        <f t="shared" si="2"/>
        <v>273.1804621063452</v>
      </c>
      <c r="P8" s="22">
        <f t="shared" si="2"/>
        <v>246.74364319282793</v>
      </c>
      <c r="Q8" s="23"/>
      <c r="R8" s="8"/>
    </row>
    <row r="9" spans="1:18">
      <c r="A9" s="24" t="s">
        <v>3</v>
      </c>
      <c r="B9" s="17" t="s">
        <v>1</v>
      </c>
      <c r="C9" s="18">
        <v>46.135481653151565</v>
      </c>
      <c r="D9" s="18">
        <v>43.657837382564772</v>
      </c>
      <c r="E9" s="18">
        <v>48.368068965517239</v>
      </c>
      <c r="F9" s="18">
        <v>46.8</v>
      </c>
      <c r="G9" s="18">
        <v>48.36</v>
      </c>
      <c r="H9" s="18">
        <v>46.8</v>
      </c>
      <c r="I9" s="18">
        <v>48.36</v>
      </c>
      <c r="J9" s="18">
        <v>48.36</v>
      </c>
      <c r="K9" s="18">
        <v>46.8</v>
      </c>
      <c r="L9" s="18">
        <v>46.692413793103455</v>
      </c>
      <c r="M9" s="18">
        <v>45.186206896551731</v>
      </c>
      <c r="N9" s="18">
        <v>47.526206896551727</v>
      </c>
      <c r="O9" s="18">
        <v>47.526206896551727</v>
      </c>
      <c r="P9" s="18">
        <v>42.926896551724141</v>
      </c>
      <c r="Q9" s="25"/>
      <c r="R9" s="21">
        <f>SUM(C9:N9)</f>
        <v>563.04621558744054</v>
      </c>
    </row>
    <row r="10" spans="1:18">
      <c r="A10" s="7" t="s">
        <v>3</v>
      </c>
      <c r="B10" s="17" t="s">
        <v>8</v>
      </c>
      <c r="C10" s="26">
        <f>C9/24/C5*1000</f>
        <v>62.010055985418774</v>
      </c>
      <c r="D10" s="26">
        <f t="shared" ref="D10:P10" si="3">D9/24/D5*1000</f>
        <v>64.967019914530908</v>
      </c>
      <c r="E10" s="26">
        <f t="shared" si="3"/>
        <v>65.01084538375973</v>
      </c>
      <c r="F10" s="26">
        <f t="shared" si="3"/>
        <v>65</v>
      </c>
      <c r="G10" s="26">
        <f t="shared" si="3"/>
        <v>65</v>
      </c>
      <c r="H10" s="26">
        <f t="shared" si="3"/>
        <v>65</v>
      </c>
      <c r="I10" s="26">
        <f t="shared" si="3"/>
        <v>65</v>
      </c>
      <c r="J10" s="26">
        <f t="shared" si="3"/>
        <v>65</v>
      </c>
      <c r="K10" s="26">
        <f t="shared" si="3"/>
        <v>65</v>
      </c>
      <c r="L10" s="26">
        <f t="shared" si="3"/>
        <v>62.758620689655181</v>
      </c>
      <c r="M10" s="26">
        <f t="shared" si="3"/>
        <v>62.758620689655181</v>
      </c>
      <c r="N10" s="26">
        <f t="shared" si="3"/>
        <v>63.879310344827594</v>
      </c>
      <c r="O10" s="26">
        <f t="shared" si="3"/>
        <v>63.879310344827594</v>
      </c>
      <c r="P10" s="26">
        <f t="shared" si="3"/>
        <v>57.697441601779758</v>
      </c>
      <c r="Q10" s="27"/>
      <c r="R10" s="8"/>
    </row>
    <row r="11" spans="1:18">
      <c r="A11" s="7"/>
      <c r="B11" s="17"/>
      <c r="C11" s="26"/>
      <c r="D11" s="26"/>
      <c r="E11" s="26"/>
      <c r="F11" s="26"/>
      <c r="G11" s="26"/>
      <c r="H11" s="26"/>
      <c r="I11" s="26"/>
      <c r="J11" s="26"/>
      <c r="K11" s="26"/>
      <c r="L11" s="26"/>
      <c r="M11" s="26"/>
      <c r="N11" s="26"/>
      <c r="O11" s="26"/>
      <c r="P11" s="26"/>
      <c r="Q11" s="27"/>
      <c r="R11" s="8"/>
    </row>
    <row r="12" spans="1:18">
      <c r="A12" s="7" t="s">
        <v>9</v>
      </c>
      <c r="B12" s="17"/>
      <c r="C12" s="26"/>
      <c r="D12" s="26"/>
      <c r="E12" s="26"/>
      <c r="F12" s="26"/>
      <c r="G12" s="26"/>
      <c r="H12" s="26"/>
      <c r="I12" s="26"/>
      <c r="J12" s="26"/>
      <c r="K12" s="26"/>
      <c r="L12" s="26"/>
      <c r="M12" s="26"/>
      <c r="N12" s="26"/>
      <c r="O12" s="26"/>
      <c r="P12" s="26"/>
      <c r="Q12" s="27"/>
      <c r="R12" s="8"/>
    </row>
    <row r="13" spans="1:18">
      <c r="A13" s="7" t="s">
        <v>10</v>
      </c>
      <c r="B13" s="17" t="s">
        <v>8</v>
      </c>
      <c r="C13" s="26"/>
      <c r="D13" s="26"/>
      <c r="E13" s="26"/>
      <c r="F13" s="26"/>
      <c r="G13" s="26"/>
      <c r="H13" s="26"/>
      <c r="I13" s="5">
        <v>280</v>
      </c>
      <c r="J13" s="5">
        <v>280</v>
      </c>
      <c r="K13" s="5">
        <v>280</v>
      </c>
      <c r="L13" s="5">
        <v>280</v>
      </c>
      <c r="M13" s="5">
        <v>280</v>
      </c>
      <c r="N13" s="5">
        <v>280</v>
      </c>
      <c r="O13" s="5">
        <v>280</v>
      </c>
      <c r="P13" s="5">
        <v>280</v>
      </c>
      <c r="Q13" s="4"/>
      <c r="R13" s="8"/>
    </row>
    <row r="14" spans="1:18">
      <c r="A14" s="7" t="s">
        <v>11</v>
      </c>
      <c r="B14" s="17" t="s">
        <v>8</v>
      </c>
      <c r="C14" s="26"/>
      <c r="D14" s="26"/>
      <c r="E14" s="26"/>
      <c r="F14" s="26"/>
      <c r="G14" s="26"/>
      <c r="H14" s="26"/>
      <c r="I14" s="5">
        <v>15</v>
      </c>
      <c r="J14" s="5">
        <v>15</v>
      </c>
      <c r="K14" s="5">
        <v>15</v>
      </c>
      <c r="L14" s="5">
        <v>15</v>
      </c>
      <c r="M14" s="5">
        <v>15</v>
      </c>
      <c r="N14" s="5">
        <v>15</v>
      </c>
      <c r="O14" s="5">
        <v>15</v>
      </c>
      <c r="P14" s="5">
        <v>15</v>
      </c>
      <c r="Q14" s="4"/>
      <c r="R14" s="8"/>
    </row>
    <row r="15" spans="1:18">
      <c r="A15" s="7"/>
      <c r="B15" s="17"/>
      <c r="C15" s="26"/>
      <c r="D15" s="26"/>
      <c r="E15" s="26"/>
      <c r="F15" s="26"/>
      <c r="G15" s="26"/>
      <c r="H15" s="26"/>
      <c r="I15" s="26"/>
      <c r="J15" s="26"/>
      <c r="K15" s="26"/>
      <c r="L15" s="26"/>
      <c r="M15" s="26"/>
      <c r="N15" s="26"/>
      <c r="O15" s="26"/>
      <c r="P15" s="26"/>
      <c r="Q15" s="27"/>
      <c r="R15" s="8"/>
    </row>
    <row r="16" spans="1:18">
      <c r="A16" s="7" t="s">
        <v>12</v>
      </c>
      <c r="B16" s="17" t="s">
        <v>8</v>
      </c>
      <c r="C16" s="28"/>
      <c r="D16" s="28"/>
      <c r="E16" s="28"/>
      <c r="F16" s="28"/>
      <c r="G16" s="28"/>
      <c r="H16" s="28"/>
      <c r="I16" s="28">
        <f>I8-295</f>
        <v>-80.806451612903231</v>
      </c>
      <c r="J16" s="28">
        <f t="shared" ref="J16:P16" si="4">J8-295</f>
        <v>-20</v>
      </c>
      <c r="K16" s="28">
        <f t="shared" si="4"/>
        <v>-38.433333333333337</v>
      </c>
      <c r="L16" s="28">
        <f t="shared" si="4"/>
        <v>-80.5946404822528</v>
      </c>
      <c r="M16" s="28">
        <f t="shared" si="4"/>
        <v>-19.244274112020094</v>
      </c>
      <c r="N16" s="28">
        <f t="shared" si="4"/>
        <v>-24.234172039996224</v>
      </c>
      <c r="O16" s="28">
        <f t="shared" si="4"/>
        <v>-21.819537893654797</v>
      </c>
      <c r="P16" s="28">
        <f t="shared" si="4"/>
        <v>-48.256356807172068</v>
      </c>
      <c r="Q16" s="29"/>
      <c r="R16" s="8"/>
    </row>
    <row r="17" spans="1:19">
      <c r="A17" s="7" t="s">
        <v>13</v>
      </c>
      <c r="B17" s="17"/>
      <c r="C17" s="8"/>
      <c r="D17" s="8"/>
      <c r="E17" s="30"/>
      <c r="F17" s="30"/>
      <c r="G17" s="30"/>
      <c r="H17" s="30"/>
      <c r="I17" s="28"/>
      <c r="J17" s="22"/>
      <c r="K17" s="28"/>
      <c r="L17" s="28"/>
      <c r="M17" s="28"/>
      <c r="N17" s="28"/>
      <c r="O17" s="28"/>
      <c r="P17" s="28"/>
      <c r="Q17" s="29"/>
      <c r="R17" s="8"/>
    </row>
    <row r="18" spans="1:19">
      <c r="A18" s="7" t="s">
        <v>10</v>
      </c>
      <c r="B18" s="17" t="s">
        <v>8</v>
      </c>
      <c r="C18" s="8"/>
      <c r="D18" s="8"/>
      <c r="E18" s="30"/>
      <c r="F18" s="30"/>
      <c r="G18" s="30"/>
      <c r="H18" s="30"/>
      <c r="I18" s="28">
        <f>I13/295*I16</f>
        <v>-76.697648988518324</v>
      </c>
      <c r="J18" s="28">
        <f t="shared" ref="J18:P18" si="5">J13/295*J16</f>
        <v>-18.983050847457626</v>
      </c>
      <c r="K18" s="28">
        <f t="shared" si="5"/>
        <v>-36.479096045197743</v>
      </c>
      <c r="L18" s="28">
        <f t="shared" si="5"/>
        <v>-76.496607915358595</v>
      </c>
      <c r="M18" s="28">
        <f t="shared" si="5"/>
        <v>-18.265751699544495</v>
      </c>
      <c r="N18" s="28">
        <f t="shared" si="5"/>
        <v>-23.001926004064213</v>
      </c>
      <c r="O18" s="28">
        <f t="shared" si="5"/>
        <v>-20.710069865163874</v>
      </c>
      <c r="P18" s="28">
        <f t="shared" si="5"/>
        <v>-45.80264374918027</v>
      </c>
      <c r="Q18" s="29"/>
      <c r="R18" s="8"/>
    </row>
    <row r="19" spans="1:19">
      <c r="A19" s="7" t="s">
        <v>11</v>
      </c>
      <c r="B19" s="17" t="s">
        <v>8</v>
      </c>
      <c r="C19" s="8"/>
      <c r="D19" s="8"/>
      <c r="E19" s="30"/>
      <c r="F19" s="30"/>
      <c r="G19" s="30"/>
      <c r="H19" s="30"/>
      <c r="I19" s="28">
        <f>I14/295*I16</f>
        <v>-4.1088026243849107</v>
      </c>
      <c r="J19" s="28">
        <f t="shared" ref="J19:P19" si="6">J14/295*J16</f>
        <v>-1.0169491525423728</v>
      </c>
      <c r="K19" s="28">
        <f t="shared" si="6"/>
        <v>-1.9542372881355936</v>
      </c>
      <c r="L19" s="28">
        <f t="shared" si="6"/>
        <v>-4.0980325668942106</v>
      </c>
      <c r="M19" s="28">
        <f t="shared" si="6"/>
        <v>-0.97852241247559801</v>
      </c>
      <c r="N19" s="28">
        <f t="shared" si="6"/>
        <v>-1.2322460359320115</v>
      </c>
      <c r="O19" s="28">
        <f t="shared" si="6"/>
        <v>-1.109468028490922</v>
      </c>
      <c r="P19" s="28">
        <f t="shared" si="6"/>
        <v>-2.4537130579918003</v>
      </c>
      <c r="Q19" s="29"/>
      <c r="R19" s="8"/>
    </row>
    <row r="20" spans="1:19">
      <c r="A20" s="7"/>
      <c r="B20" s="17"/>
      <c r="C20" s="8"/>
      <c r="D20" s="8"/>
      <c r="E20" s="30"/>
      <c r="F20" s="30"/>
      <c r="G20" s="30"/>
      <c r="H20" s="30"/>
      <c r="I20" s="28"/>
      <c r="J20" s="28"/>
      <c r="K20" s="28"/>
      <c r="L20" s="28"/>
      <c r="M20" s="28"/>
      <c r="N20" s="28"/>
      <c r="O20" s="28"/>
      <c r="P20" s="28"/>
      <c r="Q20" s="29"/>
      <c r="R20" s="8"/>
    </row>
    <row r="21" spans="1:19">
      <c r="A21" s="7"/>
      <c r="B21" s="8"/>
      <c r="C21" s="8"/>
      <c r="D21" s="8"/>
      <c r="E21" s="30"/>
      <c r="F21" s="30"/>
      <c r="G21" s="30"/>
      <c r="H21" s="30"/>
      <c r="I21" s="28"/>
      <c r="J21" s="22"/>
      <c r="K21" s="28"/>
      <c r="L21" s="28"/>
      <c r="M21" s="28"/>
      <c r="N21" s="28"/>
      <c r="O21" s="28"/>
      <c r="P21" s="28"/>
      <c r="Q21" s="29"/>
      <c r="R21" s="8"/>
    </row>
    <row r="22" spans="1:19">
      <c r="A22" s="11" t="s">
        <v>14</v>
      </c>
      <c r="B22" s="11" t="s">
        <v>5</v>
      </c>
      <c r="C22" s="12">
        <f t="shared" ref="C22:P22" si="7">C6</f>
        <v>44198</v>
      </c>
      <c r="D22" s="12">
        <f t="shared" si="7"/>
        <v>44229</v>
      </c>
      <c r="E22" s="12">
        <f t="shared" si="7"/>
        <v>44257</v>
      </c>
      <c r="F22" s="12">
        <f t="shared" si="7"/>
        <v>44288</v>
      </c>
      <c r="G22" s="12">
        <f t="shared" si="7"/>
        <v>44318</v>
      </c>
      <c r="H22" s="12">
        <f t="shared" si="7"/>
        <v>44349</v>
      </c>
      <c r="I22" s="13">
        <f t="shared" si="7"/>
        <v>44379</v>
      </c>
      <c r="J22" s="13">
        <f t="shared" si="7"/>
        <v>44410</v>
      </c>
      <c r="K22" s="13">
        <f t="shared" si="7"/>
        <v>44441</v>
      </c>
      <c r="L22" s="13">
        <f t="shared" si="7"/>
        <v>44471</v>
      </c>
      <c r="M22" s="13">
        <f t="shared" si="7"/>
        <v>44502</v>
      </c>
      <c r="N22" s="13">
        <f t="shared" si="7"/>
        <v>44532</v>
      </c>
      <c r="O22" s="13">
        <f t="shared" si="7"/>
        <v>44563</v>
      </c>
      <c r="P22" s="13">
        <f t="shared" si="7"/>
        <v>44594</v>
      </c>
      <c r="Q22" s="14"/>
      <c r="R22" s="15" t="s">
        <v>6</v>
      </c>
    </row>
    <row r="23" spans="1:19">
      <c r="A23" s="31" t="s">
        <v>15</v>
      </c>
      <c r="B23" s="32" t="s">
        <v>16</v>
      </c>
      <c r="C23" s="33">
        <f>C26*1000</f>
        <v>46135.481653151568</v>
      </c>
      <c r="D23" s="33">
        <f t="shared" ref="D23:P24" si="8">D26*1000</f>
        <v>43657.837382564772</v>
      </c>
      <c r="E23" s="33">
        <f t="shared" si="8"/>
        <v>43328.068965517239</v>
      </c>
      <c r="F23" s="33">
        <f t="shared" si="8"/>
        <v>36000</v>
      </c>
      <c r="G23" s="33">
        <f t="shared" si="8"/>
        <v>37200</v>
      </c>
      <c r="H23" s="33">
        <f t="shared" si="8"/>
        <v>39600</v>
      </c>
      <c r="I23" s="33">
        <f t="shared" si="8"/>
        <v>38280.000000000007</v>
      </c>
      <c r="J23" s="33">
        <f t="shared" si="8"/>
        <v>37200</v>
      </c>
      <c r="K23" s="33">
        <f t="shared" si="8"/>
        <v>36000</v>
      </c>
      <c r="L23" s="33">
        <f t="shared" si="8"/>
        <v>35532.413793103457</v>
      </c>
      <c r="M23" s="33">
        <f t="shared" si="8"/>
        <v>34386.206896551732</v>
      </c>
      <c r="N23" s="33">
        <f t="shared" si="8"/>
        <v>36366.206896551732</v>
      </c>
      <c r="O23" s="33">
        <f t="shared" si="8"/>
        <v>36366.206896551732</v>
      </c>
      <c r="P23" s="33">
        <f t="shared" si="8"/>
        <v>31766.896551724141</v>
      </c>
      <c r="Q23" s="33"/>
      <c r="R23" s="34">
        <f>SUM(C23:N23)</f>
        <v>463686.21558744047</v>
      </c>
    </row>
    <row r="24" spans="1:19">
      <c r="A24" s="31" t="s">
        <v>17</v>
      </c>
      <c r="B24" s="32" t="s">
        <v>16</v>
      </c>
      <c r="C24" s="33">
        <f>C27*1000</f>
        <v>152872.33350431285</v>
      </c>
      <c r="D24" s="33">
        <f t="shared" si="8"/>
        <v>138096.41176716911</v>
      </c>
      <c r="E24" s="33">
        <f t="shared" si="8"/>
        <v>154115.93348115298</v>
      </c>
      <c r="F24" s="33">
        <f t="shared" si="8"/>
        <v>145064.83370288249</v>
      </c>
      <c r="G24" s="33">
        <f t="shared" si="8"/>
        <v>154752.00000000003</v>
      </c>
      <c r="H24" s="33">
        <f t="shared" si="8"/>
        <v>149850.00000000003</v>
      </c>
      <c r="I24" s="33">
        <f t="shared" si="8"/>
        <v>111000.00000000001</v>
      </c>
      <c r="J24" s="33">
        <f t="shared" si="8"/>
        <v>156240.00000000003</v>
      </c>
      <c r="K24" s="33">
        <f t="shared" si="8"/>
        <v>137928</v>
      </c>
      <c r="L24" s="33">
        <f t="shared" si="8"/>
        <v>112825.17368810046</v>
      </c>
      <c r="M24" s="33">
        <f t="shared" si="8"/>
        <v>153357.91574279379</v>
      </c>
      <c r="N24" s="33">
        <f t="shared" si="8"/>
        <v>153923.56910569107</v>
      </c>
      <c r="O24" s="33">
        <f t="shared" si="8"/>
        <v>155720.05691056908</v>
      </c>
      <c r="P24" s="33">
        <f t="shared" si="8"/>
        <v>140650.37398373985</v>
      </c>
      <c r="Q24" s="33"/>
      <c r="R24" s="34">
        <f>SUM(C24:N24)</f>
        <v>1720026.1709921027</v>
      </c>
    </row>
    <row r="25" spans="1:19">
      <c r="A25" s="31" t="s">
        <v>18</v>
      </c>
      <c r="B25" s="32" t="s">
        <v>16</v>
      </c>
      <c r="C25" s="33">
        <f>C23+C24</f>
        <v>199007.81515746441</v>
      </c>
      <c r="D25" s="33">
        <f t="shared" ref="D25:P25" si="9">D23+D24</f>
        <v>181754.24914973386</v>
      </c>
      <c r="E25" s="33">
        <f t="shared" si="9"/>
        <v>197444.00244667023</v>
      </c>
      <c r="F25" s="33">
        <f t="shared" si="9"/>
        <v>181064.83370288249</v>
      </c>
      <c r="G25" s="33">
        <f t="shared" si="9"/>
        <v>191952.00000000003</v>
      </c>
      <c r="H25" s="33">
        <f t="shared" si="9"/>
        <v>189450.00000000003</v>
      </c>
      <c r="I25" s="33">
        <f t="shared" si="9"/>
        <v>149280.00000000003</v>
      </c>
      <c r="J25" s="33">
        <f t="shared" si="9"/>
        <v>193440.00000000003</v>
      </c>
      <c r="K25" s="33">
        <f t="shared" si="9"/>
        <v>173928</v>
      </c>
      <c r="L25" s="33">
        <f t="shared" si="9"/>
        <v>148357.58748120393</v>
      </c>
      <c r="M25" s="33">
        <f t="shared" si="9"/>
        <v>187744.12263934553</v>
      </c>
      <c r="N25" s="33">
        <f t="shared" si="9"/>
        <v>190289.77600224281</v>
      </c>
      <c r="O25" s="33">
        <f t="shared" si="9"/>
        <v>192086.26380712082</v>
      </c>
      <c r="P25" s="33">
        <f t="shared" si="9"/>
        <v>172417.27053546399</v>
      </c>
      <c r="Q25" s="33"/>
      <c r="R25" s="34">
        <f>SUM(C25:N25)</f>
        <v>2183712.3865795434</v>
      </c>
    </row>
    <row r="26" spans="1:19">
      <c r="A26" s="7" t="s">
        <v>15</v>
      </c>
      <c r="B26" s="35" t="s">
        <v>1</v>
      </c>
      <c r="C26" s="36">
        <f>C28*24*C5/1000</f>
        <v>46.135481653151565</v>
      </c>
      <c r="D26" s="36">
        <f t="shared" ref="D26:P26" si="10">D28*24*D5/1000</f>
        <v>43.657837382564772</v>
      </c>
      <c r="E26" s="36">
        <f t="shared" si="10"/>
        <v>43.32806896551724</v>
      </c>
      <c r="F26" s="36">
        <f t="shared" si="10"/>
        <v>36</v>
      </c>
      <c r="G26" s="36">
        <f t="shared" si="10"/>
        <v>37.200000000000003</v>
      </c>
      <c r="H26" s="36">
        <f t="shared" si="10"/>
        <v>39.6</v>
      </c>
      <c r="I26" s="36">
        <f t="shared" si="10"/>
        <v>38.280000000000008</v>
      </c>
      <c r="J26" s="36">
        <f t="shared" si="10"/>
        <v>37.200000000000003</v>
      </c>
      <c r="K26" s="36">
        <f t="shared" si="10"/>
        <v>36</v>
      </c>
      <c r="L26" s="36">
        <f t="shared" si="10"/>
        <v>35.532413793103458</v>
      </c>
      <c r="M26" s="36">
        <f t="shared" si="10"/>
        <v>34.386206896551734</v>
      </c>
      <c r="N26" s="36">
        <f t="shared" si="10"/>
        <v>36.366206896551731</v>
      </c>
      <c r="O26" s="36">
        <f t="shared" si="10"/>
        <v>36.366206896551731</v>
      </c>
      <c r="P26" s="36">
        <f t="shared" si="10"/>
        <v>31.766896551724141</v>
      </c>
      <c r="Q26" s="37"/>
      <c r="R26" s="38">
        <f>SUM(C26:N26)</f>
        <v>463.68621558744047</v>
      </c>
    </row>
    <row r="27" spans="1:19">
      <c r="A27" s="7" t="s">
        <v>17</v>
      </c>
      <c r="B27" s="35" t="s">
        <v>1</v>
      </c>
      <c r="C27" s="36">
        <f>C7-C26-C37</f>
        <v>152.87233350431285</v>
      </c>
      <c r="D27" s="36">
        <f t="shared" ref="D27:P27" si="11">D7-D26-D37</f>
        <v>138.09641176716912</v>
      </c>
      <c r="E27" s="36">
        <f t="shared" si="11"/>
        <v>154.11593348115298</v>
      </c>
      <c r="F27" s="36">
        <f t="shared" si="11"/>
        <v>145.06483370288248</v>
      </c>
      <c r="G27" s="36">
        <f t="shared" si="11"/>
        <v>154.75200000000004</v>
      </c>
      <c r="H27" s="36">
        <f t="shared" si="11"/>
        <v>149.85000000000002</v>
      </c>
      <c r="I27" s="36">
        <f t="shared" si="11"/>
        <v>111.00000000000001</v>
      </c>
      <c r="J27" s="36">
        <f t="shared" si="11"/>
        <v>156.24000000000004</v>
      </c>
      <c r="K27" s="36">
        <f t="shared" si="11"/>
        <v>137.928</v>
      </c>
      <c r="L27" s="36">
        <f t="shared" si="11"/>
        <v>112.82517368810046</v>
      </c>
      <c r="M27" s="36">
        <f t="shared" si="11"/>
        <v>153.35791574279378</v>
      </c>
      <c r="N27" s="36">
        <f t="shared" si="11"/>
        <v>153.92356910569109</v>
      </c>
      <c r="O27" s="36">
        <f t="shared" si="11"/>
        <v>155.72005691056907</v>
      </c>
      <c r="P27" s="36">
        <f t="shared" si="11"/>
        <v>140.65037398373985</v>
      </c>
      <c r="Q27" s="37"/>
      <c r="R27" s="38">
        <f>SUM(C27:N27)</f>
        <v>1720.0261709921028</v>
      </c>
    </row>
    <row r="28" spans="1:19">
      <c r="A28" s="7" t="s">
        <v>15</v>
      </c>
      <c r="B28" s="35" t="s">
        <v>8</v>
      </c>
      <c r="C28" s="39">
        <f>C10-C34</f>
        <v>62.010055985418774</v>
      </c>
      <c r="D28" s="39">
        <f t="shared" ref="D28:P28" si="12">D10-D34</f>
        <v>64.967019914530908</v>
      </c>
      <c r="E28" s="39">
        <f t="shared" si="12"/>
        <v>58.236651835372633</v>
      </c>
      <c r="F28" s="39">
        <f t="shared" si="12"/>
        <v>50</v>
      </c>
      <c r="G28" s="39">
        <f t="shared" si="12"/>
        <v>50</v>
      </c>
      <c r="H28" s="39">
        <f t="shared" si="12"/>
        <v>55</v>
      </c>
      <c r="I28" s="39">
        <f t="shared" si="12"/>
        <v>51.451612903225808</v>
      </c>
      <c r="J28" s="39">
        <f t="shared" si="12"/>
        <v>50</v>
      </c>
      <c r="K28" s="39">
        <f t="shared" si="12"/>
        <v>50</v>
      </c>
      <c r="L28" s="39">
        <f t="shared" si="12"/>
        <v>47.758620689655181</v>
      </c>
      <c r="M28" s="39">
        <f t="shared" si="12"/>
        <v>47.758620689655181</v>
      </c>
      <c r="N28" s="39">
        <f t="shared" si="12"/>
        <v>48.879310344827594</v>
      </c>
      <c r="O28" s="39">
        <f t="shared" si="12"/>
        <v>48.879310344827594</v>
      </c>
      <c r="P28" s="39">
        <f t="shared" si="12"/>
        <v>42.697441601779758</v>
      </c>
      <c r="Q28" s="40"/>
      <c r="R28" s="36"/>
      <c r="S28" s="41" t="s">
        <v>19</v>
      </c>
    </row>
    <row r="29" spans="1:19">
      <c r="A29" s="7" t="s">
        <v>17</v>
      </c>
      <c r="B29" s="35" t="s">
        <v>8</v>
      </c>
      <c r="C29" s="39">
        <f>C27/24/C5*1000</f>
        <v>205.47356653805491</v>
      </c>
      <c r="D29" s="39">
        <f t="shared" ref="D29:P29" si="13">D27/24/D5*1000</f>
        <v>205.50061274876356</v>
      </c>
      <c r="E29" s="39">
        <f t="shared" si="13"/>
        <v>207.14507188327011</v>
      </c>
      <c r="F29" s="39">
        <f t="shared" si="13"/>
        <v>201.47893569844788</v>
      </c>
      <c r="G29" s="39">
        <f t="shared" si="13"/>
        <v>208.00000000000006</v>
      </c>
      <c r="H29" s="39">
        <f t="shared" si="13"/>
        <v>208.12500000000003</v>
      </c>
      <c r="I29" s="39">
        <f t="shared" si="13"/>
        <v>149.1935483870968</v>
      </c>
      <c r="J29" s="39">
        <f t="shared" si="13"/>
        <v>210.00000000000006</v>
      </c>
      <c r="K29" s="39">
        <f t="shared" si="13"/>
        <v>191.56666666666666</v>
      </c>
      <c r="L29" s="39">
        <f t="shared" si="13"/>
        <v>151.64673882809205</v>
      </c>
      <c r="M29" s="39">
        <f t="shared" si="13"/>
        <v>212.9971051983247</v>
      </c>
      <c r="N29" s="39">
        <f t="shared" si="13"/>
        <v>206.88651761517622</v>
      </c>
      <c r="O29" s="39">
        <f t="shared" si="13"/>
        <v>209.30115176151759</v>
      </c>
      <c r="P29" s="39">
        <f t="shared" si="13"/>
        <v>189.04620159104817</v>
      </c>
      <c r="Q29" s="40"/>
      <c r="R29" s="36"/>
    </row>
    <row r="30" spans="1:19">
      <c r="A30" s="7"/>
      <c r="B30" s="17"/>
      <c r="C30" s="30">
        <f>C26+C27</f>
        <v>199.00781515746442</v>
      </c>
      <c r="D30" s="30">
        <f t="shared" ref="D30:P30" si="14">D26+D27</f>
        <v>181.75424914973388</v>
      </c>
      <c r="E30" s="30">
        <f t="shared" si="14"/>
        <v>197.44400244667023</v>
      </c>
      <c r="F30" s="30">
        <f t="shared" si="14"/>
        <v>181.06483370288248</v>
      </c>
      <c r="G30" s="30">
        <f t="shared" si="14"/>
        <v>191.95200000000006</v>
      </c>
      <c r="H30" s="30">
        <f t="shared" si="14"/>
        <v>189.45000000000002</v>
      </c>
      <c r="I30" s="30">
        <f t="shared" si="14"/>
        <v>149.28000000000003</v>
      </c>
      <c r="J30" s="30">
        <f t="shared" si="14"/>
        <v>193.44000000000005</v>
      </c>
      <c r="K30" s="30">
        <f t="shared" si="14"/>
        <v>173.928</v>
      </c>
      <c r="L30" s="30">
        <f t="shared" si="14"/>
        <v>148.35758748120392</v>
      </c>
      <c r="M30" s="30">
        <f t="shared" si="14"/>
        <v>187.74412263934551</v>
      </c>
      <c r="N30" s="30">
        <f t="shared" si="14"/>
        <v>190.28977600224283</v>
      </c>
      <c r="O30" s="30">
        <f t="shared" si="14"/>
        <v>192.08626380712082</v>
      </c>
      <c r="P30" s="30">
        <f t="shared" si="14"/>
        <v>172.41727053546398</v>
      </c>
      <c r="Q30" s="25"/>
      <c r="R30" s="38">
        <f>SUM(C30:N30)</f>
        <v>2183.7123865795434</v>
      </c>
    </row>
    <row r="31" spans="1:19">
      <c r="A31" s="7"/>
      <c r="B31" s="8"/>
      <c r="C31" s="30"/>
      <c r="D31" s="30"/>
      <c r="E31" s="30"/>
      <c r="F31" s="30"/>
      <c r="G31" s="30"/>
      <c r="H31" s="30"/>
      <c r="I31" s="30"/>
      <c r="J31" s="30"/>
      <c r="K31" s="30"/>
      <c r="L31" s="30"/>
      <c r="M31" s="30"/>
      <c r="N31" s="30"/>
      <c r="O31" s="30"/>
      <c r="P31" s="30"/>
      <c r="Q31" s="25"/>
      <c r="R31" s="30"/>
    </row>
    <row r="32" spans="1:19">
      <c r="A32" s="11" t="s">
        <v>20</v>
      </c>
      <c r="B32" s="11" t="s">
        <v>5</v>
      </c>
      <c r="C32" s="12">
        <f>C6</f>
        <v>44198</v>
      </c>
      <c r="D32" s="12">
        <f t="shared" ref="D32:P32" si="15">D6</f>
        <v>44229</v>
      </c>
      <c r="E32" s="12">
        <f t="shared" si="15"/>
        <v>44257</v>
      </c>
      <c r="F32" s="12">
        <f t="shared" si="15"/>
        <v>44288</v>
      </c>
      <c r="G32" s="12">
        <f t="shared" si="15"/>
        <v>44318</v>
      </c>
      <c r="H32" s="12">
        <f t="shared" si="15"/>
        <v>44349</v>
      </c>
      <c r="I32" s="13">
        <f t="shared" si="15"/>
        <v>44379</v>
      </c>
      <c r="J32" s="13">
        <f t="shared" si="15"/>
        <v>44410</v>
      </c>
      <c r="K32" s="13">
        <f t="shared" si="15"/>
        <v>44441</v>
      </c>
      <c r="L32" s="13">
        <f t="shared" si="15"/>
        <v>44471</v>
      </c>
      <c r="M32" s="13">
        <f t="shared" si="15"/>
        <v>44502</v>
      </c>
      <c r="N32" s="13">
        <f t="shared" si="15"/>
        <v>44532</v>
      </c>
      <c r="O32" s="13">
        <f t="shared" si="15"/>
        <v>44563</v>
      </c>
      <c r="P32" s="13">
        <f t="shared" si="15"/>
        <v>44594</v>
      </c>
      <c r="Q32" s="14"/>
      <c r="R32" s="15" t="s">
        <v>6</v>
      </c>
    </row>
    <row r="33" spans="1:20">
      <c r="A33" s="42" t="s">
        <v>21</v>
      </c>
      <c r="B33" s="43" t="s">
        <v>1</v>
      </c>
      <c r="C33" s="18">
        <v>0</v>
      </c>
      <c r="D33" s="18">
        <v>0</v>
      </c>
      <c r="E33" s="18">
        <v>5.04</v>
      </c>
      <c r="F33" s="18">
        <v>10.8</v>
      </c>
      <c r="G33" s="18">
        <v>11.16</v>
      </c>
      <c r="H33" s="18">
        <v>7.2</v>
      </c>
      <c r="I33" s="44">
        <v>10.08</v>
      </c>
      <c r="J33" s="44">
        <v>11.16</v>
      </c>
      <c r="K33" s="44">
        <v>10.8</v>
      </c>
      <c r="L33" s="44">
        <v>11.16</v>
      </c>
      <c r="M33" s="44">
        <v>10.8</v>
      </c>
      <c r="N33" s="44">
        <v>11.16</v>
      </c>
      <c r="O33" s="44">
        <v>11.16</v>
      </c>
      <c r="P33" s="44">
        <v>11.16</v>
      </c>
      <c r="Q33" s="45"/>
      <c r="R33" s="21">
        <f>SUM(C33:N33)</f>
        <v>99.359999999999985</v>
      </c>
    </row>
    <row r="34" spans="1:20">
      <c r="A34" s="46" t="str">
        <f>A33</f>
        <v>SCG Demand (Updated on 2/12/63)</v>
      </c>
      <c r="B34" s="43" t="s">
        <v>8</v>
      </c>
      <c r="C34" s="47">
        <f>C33/24/C5*1000</f>
        <v>0</v>
      </c>
      <c r="D34" s="47">
        <f t="shared" ref="D34:P34" si="16">D33/24/D5*1000</f>
        <v>0</v>
      </c>
      <c r="E34" s="47">
        <f t="shared" si="16"/>
        <v>6.774193548387097</v>
      </c>
      <c r="F34" s="47">
        <f t="shared" si="16"/>
        <v>15.000000000000002</v>
      </c>
      <c r="G34" s="47">
        <f t="shared" si="16"/>
        <v>15.000000000000002</v>
      </c>
      <c r="H34" s="47">
        <f t="shared" si="16"/>
        <v>10</v>
      </c>
      <c r="I34" s="47">
        <f t="shared" si="16"/>
        <v>13.548387096774194</v>
      </c>
      <c r="J34" s="47">
        <f t="shared" si="16"/>
        <v>15.000000000000002</v>
      </c>
      <c r="K34" s="47">
        <f t="shared" si="16"/>
        <v>15.000000000000002</v>
      </c>
      <c r="L34" s="47">
        <f t="shared" si="16"/>
        <v>15.000000000000002</v>
      </c>
      <c r="M34" s="47">
        <f t="shared" si="16"/>
        <v>15.000000000000002</v>
      </c>
      <c r="N34" s="47">
        <f t="shared" si="16"/>
        <v>15.000000000000002</v>
      </c>
      <c r="O34" s="47">
        <f t="shared" si="16"/>
        <v>15.000000000000002</v>
      </c>
      <c r="P34" s="47">
        <f t="shared" si="16"/>
        <v>15.000000000000002</v>
      </c>
      <c r="Q34" s="48"/>
      <c r="R34" s="21"/>
    </row>
    <row r="35" spans="1:20">
      <c r="A35" s="46" t="str">
        <f>A33</f>
        <v>SCG Demand (Updated on 2/12/63)</v>
      </c>
      <c r="B35" s="43" t="s">
        <v>22</v>
      </c>
      <c r="C35" s="47"/>
      <c r="D35" s="47">
        <f>D34*24</f>
        <v>0</v>
      </c>
      <c r="E35" s="49">
        <f t="shared" ref="E35:P35" si="17">E34*24</f>
        <v>162.58064516129033</v>
      </c>
      <c r="F35" s="49">
        <f t="shared" si="17"/>
        <v>360.00000000000006</v>
      </c>
      <c r="G35" s="49">
        <f t="shared" si="17"/>
        <v>360.00000000000006</v>
      </c>
      <c r="H35" s="49">
        <f t="shared" si="17"/>
        <v>240</v>
      </c>
      <c r="I35" s="49">
        <f t="shared" si="17"/>
        <v>325.16129032258067</v>
      </c>
      <c r="J35" s="49">
        <f t="shared" si="17"/>
        <v>360.00000000000006</v>
      </c>
      <c r="K35" s="49">
        <f t="shared" si="17"/>
        <v>360.00000000000006</v>
      </c>
      <c r="L35" s="49">
        <f t="shared" si="17"/>
        <v>360.00000000000006</v>
      </c>
      <c r="M35" s="49">
        <f t="shared" si="17"/>
        <v>360.00000000000006</v>
      </c>
      <c r="N35" s="49">
        <f t="shared" si="17"/>
        <v>360.00000000000006</v>
      </c>
      <c r="O35" s="49">
        <f t="shared" si="17"/>
        <v>360.00000000000006</v>
      </c>
      <c r="P35" s="49">
        <f t="shared" si="17"/>
        <v>360.00000000000006</v>
      </c>
      <c r="Q35" s="48"/>
      <c r="R35" s="21"/>
    </row>
    <row r="36" spans="1:20">
      <c r="A36" s="31" t="s">
        <v>23</v>
      </c>
      <c r="B36" s="32" t="s">
        <v>16</v>
      </c>
      <c r="C36" s="50">
        <f>C33*1000</f>
        <v>0</v>
      </c>
      <c r="D36" s="50">
        <f>D33*1000</f>
        <v>0</v>
      </c>
      <c r="E36" s="50">
        <f>E33*1000</f>
        <v>5040</v>
      </c>
      <c r="F36" s="50">
        <f t="shared" ref="F36:N36" si="18">F33*1000</f>
        <v>10800</v>
      </c>
      <c r="G36" s="50">
        <f t="shared" si="18"/>
        <v>11160</v>
      </c>
      <c r="H36" s="50">
        <f t="shared" si="18"/>
        <v>7200</v>
      </c>
      <c r="I36" s="50">
        <f t="shared" si="18"/>
        <v>10080</v>
      </c>
      <c r="J36" s="50">
        <f t="shared" si="18"/>
        <v>11160</v>
      </c>
      <c r="K36" s="50">
        <f t="shared" si="18"/>
        <v>10800</v>
      </c>
      <c r="L36" s="50">
        <f t="shared" si="18"/>
        <v>11160</v>
      </c>
      <c r="M36" s="50">
        <f t="shared" si="18"/>
        <v>10800</v>
      </c>
      <c r="N36" s="50">
        <f t="shared" si="18"/>
        <v>11160</v>
      </c>
      <c r="O36" s="50">
        <f>O33*1000</f>
        <v>11160</v>
      </c>
      <c r="P36" s="50">
        <f>P33*1000</f>
        <v>11160</v>
      </c>
      <c r="Q36" s="48"/>
      <c r="R36" s="51">
        <f>SUM(C36:N36)</f>
        <v>99360</v>
      </c>
    </row>
    <row r="37" spans="1:20">
      <c r="A37" s="7" t="s">
        <v>23</v>
      </c>
      <c r="B37" s="43" t="s">
        <v>1</v>
      </c>
      <c r="C37" s="52">
        <v>0</v>
      </c>
      <c r="D37" s="52">
        <v>0</v>
      </c>
      <c r="E37" s="52">
        <f>E33</f>
        <v>5.04</v>
      </c>
      <c r="F37" s="52">
        <v>10.8</v>
      </c>
      <c r="G37" s="52">
        <v>11.16</v>
      </c>
      <c r="H37" s="52">
        <v>7.2</v>
      </c>
      <c r="I37" s="53">
        <v>10.08</v>
      </c>
      <c r="J37" s="53">
        <v>11.16</v>
      </c>
      <c r="K37" s="53">
        <v>10.8</v>
      </c>
      <c r="L37" s="53">
        <v>11.16</v>
      </c>
      <c r="M37" s="53">
        <v>10.8</v>
      </c>
      <c r="N37" s="53">
        <v>11.16</v>
      </c>
      <c r="O37" s="53">
        <v>11.16</v>
      </c>
      <c r="P37" s="53">
        <v>11.16</v>
      </c>
      <c r="Q37" s="25"/>
      <c r="R37" s="21">
        <f>SUM(C37:N37)</f>
        <v>99.359999999999985</v>
      </c>
    </row>
    <row r="38" spans="1:20">
      <c r="A38" s="7" t="s">
        <v>23</v>
      </c>
      <c r="B38" s="43" t="s">
        <v>8</v>
      </c>
      <c r="C38" s="26"/>
      <c r="D38" s="26"/>
      <c r="E38" s="30"/>
      <c r="F38" s="30"/>
      <c r="G38" s="30"/>
      <c r="H38" s="30"/>
      <c r="I38" s="5"/>
      <c r="J38" s="5"/>
      <c r="K38" s="5"/>
      <c r="L38" s="5"/>
      <c r="M38" s="5"/>
      <c r="N38" s="5"/>
      <c r="O38" s="5"/>
      <c r="P38" s="5"/>
      <c r="Q38" s="27"/>
      <c r="R38" s="30"/>
    </row>
    <row r="39" spans="1:20">
      <c r="C39" s="5"/>
      <c r="D39" s="5"/>
      <c r="E39" s="5"/>
      <c r="F39" s="5"/>
      <c r="G39" s="5"/>
      <c r="H39" s="5"/>
      <c r="I39" s="5"/>
      <c r="J39" s="5"/>
      <c r="K39" s="5"/>
      <c r="L39" s="5"/>
      <c r="M39" s="5"/>
      <c r="N39" s="5"/>
      <c r="O39" s="5"/>
      <c r="P39" s="5"/>
      <c r="Q39" s="4"/>
      <c r="R39" s="5"/>
    </row>
    <row r="40" spans="1:20">
      <c r="A40" s="1" t="s">
        <v>24</v>
      </c>
      <c r="B40" s="54" t="s">
        <v>1</v>
      </c>
      <c r="C40" s="5">
        <f>C7-C26-C27-C37</f>
        <v>0</v>
      </c>
      <c r="D40" s="5">
        <f t="shared" ref="D40:P40" si="19">D7-D26-D27-D37</f>
        <v>0</v>
      </c>
      <c r="E40" s="5">
        <f t="shared" si="19"/>
        <v>-7.9936057773011271E-15</v>
      </c>
      <c r="F40" s="5">
        <f t="shared" si="19"/>
        <v>0</v>
      </c>
      <c r="G40" s="5">
        <f t="shared" si="19"/>
        <v>0</v>
      </c>
      <c r="H40" s="5">
        <f t="shared" si="19"/>
        <v>-1.1546319456101628E-14</v>
      </c>
      <c r="I40" s="5">
        <f t="shared" si="19"/>
        <v>0</v>
      </c>
      <c r="J40" s="5">
        <f t="shared" si="19"/>
        <v>0</v>
      </c>
      <c r="K40" s="5">
        <f t="shared" si="19"/>
        <v>0</v>
      </c>
      <c r="L40" s="5">
        <f t="shared" si="19"/>
        <v>0</v>
      </c>
      <c r="M40" s="5">
        <f t="shared" si="19"/>
        <v>0</v>
      </c>
      <c r="N40" s="5">
        <f t="shared" si="19"/>
        <v>0</v>
      </c>
      <c r="O40" s="5">
        <f t="shared" si="19"/>
        <v>0</v>
      </c>
      <c r="P40" s="5">
        <f t="shared" si="19"/>
        <v>0</v>
      </c>
      <c r="Q40" s="4"/>
      <c r="R40" s="5"/>
    </row>
    <row r="41" spans="1:20">
      <c r="A41" s="1" t="s">
        <v>25</v>
      </c>
      <c r="B41" s="54" t="s">
        <v>1</v>
      </c>
      <c r="C41" s="5"/>
      <c r="D41" s="5"/>
      <c r="E41" s="5"/>
      <c r="F41" s="5"/>
      <c r="G41" s="5"/>
      <c r="H41" s="5"/>
      <c r="I41" s="5"/>
      <c r="J41" s="5"/>
      <c r="K41" s="5"/>
      <c r="L41" s="5"/>
      <c r="M41" s="5"/>
      <c r="N41" s="5"/>
      <c r="O41" s="5"/>
      <c r="P41" s="5"/>
      <c r="Q41" s="4"/>
      <c r="R41" s="5"/>
    </row>
    <row r="42" spans="1:20">
      <c r="C42" s="5"/>
      <c r="D42" s="5"/>
      <c r="E42" s="5"/>
      <c r="F42" s="5"/>
      <c r="G42" s="5"/>
      <c r="H42" s="5"/>
      <c r="I42" s="5"/>
      <c r="J42" s="5"/>
      <c r="K42" s="5"/>
      <c r="L42" s="5"/>
      <c r="M42" s="5"/>
      <c r="N42" s="5"/>
      <c r="O42" s="5"/>
      <c r="P42" s="5"/>
      <c r="Q42" s="4"/>
      <c r="R42" s="5"/>
    </row>
    <row r="43" spans="1:20">
      <c r="A43" s="55"/>
      <c r="B43" t="s">
        <v>26</v>
      </c>
      <c r="C43" s="5"/>
      <c r="D43" s="5"/>
      <c r="E43" s="5"/>
      <c r="F43" s="5"/>
      <c r="G43" s="5"/>
      <c r="H43" s="5"/>
      <c r="J43" s="5"/>
      <c r="K43" s="5"/>
      <c r="L43" s="5"/>
      <c r="M43" s="5"/>
      <c r="N43" s="5"/>
      <c r="O43" s="5"/>
      <c r="P43" s="5"/>
      <c r="Q43" s="4"/>
      <c r="R43" s="5"/>
    </row>
    <row r="44" spans="1:20" s="58" customFormat="1">
      <c r="A44" s="56"/>
      <c r="B44" s="56"/>
      <c r="C44" s="56"/>
      <c r="D44" s="56"/>
      <c r="E44" s="56"/>
      <c r="F44" s="56"/>
      <c r="G44" s="56"/>
      <c r="H44" s="56"/>
      <c r="I44" s="56"/>
      <c r="J44" s="56"/>
      <c r="K44" s="56"/>
      <c r="L44" s="56"/>
      <c r="M44" s="56"/>
      <c r="N44" s="56"/>
      <c r="O44" s="56"/>
      <c r="P44" s="56"/>
      <c r="Q44" s="57"/>
      <c r="R44" s="56"/>
      <c r="S44" s="56"/>
      <c r="T44" s="56"/>
    </row>
    <row r="45" spans="1:20">
      <c r="A45" s="59" t="s">
        <v>27</v>
      </c>
      <c r="B45" s="60" t="s">
        <v>5</v>
      </c>
      <c r="C45" s="61">
        <f>C6</f>
        <v>44198</v>
      </c>
      <c r="D45" s="61">
        <f t="shared" ref="D45:P45" si="20">D6</f>
        <v>44229</v>
      </c>
      <c r="E45" s="61">
        <f t="shared" si="20"/>
        <v>44257</v>
      </c>
      <c r="F45" s="61">
        <f t="shared" si="20"/>
        <v>44288</v>
      </c>
      <c r="G45" s="61">
        <f t="shared" si="20"/>
        <v>44318</v>
      </c>
      <c r="H45" s="61">
        <f t="shared" si="20"/>
        <v>44349</v>
      </c>
      <c r="I45" s="62">
        <f t="shared" si="20"/>
        <v>44379</v>
      </c>
      <c r="J45" s="62">
        <f t="shared" si="20"/>
        <v>44410</v>
      </c>
      <c r="K45" s="62">
        <f t="shared" si="20"/>
        <v>44441</v>
      </c>
      <c r="L45" s="62">
        <f t="shared" si="20"/>
        <v>44471</v>
      </c>
      <c r="M45" s="62">
        <f t="shared" si="20"/>
        <v>44502</v>
      </c>
      <c r="N45" s="62">
        <f t="shared" si="20"/>
        <v>44532</v>
      </c>
      <c r="O45" s="62">
        <f t="shared" si="20"/>
        <v>44563</v>
      </c>
      <c r="P45" s="62">
        <f t="shared" si="20"/>
        <v>44594</v>
      </c>
      <c r="Q45" s="63"/>
      <c r="R45" s="64"/>
      <c r="S45" s="1"/>
      <c r="T45" s="1"/>
    </row>
    <row r="46" spans="1:20">
      <c r="A46" s="65" t="s">
        <v>28</v>
      </c>
      <c r="B46" s="66" t="s">
        <v>1</v>
      </c>
      <c r="C46" s="67">
        <v>0</v>
      </c>
      <c r="D46" s="67">
        <v>0</v>
      </c>
      <c r="E46" s="67">
        <v>5.76</v>
      </c>
      <c r="F46" s="67">
        <v>10.8</v>
      </c>
      <c r="G46" s="67">
        <v>6.12</v>
      </c>
      <c r="H46" s="67">
        <v>10.8</v>
      </c>
      <c r="I46" s="67">
        <v>11.16</v>
      </c>
      <c r="J46" s="67">
        <v>11.16</v>
      </c>
      <c r="K46" s="67">
        <v>10.8</v>
      </c>
      <c r="L46" s="67">
        <v>11.16</v>
      </c>
      <c r="M46" s="67">
        <v>10.8</v>
      </c>
      <c r="N46" s="67">
        <v>11.16</v>
      </c>
      <c r="O46" s="67">
        <v>11.16</v>
      </c>
      <c r="P46" s="67">
        <v>11.16</v>
      </c>
      <c r="Q46" s="68"/>
      <c r="R46" s="69">
        <f>SUM(C46:N46)</f>
        <v>99.719999999999985</v>
      </c>
      <c r="S46" s="1"/>
      <c r="T46" s="1"/>
    </row>
    <row r="47" spans="1:20">
      <c r="A47" s="65" t="s">
        <v>29</v>
      </c>
      <c r="B47" s="66" t="s">
        <v>1</v>
      </c>
      <c r="C47" s="70">
        <v>0</v>
      </c>
      <c r="D47" s="70">
        <v>0</v>
      </c>
      <c r="E47" s="71">
        <v>3.1789999999999998</v>
      </c>
      <c r="F47" s="71">
        <v>3.1789999999999998</v>
      </c>
      <c r="G47" s="71">
        <v>3.1789999999999998</v>
      </c>
      <c r="H47" s="71">
        <v>3.1789999999999998</v>
      </c>
      <c r="I47" s="71">
        <v>3.1789999999999998</v>
      </c>
      <c r="J47" s="71">
        <v>3.1789999999999998</v>
      </c>
      <c r="K47" s="71">
        <v>3.1789999999999998</v>
      </c>
      <c r="L47" s="71">
        <v>3.1789999999999998</v>
      </c>
      <c r="M47" s="71">
        <v>3.1789999999999998</v>
      </c>
      <c r="N47" s="71">
        <v>3.1789999999999998</v>
      </c>
      <c r="O47" s="71">
        <v>3.1789999999999998</v>
      </c>
      <c r="P47" s="71">
        <v>3.1789999999999998</v>
      </c>
      <c r="Q47" s="72"/>
      <c r="R47" s="69">
        <f>SUM(C47:N47)</f>
        <v>31.789999999999992</v>
      </c>
      <c r="S47" s="1"/>
      <c r="T47" s="1"/>
    </row>
    <row r="48" spans="1:20">
      <c r="A48" s="65" t="s">
        <v>30</v>
      </c>
      <c r="B48" s="66" t="s">
        <v>1</v>
      </c>
      <c r="C48" s="71">
        <v>0</v>
      </c>
      <c r="D48" s="71">
        <v>15.231999999999999</v>
      </c>
      <c r="E48" s="71">
        <v>9.7810000000000006</v>
      </c>
      <c r="F48" s="71">
        <v>19.285</v>
      </c>
      <c r="G48" s="71">
        <v>7.6210000000000004</v>
      </c>
      <c r="H48" s="71">
        <v>7.9809999999999999</v>
      </c>
      <c r="I48" s="71">
        <v>7.9809999999999999</v>
      </c>
      <c r="J48" s="71">
        <v>7.6210000000000004</v>
      </c>
      <c r="K48" s="71">
        <v>7.9809999999999999</v>
      </c>
      <c r="L48" s="71">
        <v>7.6210000000000004</v>
      </c>
      <c r="M48" s="71">
        <v>7.9809999999999999</v>
      </c>
      <c r="N48" s="71">
        <v>7.6210000000000004</v>
      </c>
      <c r="O48" s="71">
        <v>7.6210000000000004</v>
      </c>
      <c r="P48" s="71">
        <v>7.6210000000000004</v>
      </c>
      <c r="Q48" s="72"/>
      <c r="R48" s="69">
        <f>SUM(C48:N48)</f>
        <v>106.70599999999997</v>
      </c>
      <c r="S48" s="1"/>
      <c r="T48" s="1"/>
    </row>
    <row r="49" spans="1:20" s="74" customFormat="1">
      <c r="A49" s="73" t="s">
        <v>31</v>
      </c>
      <c r="C49" s="75">
        <f t="shared" ref="C49:P49" si="21">C47+C48</f>
        <v>0</v>
      </c>
      <c r="D49" s="75">
        <f t="shared" si="21"/>
        <v>15.231999999999999</v>
      </c>
      <c r="E49" s="75">
        <f t="shared" si="21"/>
        <v>12.96</v>
      </c>
      <c r="F49" s="75">
        <f t="shared" si="21"/>
        <v>22.463999999999999</v>
      </c>
      <c r="G49" s="75">
        <f t="shared" si="21"/>
        <v>10.8</v>
      </c>
      <c r="H49" s="75">
        <f t="shared" si="21"/>
        <v>11.16</v>
      </c>
      <c r="I49" s="75">
        <f t="shared" si="21"/>
        <v>11.16</v>
      </c>
      <c r="J49" s="75">
        <f t="shared" si="21"/>
        <v>10.8</v>
      </c>
      <c r="K49" s="75">
        <f t="shared" si="21"/>
        <v>11.16</v>
      </c>
      <c r="L49" s="75">
        <f t="shared" si="21"/>
        <v>10.8</v>
      </c>
      <c r="M49" s="75">
        <f t="shared" si="21"/>
        <v>11.16</v>
      </c>
      <c r="N49" s="75">
        <f t="shared" si="21"/>
        <v>10.8</v>
      </c>
      <c r="O49" s="75">
        <f t="shared" si="21"/>
        <v>10.8</v>
      </c>
      <c r="P49" s="75">
        <f t="shared" si="21"/>
        <v>10.8</v>
      </c>
      <c r="Q49" s="76"/>
      <c r="R49" s="77">
        <f>SUM(C49:N49)</f>
        <v>138.49599999999998</v>
      </c>
    </row>
    <row r="50" spans="1:20">
      <c r="A50" s="64"/>
      <c r="C50" s="78"/>
      <c r="D50" s="78"/>
      <c r="E50" s="78"/>
      <c r="F50" s="78"/>
      <c r="G50" s="78"/>
      <c r="H50" s="78"/>
      <c r="I50" s="78"/>
      <c r="J50" s="78"/>
      <c r="K50" s="78"/>
      <c r="L50" s="78"/>
      <c r="M50" s="78"/>
      <c r="N50" s="78"/>
      <c r="O50" s="78"/>
      <c r="P50" s="78"/>
      <c r="Q50" s="79"/>
      <c r="R50" s="64"/>
      <c r="S50" s="1"/>
      <c r="T50" s="1"/>
    </row>
    <row r="51" spans="1:20">
      <c r="A51" s="59" t="s">
        <v>32</v>
      </c>
      <c r="B51" s="60" t="s">
        <v>5</v>
      </c>
      <c r="C51" s="61">
        <f>C6</f>
        <v>44198</v>
      </c>
      <c r="D51" s="61">
        <f t="shared" ref="D51:P51" si="22">D6</f>
        <v>44229</v>
      </c>
      <c r="E51" s="61">
        <f t="shared" si="22"/>
        <v>44257</v>
      </c>
      <c r="F51" s="61">
        <f t="shared" si="22"/>
        <v>44288</v>
      </c>
      <c r="G51" s="61">
        <f t="shared" si="22"/>
        <v>44318</v>
      </c>
      <c r="H51" s="61">
        <f t="shared" si="22"/>
        <v>44349</v>
      </c>
      <c r="I51" s="62">
        <f t="shared" si="22"/>
        <v>44379</v>
      </c>
      <c r="J51" s="62">
        <f t="shared" si="22"/>
        <v>44410</v>
      </c>
      <c r="K51" s="62">
        <f t="shared" si="22"/>
        <v>44441</v>
      </c>
      <c r="L51" s="62">
        <f t="shared" si="22"/>
        <v>44471</v>
      </c>
      <c r="M51" s="62">
        <f t="shared" si="22"/>
        <v>44502</v>
      </c>
      <c r="N51" s="62">
        <f t="shared" si="22"/>
        <v>44532</v>
      </c>
      <c r="O51" s="62">
        <f t="shared" si="22"/>
        <v>44563</v>
      </c>
      <c r="P51" s="62">
        <f t="shared" si="22"/>
        <v>44594</v>
      </c>
      <c r="Q51" s="63"/>
      <c r="R51" s="64"/>
      <c r="S51" s="1"/>
      <c r="T51" s="1"/>
    </row>
    <row r="52" spans="1:20" s="86" customFormat="1">
      <c r="A52" s="80" t="s">
        <v>28</v>
      </c>
      <c r="B52" s="81" t="s">
        <v>1</v>
      </c>
      <c r="C52" s="82">
        <v>0</v>
      </c>
      <c r="D52" s="82">
        <v>0</v>
      </c>
      <c r="E52" s="82">
        <v>5.76</v>
      </c>
      <c r="F52" s="82">
        <v>10.8</v>
      </c>
      <c r="G52" s="82">
        <v>6.12</v>
      </c>
      <c r="H52" s="82">
        <v>10.8</v>
      </c>
      <c r="I52" s="82">
        <v>8.1030508474576273</v>
      </c>
      <c r="J52" s="82">
        <v>10.781694915254242</v>
      </c>
      <c r="K52" s="82">
        <v>9.772474576271188</v>
      </c>
      <c r="L52" s="82">
        <v>8.2126054161088877</v>
      </c>
      <c r="M52" s="82">
        <v>10.165312967741018</v>
      </c>
      <c r="N52" s="82">
        <v>10.316913215777397</v>
      </c>
      <c r="O52" s="82">
        <v>10.316913215777397</v>
      </c>
      <c r="P52" s="82">
        <v>10.316913215777397</v>
      </c>
      <c r="Q52" s="83"/>
      <c r="R52" s="84">
        <f>SUM(C52:N52)</f>
        <v>90.832051938610363</v>
      </c>
      <c r="S52" s="85"/>
      <c r="T52" s="85"/>
    </row>
    <row r="53" spans="1:20" s="86" customFormat="1">
      <c r="A53" s="80" t="s">
        <v>29</v>
      </c>
      <c r="B53" s="81" t="s">
        <v>1</v>
      </c>
      <c r="C53" s="87">
        <v>0</v>
      </c>
      <c r="D53" s="87">
        <v>0</v>
      </c>
      <c r="E53" s="82">
        <v>3.1789999999999998</v>
      </c>
      <c r="F53" s="82">
        <v>3.1789999999999998</v>
      </c>
      <c r="G53" s="82">
        <v>3.1789999999999998</v>
      </c>
      <c r="H53" s="82">
        <v>3.1789999999999998</v>
      </c>
      <c r="I53" s="82">
        <f t="shared" ref="I53:P53" si="23">3.179+(I46-I52)</f>
        <v>6.2359491525423731</v>
      </c>
      <c r="J53" s="82">
        <f t="shared" si="23"/>
        <v>3.5573050847457579</v>
      </c>
      <c r="K53" s="82">
        <f t="shared" si="23"/>
        <v>4.206525423728813</v>
      </c>
      <c r="L53" s="82">
        <f t="shared" si="23"/>
        <v>6.1263945838911127</v>
      </c>
      <c r="M53" s="82">
        <f t="shared" si="23"/>
        <v>3.8136870322589824</v>
      </c>
      <c r="N53" s="82">
        <f t="shared" si="23"/>
        <v>4.0220867842226031</v>
      </c>
      <c r="O53" s="82">
        <f t="shared" si="23"/>
        <v>4.0220867842226031</v>
      </c>
      <c r="P53" s="82">
        <f t="shared" si="23"/>
        <v>4.0220867842226031</v>
      </c>
      <c r="Q53" s="83"/>
      <c r="R53" s="84">
        <f>SUM(C53:N53)</f>
        <v>40.677948061389635</v>
      </c>
      <c r="S53" s="85"/>
      <c r="T53" s="85"/>
    </row>
    <row r="54" spans="1:20">
      <c r="A54" s="65" t="s">
        <v>30</v>
      </c>
      <c r="B54" s="66" t="s">
        <v>1</v>
      </c>
      <c r="C54" s="71">
        <v>0</v>
      </c>
      <c r="D54" s="71">
        <v>15.231999999999999</v>
      </c>
      <c r="E54" s="71">
        <f>E56-E53</f>
        <v>9.7810000000000006</v>
      </c>
      <c r="F54" s="71">
        <f t="shared" ref="F54:P54" si="24">F56-F53</f>
        <v>15.284999999999998</v>
      </c>
      <c r="G54" s="71">
        <f t="shared" si="24"/>
        <v>11.621</v>
      </c>
      <c r="H54" s="71">
        <f t="shared" si="24"/>
        <v>7.9809999999999999</v>
      </c>
      <c r="I54" s="71">
        <v>0</v>
      </c>
      <c r="J54" s="71">
        <f t="shared" si="24"/>
        <v>13.621000000000043</v>
      </c>
      <c r="K54" s="71">
        <f t="shared" si="24"/>
        <v>7.9809999999999999</v>
      </c>
      <c r="L54" s="71">
        <f t="shared" si="24"/>
        <v>3.620999999999988</v>
      </c>
      <c r="M54" s="71">
        <f t="shared" si="24"/>
        <v>15.981000000000016</v>
      </c>
      <c r="N54" s="71">
        <f t="shared" si="24"/>
        <v>7.6210000000000004</v>
      </c>
      <c r="O54" s="71">
        <f t="shared" si="24"/>
        <v>7.6210000000000004</v>
      </c>
      <c r="P54" s="71">
        <f t="shared" si="24"/>
        <v>7.6210000000000004</v>
      </c>
      <c r="Q54" s="72"/>
      <c r="R54" s="69">
        <f>SUM(C54:N54)</f>
        <v>108.72500000000004</v>
      </c>
      <c r="S54" s="1"/>
      <c r="T54" s="1"/>
    </row>
    <row r="55" spans="1:20">
      <c r="B55" s="1"/>
      <c r="C55" s="1"/>
      <c r="D55" s="1"/>
      <c r="E55" s="1"/>
      <c r="F55" s="1"/>
      <c r="G55" s="1"/>
      <c r="H55" s="1"/>
      <c r="I55" s="1"/>
      <c r="J55" s="1"/>
      <c r="K55" s="1"/>
      <c r="L55" s="1"/>
      <c r="M55" s="1"/>
      <c r="N55" s="1"/>
      <c r="O55" s="1"/>
      <c r="P55" s="1"/>
      <c r="Q55" s="57"/>
      <c r="R55" s="1"/>
      <c r="S55" s="1"/>
      <c r="T55" s="1"/>
    </row>
    <row r="56" spans="1:20">
      <c r="A56" s="1" t="s">
        <v>33</v>
      </c>
      <c r="B56" s="2" t="s">
        <v>1</v>
      </c>
      <c r="C56" s="5">
        <v>0</v>
      </c>
      <c r="D56" s="5">
        <v>15.231999999999999</v>
      </c>
      <c r="E56" s="5">
        <v>12.96</v>
      </c>
      <c r="F56" s="5">
        <v>18.463999999999999</v>
      </c>
      <c r="G56" s="5">
        <v>14.8</v>
      </c>
      <c r="H56" s="5">
        <v>11.16</v>
      </c>
      <c r="I56" s="88">
        <v>4</v>
      </c>
      <c r="J56" s="5">
        <v>17.178305084745801</v>
      </c>
      <c r="K56" s="88">
        <v>12.187525423728813</v>
      </c>
      <c r="L56" s="88">
        <v>9.7473945838911007</v>
      </c>
      <c r="M56" s="88">
        <v>19.794687032258999</v>
      </c>
      <c r="N56" s="5">
        <v>11.643086784222604</v>
      </c>
      <c r="O56" s="5">
        <v>11.643086784222604</v>
      </c>
      <c r="P56" s="5">
        <v>11.643086784222604</v>
      </c>
      <c r="Q56" s="4"/>
      <c r="R56" s="69">
        <f>SUM(C56:N56)</f>
        <v>147.16699890884729</v>
      </c>
    </row>
    <row r="57" spans="1:20" ht="15" thickBot="1">
      <c r="C57" s="89">
        <v>0.71200628465804028</v>
      </c>
      <c r="D57" s="89">
        <v>0.64216593675079126</v>
      </c>
      <c r="E57" s="89">
        <v>0.79647803572408993</v>
      </c>
      <c r="F57" s="89">
        <v>0.35682810526893716</v>
      </c>
      <c r="G57" s="89">
        <v>0.43907772734759654</v>
      </c>
      <c r="H57" s="89">
        <v>0.80063435881481071</v>
      </c>
      <c r="I57" s="89">
        <v>0.37671829048421929</v>
      </c>
      <c r="J57" s="89">
        <v>0.72568353218978343</v>
      </c>
      <c r="K57" s="89">
        <v>0.45079890453233662</v>
      </c>
      <c r="L57" s="89">
        <v>0.32252974377455945</v>
      </c>
      <c r="M57" s="89">
        <v>0.77384023044337058</v>
      </c>
      <c r="N57" s="89">
        <v>0.78275021392375577</v>
      </c>
      <c r="O57" s="89">
        <v>0.78275021392375577</v>
      </c>
      <c r="P57" s="89">
        <v>0.78275021392375577</v>
      </c>
      <c r="Q57" s="90"/>
      <c r="R57" s="91"/>
    </row>
    <row r="58" spans="1:20">
      <c r="R58" s="91"/>
    </row>
    <row r="60" spans="1:20">
      <c r="A60" s="1" t="s">
        <v>34</v>
      </c>
      <c r="D60">
        <v>10.8</v>
      </c>
      <c r="E60">
        <v>12.96</v>
      </c>
      <c r="F60">
        <v>22.46</v>
      </c>
      <c r="G60">
        <v>10.8</v>
      </c>
      <c r="H60">
        <v>11.16</v>
      </c>
      <c r="I60">
        <v>11.16</v>
      </c>
      <c r="J60">
        <v>10.8</v>
      </c>
      <c r="K60">
        <v>11.16</v>
      </c>
      <c r="L60">
        <v>10.8</v>
      </c>
      <c r="M60">
        <v>11.16</v>
      </c>
      <c r="N60">
        <v>10.8</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F44"/>
  <sheetViews>
    <sheetView zoomScale="85" zoomScaleNormal="85" workbookViewId="0">
      <pane xSplit="2" ySplit="1" topLeftCell="Q15" activePane="bottomRight" state="frozen"/>
      <selection activeCell="G41" sqref="G41"/>
      <selection pane="topRight" activeCell="G41" sqref="G41"/>
      <selection pane="bottomLeft" activeCell="G41" sqref="G41"/>
      <selection pane="bottomRight" activeCell="G41" sqref="G41"/>
    </sheetView>
  </sheetViews>
  <sheetFormatPr defaultColWidth="8.44140625" defaultRowHeight="14.4"/>
  <cols>
    <col min="1" max="1" width="65.109375" style="135" bestFit="1" customWidth="1"/>
    <col min="2" max="2" width="8.44140625" style="138"/>
    <col min="3" max="25" width="9.109375" style="135" customWidth="1"/>
    <col min="26" max="28" width="8.44140625" style="135"/>
    <col min="29" max="29" width="9.21875" style="135" bestFit="1" customWidth="1"/>
    <col min="30" max="30" width="8.44140625" style="135"/>
    <col min="31" max="31" width="9.109375" style="135" bestFit="1" customWidth="1"/>
    <col min="32" max="16384" width="8.44140625" style="135"/>
  </cols>
  <sheetData>
    <row r="1" spans="1:28" s="95" customFormat="1" ht="15" thickBot="1">
      <c r="A1" s="92"/>
      <c r="B1" s="93" t="s">
        <v>5</v>
      </c>
      <c r="C1" s="94">
        <v>43801</v>
      </c>
      <c r="D1" s="94">
        <v>43832</v>
      </c>
      <c r="E1" s="94">
        <v>43863</v>
      </c>
      <c r="F1" s="94">
        <v>43892</v>
      </c>
      <c r="G1" s="94">
        <v>43923</v>
      </c>
      <c r="H1" s="94">
        <v>43953</v>
      </c>
      <c r="I1" s="94">
        <v>43984</v>
      </c>
      <c r="J1" s="94">
        <v>44014</v>
      </c>
      <c r="K1" s="94">
        <v>44045</v>
      </c>
      <c r="L1" s="94">
        <v>44076</v>
      </c>
      <c r="M1" s="94">
        <v>44106</v>
      </c>
      <c r="N1" s="94">
        <v>44137</v>
      </c>
      <c r="O1" s="94">
        <v>44167</v>
      </c>
      <c r="P1" s="94">
        <v>44198</v>
      </c>
      <c r="Q1" s="94">
        <v>44229</v>
      </c>
      <c r="R1" s="94">
        <v>44257</v>
      </c>
      <c r="S1" s="94">
        <v>44288</v>
      </c>
      <c r="T1" s="94">
        <v>44318</v>
      </c>
      <c r="U1" s="94">
        <v>44349</v>
      </c>
      <c r="V1" s="94">
        <v>44379</v>
      </c>
      <c r="W1" s="94">
        <v>44410</v>
      </c>
      <c r="X1" s="94">
        <v>44441</v>
      </c>
      <c r="Y1" s="94">
        <v>44471</v>
      </c>
      <c r="Z1" s="94">
        <v>44502</v>
      </c>
      <c r="AA1" s="94">
        <v>44532</v>
      </c>
      <c r="AB1" s="94">
        <v>44563</v>
      </c>
    </row>
    <row r="2" spans="1:28" s="95" customFormat="1">
      <c r="A2" s="96" t="s">
        <v>35</v>
      </c>
      <c r="B2" s="97"/>
      <c r="C2" s="98"/>
      <c r="D2" s="98"/>
    </row>
    <row r="3" spans="1:28" s="95" customFormat="1">
      <c r="A3" s="99" t="s">
        <v>36</v>
      </c>
      <c r="B3" s="100" t="s">
        <v>1</v>
      </c>
      <c r="C3" s="101">
        <f t="shared" ref="C3:AB3" si="0">C4+C5+C6</f>
        <v>347.86</v>
      </c>
      <c r="D3" s="101">
        <f t="shared" si="0"/>
        <v>294.16699999999997</v>
      </c>
      <c r="E3" s="101">
        <f t="shared" si="0"/>
        <v>290.39999999999998</v>
      </c>
      <c r="F3" s="101">
        <f t="shared" si="0"/>
        <v>306.5</v>
      </c>
      <c r="G3" s="101">
        <f t="shared" si="0"/>
        <v>250.80099999999999</v>
      </c>
      <c r="H3" s="101">
        <f t="shared" si="0"/>
        <v>233</v>
      </c>
      <c r="I3" s="101">
        <f t="shared" si="0"/>
        <v>242.08</v>
      </c>
      <c r="J3" s="101">
        <f t="shared" si="0"/>
        <v>277.608</v>
      </c>
      <c r="K3" s="101">
        <f t="shared" si="0"/>
        <v>298.5</v>
      </c>
      <c r="L3" s="101">
        <f t="shared" si="0"/>
        <v>289</v>
      </c>
      <c r="M3" s="101">
        <f t="shared" si="0"/>
        <v>286.80200000000002</v>
      </c>
      <c r="N3" s="101">
        <f t="shared" si="0"/>
        <v>300.7</v>
      </c>
      <c r="O3" s="101">
        <f t="shared" si="0"/>
        <v>299.97700000000003</v>
      </c>
      <c r="P3" s="101">
        <f t="shared" si="0"/>
        <v>302.40185793868551</v>
      </c>
      <c r="Q3" s="101">
        <f t="shared" si="0"/>
        <v>305.63074153018829</v>
      </c>
      <c r="R3" s="101">
        <f t="shared" si="0"/>
        <v>294.64444562872296</v>
      </c>
      <c r="S3" s="101">
        <f t="shared" si="0"/>
        <v>332.78555842790536</v>
      </c>
      <c r="T3" s="101">
        <f t="shared" si="0"/>
        <v>346.84021207381642</v>
      </c>
      <c r="U3" s="101">
        <f t="shared" si="0"/>
        <v>345.23645893118959</v>
      </c>
      <c r="V3" s="101">
        <f t="shared" si="0"/>
        <v>324.83</v>
      </c>
      <c r="W3" s="101">
        <f t="shared" si="0"/>
        <v>316.5</v>
      </c>
      <c r="X3" s="101">
        <f t="shared" si="0"/>
        <v>318.95</v>
      </c>
      <c r="Y3" s="101">
        <f t="shared" si="0"/>
        <v>302.34478840125394</v>
      </c>
      <c r="Z3" s="101">
        <f t="shared" si="0"/>
        <v>290.23456112852654</v>
      </c>
      <c r="AA3" s="101">
        <f t="shared" si="0"/>
        <v>329.94568965517243</v>
      </c>
      <c r="AB3" s="101">
        <f t="shared" si="0"/>
        <v>323.94568965517243</v>
      </c>
    </row>
    <row r="4" spans="1:28" s="95" customFormat="1">
      <c r="A4" s="102" t="s">
        <v>37</v>
      </c>
      <c r="B4" s="103" t="s">
        <v>1</v>
      </c>
      <c r="C4" s="104">
        <v>308.76</v>
      </c>
      <c r="D4" s="104">
        <f>'C3LPG'!M42</f>
        <v>274.16699999999997</v>
      </c>
      <c r="E4" s="104">
        <f>'C3LPG'!N42</f>
        <v>269</v>
      </c>
      <c r="F4" s="104">
        <f>'C3LPG'!O42</f>
        <v>299.5</v>
      </c>
      <c r="G4" s="104">
        <f>'C3LPG'!P42</f>
        <v>248.80099999999999</v>
      </c>
      <c r="H4" s="104">
        <f>'C3LPG'!Q42</f>
        <v>225</v>
      </c>
      <c r="I4" s="104">
        <f>'C3LPG'!R42</f>
        <v>238.5</v>
      </c>
      <c r="J4" s="104">
        <f>'C3LPG'!S42</f>
        <v>250.608</v>
      </c>
      <c r="K4" s="104">
        <f>'C3LPG'!T42</f>
        <v>270.3</v>
      </c>
      <c r="L4" s="104">
        <f>'C3LPG'!U42</f>
        <v>276</v>
      </c>
      <c r="M4" s="104">
        <f>'C3LPG'!V42</f>
        <v>279.80200000000002</v>
      </c>
      <c r="N4" s="104">
        <f>'C3LPG'!W42</f>
        <v>255.7</v>
      </c>
      <c r="O4" s="104">
        <f>'C3LPG'!X42</f>
        <v>267.7</v>
      </c>
      <c r="P4" s="104">
        <f>'C3LPG'!Y42</f>
        <v>277.40185793868551</v>
      </c>
      <c r="Q4" s="104">
        <f>'C3LPG'!Z42</f>
        <v>251.63074153018829</v>
      </c>
      <c r="R4" s="104">
        <f>'C3LPG'!AA42</f>
        <v>278.64444562872296</v>
      </c>
      <c r="S4" s="104">
        <f>'C3LPG'!AB42</f>
        <v>265.78555842790536</v>
      </c>
      <c r="T4" s="104">
        <f>'C3LPG'!AC42</f>
        <v>280.84021207381642</v>
      </c>
      <c r="U4" s="104">
        <f>'C3LPG'!AD42</f>
        <v>277.23645893118959</v>
      </c>
      <c r="V4" s="104">
        <f>'C3LPG'!AE42</f>
        <v>215.82999999999998</v>
      </c>
      <c r="W4" s="104">
        <f>'C3LPG'!AF42</f>
        <v>294.5</v>
      </c>
      <c r="X4" s="104">
        <f>'C3LPG'!AG42</f>
        <v>271.95</v>
      </c>
      <c r="Y4" s="104">
        <f>'C3LPG'!AH42</f>
        <v>255.34478840125394</v>
      </c>
      <c r="Z4" s="104">
        <f>'C3LPG'!AI42</f>
        <v>280.23456112852654</v>
      </c>
      <c r="AA4" s="104">
        <f>'C3LPG'!AJ42</f>
        <v>290.94568965517243</v>
      </c>
      <c r="AB4" s="104">
        <f>'C3LPG'!AK42</f>
        <v>290.94568965517243</v>
      </c>
    </row>
    <row r="5" spans="1:28" s="95" customFormat="1">
      <c r="A5" s="102" t="s">
        <v>38</v>
      </c>
      <c r="B5" s="103" t="s">
        <v>1</v>
      </c>
      <c r="C5" s="104">
        <v>25</v>
      </c>
      <c r="D5" s="104">
        <f>'C3LPG'!M44</f>
        <v>20</v>
      </c>
      <c r="E5" s="104">
        <f>'C3LPG'!N44</f>
        <v>18</v>
      </c>
      <c r="F5" s="104">
        <f>'C3LPG'!O44</f>
        <v>7</v>
      </c>
      <c r="G5" s="104">
        <f>'C3LPG'!P44</f>
        <v>2</v>
      </c>
      <c r="H5" s="104">
        <f>'C3LPG'!Q44</f>
        <v>6</v>
      </c>
      <c r="I5" s="104">
        <f>'C3LPG'!R44</f>
        <v>0</v>
      </c>
      <c r="J5" s="104">
        <f>'C3LPG'!S44</f>
        <v>4</v>
      </c>
      <c r="K5" s="104">
        <f>'C3LPG'!T44</f>
        <v>1.2</v>
      </c>
      <c r="L5" s="104">
        <f>'C3LPG'!U44</f>
        <v>0</v>
      </c>
      <c r="M5" s="104">
        <f>'C3LPG'!V44</f>
        <v>0</v>
      </c>
      <c r="N5" s="104">
        <f>'C3LPG'!W44</f>
        <v>13</v>
      </c>
      <c r="O5" s="104">
        <f>'C3LPG'!X44</f>
        <v>11.6</v>
      </c>
      <c r="P5" s="104">
        <f>'C3LPG'!Y44</f>
        <v>19</v>
      </c>
      <c r="Q5" s="104">
        <f>'C3LPG'!Z44</f>
        <v>15</v>
      </c>
      <c r="R5" s="104">
        <f>'C3LPG'!AA44</f>
        <v>0</v>
      </c>
      <c r="S5" s="104">
        <f>'C3LPG'!AB44</f>
        <v>0</v>
      </c>
      <c r="T5" s="104">
        <f>'C3LPG'!AC44</f>
        <v>0</v>
      </c>
      <c r="U5" s="104">
        <f>'C3LPG'!AD44</f>
        <v>0</v>
      </c>
      <c r="V5" s="104">
        <f>'C3LPG'!AE44</f>
        <v>0</v>
      </c>
      <c r="W5" s="104">
        <f>'C3LPG'!AF44</f>
        <v>0</v>
      </c>
      <c r="X5" s="104">
        <f>'C3LPG'!AG44</f>
        <v>0</v>
      </c>
      <c r="Y5" s="104">
        <f>'C3LPG'!AH44</f>
        <v>0</v>
      </c>
      <c r="Z5" s="104">
        <f>'C3LPG'!AI44</f>
        <v>0</v>
      </c>
      <c r="AA5" s="104">
        <f>'C3LPG'!AJ44</f>
        <v>0</v>
      </c>
      <c r="AB5" s="104">
        <f>'C3LPG'!AK44</f>
        <v>0</v>
      </c>
    </row>
    <row r="6" spans="1:28" s="95" customFormat="1">
      <c r="A6" s="102" t="s">
        <v>39</v>
      </c>
      <c r="B6" s="103" t="s">
        <v>1</v>
      </c>
      <c r="C6" s="104">
        <v>14.1</v>
      </c>
      <c r="D6" s="104">
        <f>'C3LPG'!M8</f>
        <v>0</v>
      </c>
      <c r="E6" s="104">
        <f>'C3LPG'!N8</f>
        <v>3.4</v>
      </c>
      <c r="F6" s="104">
        <f>'C3LPG'!O8</f>
        <v>0</v>
      </c>
      <c r="G6" s="104">
        <f>'C3LPG'!P8</f>
        <v>0</v>
      </c>
      <c r="H6" s="104">
        <f>'C3LPG'!Q8</f>
        <v>2</v>
      </c>
      <c r="I6" s="104">
        <f>'C3LPG'!R8</f>
        <v>3.58</v>
      </c>
      <c r="J6" s="104">
        <f>'C3LPG'!S8</f>
        <v>23</v>
      </c>
      <c r="K6" s="104">
        <f>'C3LPG'!T8</f>
        <v>27</v>
      </c>
      <c r="L6" s="104">
        <f>'C3LPG'!U8</f>
        <v>13</v>
      </c>
      <c r="M6" s="104">
        <f>'C3LPG'!V8</f>
        <v>7</v>
      </c>
      <c r="N6" s="104">
        <f>'C3LPG'!W8</f>
        <v>32</v>
      </c>
      <c r="O6" s="104">
        <f>'C3LPG'!X8</f>
        <v>20.677</v>
      </c>
      <c r="P6" s="104">
        <f>'C3LPG'!Y8</f>
        <v>6</v>
      </c>
      <c r="Q6" s="104">
        <f>'C3LPG'!Z8</f>
        <v>39</v>
      </c>
      <c r="R6" s="104">
        <f>'C3LPG'!AA8</f>
        <v>16</v>
      </c>
      <c r="S6" s="104">
        <f>'C3LPG'!AB8</f>
        <v>67</v>
      </c>
      <c r="T6" s="104">
        <f>'C3LPG'!AC8</f>
        <v>66</v>
      </c>
      <c r="U6" s="104">
        <f>'C3LPG'!AD8</f>
        <v>68</v>
      </c>
      <c r="V6" s="104">
        <f>'C3LPG'!AE8</f>
        <v>109</v>
      </c>
      <c r="W6" s="104">
        <f>'C3LPG'!AF8</f>
        <v>22</v>
      </c>
      <c r="X6" s="104">
        <f>'C3LPG'!AG8</f>
        <v>47</v>
      </c>
      <c r="Y6" s="104">
        <f>'C3LPG'!AH8</f>
        <v>47</v>
      </c>
      <c r="Z6" s="104">
        <f>'C3LPG'!AI8</f>
        <v>10</v>
      </c>
      <c r="AA6" s="104">
        <f>'C3LPG'!AJ8</f>
        <v>39</v>
      </c>
      <c r="AB6" s="104">
        <f>'C3LPG'!AK8</f>
        <v>33</v>
      </c>
    </row>
    <row r="7" spans="1:28" s="95" customFormat="1">
      <c r="A7" s="99" t="s">
        <v>40</v>
      </c>
      <c r="B7" s="100" t="s">
        <v>1</v>
      </c>
      <c r="C7" s="101">
        <f t="shared" ref="C7:AB7" si="1">+C8+C9+C13</f>
        <v>344.06112309999997</v>
      </c>
      <c r="D7" s="101">
        <f t="shared" si="1"/>
        <v>315.41329082000004</v>
      </c>
      <c r="E7" s="101">
        <f t="shared" si="1"/>
        <v>273.98145952999994</v>
      </c>
      <c r="F7" s="101">
        <f t="shared" si="1"/>
        <v>305.178</v>
      </c>
      <c r="G7" s="101">
        <f t="shared" si="1"/>
        <v>266.24</v>
      </c>
      <c r="H7" s="101">
        <f t="shared" si="1"/>
        <v>220.37659381</v>
      </c>
      <c r="I7" s="101">
        <f t="shared" si="1"/>
        <v>259.59017382000002</v>
      </c>
      <c r="J7" s="101">
        <f t="shared" si="1"/>
        <v>276.56</v>
      </c>
      <c r="K7" s="101">
        <f t="shared" si="1"/>
        <v>301.61236263736265</v>
      </c>
      <c r="L7" s="101">
        <f t="shared" si="1"/>
        <v>277.89999999999998</v>
      </c>
      <c r="M7" s="101">
        <f t="shared" si="1"/>
        <v>296.91999999999996</v>
      </c>
      <c r="N7" s="101">
        <f t="shared" si="1"/>
        <v>295.10240770999997</v>
      </c>
      <c r="O7" s="101">
        <f t="shared" si="1"/>
        <v>307.56399999999996</v>
      </c>
      <c r="P7" s="101">
        <f t="shared" si="1"/>
        <v>298.947</v>
      </c>
      <c r="Q7" s="101">
        <f t="shared" si="1"/>
        <v>297.7215559</v>
      </c>
      <c r="R7" s="101">
        <f t="shared" si="1"/>
        <v>300.62316010000001</v>
      </c>
      <c r="S7" s="101">
        <f t="shared" si="1"/>
        <v>341.98022306999997</v>
      </c>
      <c r="T7" s="101">
        <f t="shared" si="1"/>
        <v>346.29615580000001</v>
      </c>
      <c r="U7" s="101">
        <f t="shared" si="1"/>
        <v>340.58423604999996</v>
      </c>
      <c r="V7" s="101">
        <f t="shared" si="1"/>
        <v>346.35364926933704</v>
      </c>
      <c r="W7" s="101">
        <f t="shared" si="1"/>
        <v>316.22381604000003</v>
      </c>
      <c r="X7" s="101">
        <f t="shared" si="1"/>
        <v>318.72566554000002</v>
      </c>
      <c r="Y7" s="101">
        <f t="shared" si="1"/>
        <v>315.09805472999994</v>
      </c>
      <c r="Z7" s="101">
        <f t="shared" si="1"/>
        <v>290.35022616999998</v>
      </c>
      <c r="AA7" s="101">
        <f t="shared" si="1"/>
        <v>328.46222931</v>
      </c>
      <c r="AB7" s="101">
        <f t="shared" si="1"/>
        <v>323.88155678999999</v>
      </c>
    </row>
    <row r="8" spans="1:28" s="95" customFormat="1">
      <c r="A8" s="102" t="s">
        <v>41</v>
      </c>
      <c r="B8" s="103" t="s">
        <v>1</v>
      </c>
      <c r="C8" s="104">
        <v>127.133</v>
      </c>
      <c r="D8" s="104">
        <f>'C3LPG'!M141</f>
        <v>109.81</v>
      </c>
      <c r="E8" s="104">
        <f>'C3LPG'!N141</f>
        <v>84.705999999999989</v>
      </c>
      <c r="F8" s="104">
        <f>'C3LPG'!O141</f>
        <v>119.328</v>
      </c>
      <c r="G8" s="104">
        <f>'C3LPG'!P141</f>
        <v>121.05</v>
      </c>
      <c r="H8" s="104">
        <f>'C3LPG'!Q141</f>
        <v>73.457999999999998</v>
      </c>
      <c r="I8" s="104">
        <f>'C3LPG'!R141</f>
        <v>99.144000000000005</v>
      </c>
      <c r="J8" s="104">
        <f>'C3LPG'!S141</f>
        <v>95.72999999999999</v>
      </c>
      <c r="K8" s="104">
        <f>'C3LPG'!T141</f>
        <v>108.71236263736263</v>
      </c>
      <c r="L8" s="104">
        <f>'C3LPG'!U141</f>
        <v>94.41</v>
      </c>
      <c r="M8" s="104">
        <f>'C3LPG'!V141</f>
        <v>97.06</v>
      </c>
      <c r="N8" s="104">
        <f>'C3LPG'!W141</f>
        <v>100.8</v>
      </c>
      <c r="O8" s="104">
        <f>'C3LPG'!X141</f>
        <v>112.874</v>
      </c>
      <c r="P8" s="104">
        <f>'C3LPG'!Y141</f>
        <v>114.867</v>
      </c>
      <c r="Q8" s="104">
        <f>'C3LPG'!Z141</f>
        <v>116.17599999999999</v>
      </c>
      <c r="R8" s="104">
        <f>'C3LPG'!AA141</f>
        <v>120.41600000000001</v>
      </c>
      <c r="S8" s="104">
        <f>'C3LPG'!AB141</f>
        <v>155.47899999999998</v>
      </c>
      <c r="T8" s="104">
        <f>'C3LPG'!AC141</f>
        <v>152.02199999999999</v>
      </c>
      <c r="U8" s="104">
        <f>'C3LPG'!AD141</f>
        <v>149.53899999999999</v>
      </c>
      <c r="V8" s="104">
        <f>'C3LPG'!AE141</f>
        <v>142.37890085933702</v>
      </c>
      <c r="W8" s="104">
        <f>'C3LPG'!AF141</f>
        <v>114.88300000000001</v>
      </c>
      <c r="X8" s="104">
        <f>'C3LPG'!AG141</f>
        <v>121.74299999999999</v>
      </c>
      <c r="Y8" s="104">
        <f>'C3LPG'!AH141</f>
        <v>114.977</v>
      </c>
      <c r="Z8" s="104">
        <f>'C3LPG'!AI141</f>
        <v>89.937999999999988</v>
      </c>
      <c r="AA8" s="104">
        <f>'C3LPG'!AJ141</f>
        <v>126.29499999999999</v>
      </c>
      <c r="AB8" s="104">
        <f>'C3LPG'!AK141</f>
        <v>123.636</v>
      </c>
    </row>
    <row r="9" spans="1:28" s="95" customFormat="1">
      <c r="A9" s="102" t="s">
        <v>42</v>
      </c>
      <c r="B9" s="103" t="s">
        <v>1</v>
      </c>
      <c r="C9" s="105">
        <f t="shared" ref="C9:AB9" si="2">+C10+C11+C12</f>
        <v>216.92812309999997</v>
      </c>
      <c r="D9" s="105">
        <f t="shared" si="2"/>
        <v>205.60329082000001</v>
      </c>
      <c r="E9" s="105">
        <f t="shared" si="2"/>
        <v>195.24545953000001</v>
      </c>
      <c r="F9" s="105">
        <f t="shared" si="2"/>
        <v>180</v>
      </c>
      <c r="G9" s="105">
        <f t="shared" si="2"/>
        <v>145.19</v>
      </c>
      <c r="H9" s="105">
        <f t="shared" si="2"/>
        <v>146.91859381</v>
      </c>
      <c r="I9" s="105">
        <f t="shared" si="2"/>
        <v>160.44617381999998</v>
      </c>
      <c r="J9" s="105">
        <f t="shared" si="2"/>
        <v>180.83</v>
      </c>
      <c r="K9" s="105">
        <f t="shared" si="2"/>
        <v>192.9</v>
      </c>
      <c r="L9" s="105">
        <f t="shared" si="2"/>
        <v>188.49</v>
      </c>
      <c r="M9" s="105">
        <f t="shared" si="2"/>
        <v>199.85999999999999</v>
      </c>
      <c r="N9" s="105">
        <f t="shared" si="2"/>
        <v>194.30240770999998</v>
      </c>
      <c r="O9" s="105">
        <f t="shared" si="2"/>
        <v>194.69</v>
      </c>
      <c r="P9" s="105">
        <f t="shared" si="2"/>
        <v>184.08</v>
      </c>
      <c r="Q9" s="105">
        <f t="shared" si="2"/>
        <v>181.54555590000001</v>
      </c>
      <c r="R9" s="105">
        <f t="shared" si="2"/>
        <v>187.20716009999998</v>
      </c>
      <c r="S9" s="105">
        <f t="shared" si="2"/>
        <v>186.50122307000001</v>
      </c>
      <c r="T9" s="105">
        <f t="shared" si="2"/>
        <v>194.27415580000002</v>
      </c>
      <c r="U9" s="105">
        <f t="shared" si="2"/>
        <v>191.04523605</v>
      </c>
      <c r="V9" s="105">
        <f t="shared" si="2"/>
        <v>203.97474841000002</v>
      </c>
      <c r="W9" s="105">
        <f t="shared" si="2"/>
        <v>201.34081604000002</v>
      </c>
      <c r="X9" s="105">
        <f t="shared" si="2"/>
        <v>196.98266554</v>
      </c>
      <c r="Y9" s="105">
        <f t="shared" si="2"/>
        <v>200.12105472999997</v>
      </c>
      <c r="Z9" s="105">
        <f t="shared" si="2"/>
        <v>200.41222617</v>
      </c>
      <c r="AA9" s="105">
        <f t="shared" si="2"/>
        <v>202.16722930999998</v>
      </c>
      <c r="AB9" s="105">
        <f t="shared" si="2"/>
        <v>200.24555678999999</v>
      </c>
    </row>
    <row r="10" spans="1:28" s="95" customFormat="1">
      <c r="A10" s="106" t="s">
        <v>43</v>
      </c>
      <c r="B10" s="107" t="s">
        <v>1</v>
      </c>
      <c r="C10" s="104">
        <v>24.62</v>
      </c>
      <c r="D10" s="104">
        <f>'C3LPG'!M145</f>
        <v>22.66</v>
      </c>
      <c r="E10" s="104">
        <f>'C3LPG'!N145</f>
        <v>18.09</v>
      </c>
      <c r="F10" s="104">
        <f>'C3LPG'!O145</f>
        <v>17.23</v>
      </c>
      <c r="G10" s="104">
        <f>'C3LPG'!P145</f>
        <v>11.25</v>
      </c>
      <c r="H10" s="104">
        <f>'C3LPG'!Q145</f>
        <v>12.100000000000001</v>
      </c>
      <c r="I10" s="104">
        <f>'C3LPG'!R145</f>
        <v>17.88</v>
      </c>
      <c r="J10" s="104">
        <f>'C3LPG'!S145</f>
        <v>23.200000000000003</v>
      </c>
      <c r="K10" s="104">
        <f>'C3LPG'!T145</f>
        <v>31.1</v>
      </c>
      <c r="L10" s="104">
        <f>'C3LPG'!U145</f>
        <v>28.200000000000003</v>
      </c>
      <c r="M10" s="104">
        <f>'C3LPG'!V145</f>
        <v>31.5</v>
      </c>
      <c r="N10" s="104">
        <f>'C3LPG'!W145</f>
        <v>32.200000000000003</v>
      </c>
      <c r="O10" s="104">
        <f>'C3LPG'!X145</f>
        <v>30.77</v>
      </c>
      <c r="P10" s="104">
        <f>'C3LPG'!Y145</f>
        <v>26.55</v>
      </c>
      <c r="Q10" s="104">
        <f>'C3LPG'!Z145</f>
        <v>31.119999999999997</v>
      </c>
      <c r="R10" s="104">
        <f>'C3LPG'!AA145</f>
        <v>29.63</v>
      </c>
      <c r="S10" s="104">
        <f>'C3LPG'!AB145</f>
        <v>31.630000000000003</v>
      </c>
      <c r="T10" s="104">
        <f>'C3LPG'!AC145</f>
        <v>33.020000000000003</v>
      </c>
      <c r="U10" s="104">
        <f>'C3LPG'!AD145</f>
        <v>32.630000000000003</v>
      </c>
      <c r="V10" s="104">
        <f>'C3LPG'!AE145</f>
        <v>33.330000000000005</v>
      </c>
      <c r="W10" s="104">
        <f>'C3LPG'!AF145</f>
        <v>33.330000000000005</v>
      </c>
      <c r="X10" s="104">
        <f>'C3LPG'!AG145</f>
        <v>34.03</v>
      </c>
      <c r="Y10" s="104">
        <f>'C3LPG'!AH145</f>
        <v>36.130000000000003</v>
      </c>
      <c r="Z10" s="104">
        <f>'C3LPG'!AI145</f>
        <v>36.229999999999997</v>
      </c>
      <c r="AA10" s="104">
        <f>'C3LPG'!AJ145</f>
        <v>36.229999999999997</v>
      </c>
      <c r="AB10" s="104">
        <f>'C3LPG'!AK145</f>
        <v>36.229999999999997</v>
      </c>
    </row>
    <row r="11" spans="1:28" s="95" customFormat="1">
      <c r="A11" s="106" t="s">
        <v>44</v>
      </c>
      <c r="B11" s="107" t="s">
        <v>1</v>
      </c>
      <c r="C11" s="104">
        <v>191.20567744999997</v>
      </c>
      <c r="D11" s="104">
        <f>'C3LPG'!M146</f>
        <v>181.64329082</v>
      </c>
      <c r="E11" s="104">
        <f>'C3LPG'!N146</f>
        <v>175.59545953</v>
      </c>
      <c r="F11" s="104">
        <f>'C3LPG'!O146</f>
        <v>161.47</v>
      </c>
      <c r="G11" s="104">
        <f>'C3LPG'!P146</f>
        <v>132.49</v>
      </c>
      <c r="H11" s="104">
        <f>'C3LPG'!Q146</f>
        <v>133.46</v>
      </c>
      <c r="I11" s="104">
        <f>'C3LPG'!R146</f>
        <v>141.44</v>
      </c>
      <c r="J11" s="104">
        <f>'C3LPG'!S146</f>
        <v>156.22999999999999</v>
      </c>
      <c r="K11" s="104">
        <f>'C3LPG'!T146</f>
        <v>160.78</v>
      </c>
      <c r="L11" s="104">
        <f>'C3LPG'!U146</f>
        <v>158.84</v>
      </c>
      <c r="M11" s="104">
        <f>'C3LPG'!V146</f>
        <v>166.91</v>
      </c>
      <c r="N11" s="104">
        <f>'C3LPG'!W146</f>
        <v>160.70240770999999</v>
      </c>
      <c r="O11" s="104">
        <f>'C3LPG'!X146</f>
        <v>162.72</v>
      </c>
      <c r="P11" s="104">
        <f>'C3LPG'!Y146</f>
        <v>156.13</v>
      </c>
      <c r="Q11" s="104">
        <f>'C3LPG'!Z146</f>
        <v>149.12555589999999</v>
      </c>
      <c r="R11" s="104">
        <f>'C3LPG'!AA146</f>
        <v>156.50442809999998</v>
      </c>
      <c r="S11" s="104">
        <f>'C3LPG'!AB146</f>
        <v>153.76420607</v>
      </c>
      <c r="T11" s="104">
        <f>'C3LPG'!AC146</f>
        <v>160.2417078</v>
      </c>
      <c r="U11" s="104">
        <f>'C3LPG'!AD146</f>
        <v>157.33335405</v>
      </c>
      <c r="V11" s="104">
        <f>'C3LPG'!AE146</f>
        <v>169.60259741000002</v>
      </c>
      <c r="W11" s="104">
        <f>'C3LPG'!AF146</f>
        <v>166.90864504000001</v>
      </c>
      <c r="X11" s="104">
        <f>'C3LPG'!AG146</f>
        <v>161.87345454000001</v>
      </c>
      <c r="Y11" s="104">
        <f>'C3LPG'!AH146</f>
        <v>162.91817172999998</v>
      </c>
      <c r="Z11" s="104">
        <f>'C3LPG'!AI146</f>
        <v>163.12678417000001</v>
      </c>
      <c r="AA11" s="104">
        <f>'C3LPG'!AJ146</f>
        <v>164.88178730999999</v>
      </c>
      <c r="AB11" s="104">
        <f>'C3LPG'!AK146</f>
        <v>162.96011479000001</v>
      </c>
    </row>
    <row r="12" spans="1:28" s="95" customFormat="1">
      <c r="A12" s="106" t="s">
        <v>45</v>
      </c>
      <c r="B12" s="107" t="s">
        <v>1</v>
      </c>
      <c r="C12" s="104">
        <v>1.1024456499999999</v>
      </c>
      <c r="D12" s="104">
        <f>'C3LPG'!M147</f>
        <v>1.3</v>
      </c>
      <c r="E12" s="104">
        <f>'C3LPG'!N147</f>
        <v>1.56</v>
      </c>
      <c r="F12" s="104">
        <f>'C3LPG'!O147</f>
        <v>1.3</v>
      </c>
      <c r="G12" s="104">
        <f>'C3LPG'!P147</f>
        <v>1.45</v>
      </c>
      <c r="H12" s="104">
        <f>'C3LPG'!Q147</f>
        <v>1.3585938099999999</v>
      </c>
      <c r="I12" s="104">
        <f>'C3LPG'!R147</f>
        <v>1.12617382</v>
      </c>
      <c r="J12" s="104">
        <f>'C3LPG'!S147</f>
        <v>1.4</v>
      </c>
      <c r="K12" s="104">
        <f>'C3LPG'!T147</f>
        <v>1.02</v>
      </c>
      <c r="L12" s="104">
        <f>'C3LPG'!U147</f>
        <v>1.45</v>
      </c>
      <c r="M12" s="104">
        <f>'C3LPG'!V147</f>
        <v>1.4500000000000002</v>
      </c>
      <c r="N12" s="104">
        <f>'C3LPG'!W147</f>
        <v>1.4</v>
      </c>
      <c r="O12" s="104">
        <f>'C3LPG'!X147</f>
        <v>1.2</v>
      </c>
      <c r="P12" s="104">
        <f>'C3LPG'!Y147</f>
        <v>1.4</v>
      </c>
      <c r="Q12" s="104">
        <f>'C3LPG'!Z147</f>
        <v>1.2999999999999998</v>
      </c>
      <c r="R12" s="104">
        <f>'C3LPG'!AA147</f>
        <v>1.072732</v>
      </c>
      <c r="S12" s="104">
        <f>'C3LPG'!AB147</f>
        <v>1.1070169999999999</v>
      </c>
      <c r="T12" s="104">
        <f>'C3LPG'!AC147</f>
        <v>1.012448</v>
      </c>
      <c r="U12" s="104">
        <f>'C3LPG'!AD147</f>
        <v>1.081882</v>
      </c>
      <c r="V12" s="104">
        <f>'C3LPG'!AE147</f>
        <v>1.042151</v>
      </c>
      <c r="W12" s="104">
        <f>'C3LPG'!AF147</f>
        <v>1.102171</v>
      </c>
      <c r="X12" s="104">
        <f>'C3LPG'!AG147</f>
        <v>1.0792109999999999</v>
      </c>
      <c r="Y12" s="104">
        <f>'C3LPG'!AH147</f>
        <v>1.072883</v>
      </c>
      <c r="Z12" s="104">
        <f>'C3LPG'!AI147</f>
        <v>1.055442</v>
      </c>
      <c r="AA12" s="104">
        <f>'C3LPG'!AJ147</f>
        <v>1.055442</v>
      </c>
      <c r="AB12" s="104">
        <f>'C3LPG'!AK147</f>
        <v>1.055442</v>
      </c>
    </row>
    <row r="13" spans="1:28" s="95" customFormat="1">
      <c r="A13" s="102" t="s">
        <v>46</v>
      </c>
      <c r="B13" s="103" t="s">
        <v>1</v>
      </c>
      <c r="C13" s="104"/>
      <c r="D13" s="104">
        <f>'C3LPG'!M9</f>
        <v>0</v>
      </c>
      <c r="E13" s="104">
        <f>'C3LPG'!N9</f>
        <v>-5.97</v>
      </c>
      <c r="F13" s="104">
        <f>'C3LPG'!O9</f>
        <v>5.85</v>
      </c>
      <c r="G13" s="104">
        <f>'C3LPG'!P9</f>
        <v>0</v>
      </c>
      <c r="H13" s="104">
        <f>'C3LPG'!Q9</f>
        <v>0</v>
      </c>
      <c r="I13" s="104">
        <f>'C3LPG'!R9</f>
        <v>0</v>
      </c>
      <c r="J13" s="104">
        <f>'C3LPG'!S9</f>
        <v>0</v>
      </c>
      <c r="K13" s="104">
        <f>'C3LPG'!T9</f>
        <v>0</v>
      </c>
      <c r="L13" s="104">
        <f>'C3LPG'!U9</f>
        <v>-5</v>
      </c>
      <c r="M13" s="104">
        <f>'C3LPG'!V9</f>
        <v>0</v>
      </c>
      <c r="N13" s="104">
        <f>'C3LPG'!W9</f>
        <v>0</v>
      </c>
      <c r="O13" s="104">
        <f>'C3LPG'!X9</f>
        <v>0</v>
      </c>
      <c r="P13" s="104">
        <f>'C3LPG'!Y9</f>
        <v>0</v>
      </c>
      <c r="Q13" s="104">
        <f>'C3LPG'!Z9</f>
        <v>0</v>
      </c>
      <c r="R13" s="104">
        <f>'C3LPG'!AA9</f>
        <v>-7</v>
      </c>
      <c r="S13" s="104">
        <f>'C3LPG'!AB9</f>
        <v>0</v>
      </c>
      <c r="T13" s="104">
        <f>'C3LPG'!AC9</f>
        <v>0</v>
      </c>
      <c r="U13" s="104">
        <f>'C3LPG'!AD9</f>
        <v>0</v>
      </c>
      <c r="V13" s="104">
        <f>'C3LPG'!AE9</f>
        <v>0</v>
      </c>
      <c r="W13" s="104">
        <f>'C3LPG'!AF9</f>
        <v>0</v>
      </c>
      <c r="X13" s="104">
        <f>'C3LPG'!AG9</f>
        <v>0</v>
      </c>
      <c r="Y13" s="104">
        <f>'C3LPG'!AH9</f>
        <v>0</v>
      </c>
      <c r="Z13" s="104">
        <f>'C3LPG'!AI9</f>
        <v>0</v>
      </c>
      <c r="AA13" s="104">
        <f>'C3LPG'!AJ9</f>
        <v>0</v>
      </c>
      <c r="AB13" s="104">
        <f>'C3LPG'!AK9</f>
        <v>0</v>
      </c>
    </row>
    <row r="14" spans="1:28" s="95" customFormat="1">
      <c r="A14" s="108" t="s">
        <v>47</v>
      </c>
      <c r="B14" s="109" t="s">
        <v>1</v>
      </c>
      <c r="C14" s="110">
        <v>31.888097230590823</v>
      </c>
      <c r="D14" s="110">
        <f>'C3LPG'!M2</f>
        <v>16.827883907470703</v>
      </c>
      <c r="E14" s="110">
        <f>'C3LPG'!N2</f>
        <v>36.020527630224606</v>
      </c>
      <c r="F14" s="110">
        <f>'C3LPG'!O2</f>
        <v>33.684161457519529</v>
      </c>
      <c r="G14" s="110">
        <f>'C3LPG'!P2</f>
        <v>18.635842199999999</v>
      </c>
      <c r="H14" s="110">
        <f>'C3LPG'!Q2</f>
        <v>29.542833899999998</v>
      </c>
      <c r="I14" s="110">
        <f>'C3LPG'!R2</f>
        <v>14.458839999999999</v>
      </c>
      <c r="J14" s="110">
        <f>'C3LPG'!S2</f>
        <v>18.007720000000003</v>
      </c>
      <c r="K14" s="110">
        <f>'C3LPG'!T2</f>
        <v>15.124660000000002</v>
      </c>
      <c r="L14" s="110">
        <f>'C3LPG'!U2</f>
        <v>26.696860000000001</v>
      </c>
      <c r="M14" s="110">
        <f>'C3LPG'!V2</f>
        <v>14.437240000000001</v>
      </c>
      <c r="N14" s="110">
        <f>'C3LPG'!W2</f>
        <v>22.420850699999999</v>
      </c>
      <c r="O14" s="110">
        <f>'C3LPG'!X2</f>
        <v>18.055042360000002</v>
      </c>
      <c r="P14" s="110">
        <f>'C3LPG'!Y2</f>
        <v>24.4024</v>
      </c>
      <c r="Q14" s="110">
        <f>'C3LPG'!Z2</f>
        <v>27.81158563018824</v>
      </c>
      <c r="R14" s="110">
        <f>'C3LPG'!AA2</f>
        <v>18.832871158911175</v>
      </c>
      <c r="S14" s="110">
        <f>'C3LPG'!AB2</f>
        <v>18.138206516816567</v>
      </c>
      <c r="T14" s="110">
        <f>'C3LPG'!AC2</f>
        <v>18.682262790632997</v>
      </c>
      <c r="U14" s="110">
        <f>'C3LPG'!AD2</f>
        <v>23.334485671822613</v>
      </c>
      <c r="V14" s="110">
        <f>'C3LPG'!AE2</f>
        <v>19.7098364024856</v>
      </c>
      <c r="W14" s="110">
        <f>'C3LPG'!AF2</f>
        <v>19.986020362485597</v>
      </c>
      <c r="X14" s="110">
        <f>'C3LPG'!AG2</f>
        <v>20.210354822485524</v>
      </c>
      <c r="Y14" s="110">
        <f>'C3LPG'!AH2</f>
        <v>18.483088493739437</v>
      </c>
      <c r="Z14" s="110">
        <f>'C3LPG'!AI2</f>
        <v>18.367423452265989</v>
      </c>
      <c r="AA14" s="110">
        <f>'C3LPG'!AJ2</f>
        <v>19.850883797438392</v>
      </c>
      <c r="AB14" s="110">
        <f>'C3LPG'!AK2</f>
        <v>19.915016662610775</v>
      </c>
    </row>
    <row r="15" spans="1:28" s="95" customFormat="1">
      <c r="A15" s="96" t="s">
        <v>48</v>
      </c>
      <c r="B15" s="97"/>
      <c r="C15" s="111"/>
      <c r="D15" s="111"/>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row>
    <row r="16" spans="1:28" s="95" customFormat="1">
      <c r="A16" s="99" t="s">
        <v>36</v>
      </c>
      <c r="B16" s="113" t="s">
        <v>1</v>
      </c>
      <c r="C16" s="114">
        <f>+C17+C18</f>
        <v>223.30567744999996</v>
      </c>
      <c r="D16" s="114">
        <f>+D17+D18</f>
        <v>200.24329082</v>
      </c>
      <c r="E16" s="114">
        <f t="shared" ref="E16:AB16" si="3">+E17+E18</f>
        <v>192.49545953000001</v>
      </c>
      <c r="F16" s="114">
        <f t="shared" si="3"/>
        <v>165.27</v>
      </c>
      <c r="G16" s="114">
        <f t="shared" si="3"/>
        <v>146.49</v>
      </c>
      <c r="H16" s="114">
        <f t="shared" si="3"/>
        <v>143.36000000000001</v>
      </c>
      <c r="I16" s="114">
        <f t="shared" si="3"/>
        <v>157.91999999999999</v>
      </c>
      <c r="J16" s="114">
        <f t="shared" si="3"/>
        <v>192.73</v>
      </c>
      <c r="K16" s="114">
        <f t="shared" si="3"/>
        <v>201.28</v>
      </c>
      <c r="L16" s="114">
        <f t="shared" si="3"/>
        <v>182.34</v>
      </c>
      <c r="M16" s="114">
        <f t="shared" si="3"/>
        <v>184.81</v>
      </c>
      <c r="N16" s="114">
        <f t="shared" si="3"/>
        <v>203.20240770999999</v>
      </c>
      <c r="O16" s="114">
        <f t="shared" si="3"/>
        <v>193.09700000000001</v>
      </c>
      <c r="P16" s="114">
        <f t="shared" si="3"/>
        <v>168.63</v>
      </c>
      <c r="Q16" s="114">
        <f t="shared" si="3"/>
        <v>194.62555589999999</v>
      </c>
      <c r="R16" s="114">
        <f t="shared" si="3"/>
        <v>179.00442809999998</v>
      </c>
      <c r="S16" s="114">
        <f t="shared" si="3"/>
        <v>227.26420607</v>
      </c>
      <c r="T16" s="114">
        <f t="shared" si="3"/>
        <v>232.7417078</v>
      </c>
      <c r="U16" s="114">
        <f t="shared" si="3"/>
        <v>231.83335405</v>
      </c>
      <c r="V16" s="114">
        <f t="shared" si="3"/>
        <v>285.10259741000004</v>
      </c>
      <c r="W16" s="114">
        <f t="shared" si="3"/>
        <v>195.40864504000001</v>
      </c>
      <c r="X16" s="114">
        <f t="shared" si="3"/>
        <v>215.37345454000001</v>
      </c>
      <c r="Y16" s="114">
        <f t="shared" si="3"/>
        <v>216.41817172999998</v>
      </c>
      <c r="Z16" s="114">
        <f t="shared" si="3"/>
        <v>179.62678417000001</v>
      </c>
      <c r="AA16" s="114">
        <f t="shared" si="3"/>
        <v>210.38178730999999</v>
      </c>
      <c r="AB16" s="114">
        <f t="shared" si="3"/>
        <v>202.46011479000001</v>
      </c>
    </row>
    <row r="17" spans="1:32" s="95" customFormat="1">
      <c r="A17" s="102" t="s">
        <v>49</v>
      </c>
      <c r="B17" s="103" t="s">
        <v>1</v>
      </c>
      <c r="C17" s="105">
        <f>+C11</f>
        <v>191.20567744999997</v>
      </c>
      <c r="D17" s="105">
        <f t="shared" ref="D17:AB17" si="4">+D11</f>
        <v>181.64329082</v>
      </c>
      <c r="E17" s="105">
        <f t="shared" si="4"/>
        <v>175.59545953</v>
      </c>
      <c r="F17" s="105">
        <f t="shared" si="4"/>
        <v>161.47</v>
      </c>
      <c r="G17" s="105">
        <f t="shared" si="4"/>
        <v>132.49</v>
      </c>
      <c r="H17" s="105">
        <f t="shared" si="4"/>
        <v>133.46</v>
      </c>
      <c r="I17" s="105">
        <f t="shared" si="4"/>
        <v>141.44</v>
      </c>
      <c r="J17" s="105">
        <f t="shared" si="4"/>
        <v>156.22999999999999</v>
      </c>
      <c r="K17" s="105">
        <f t="shared" si="4"/>
        <v>160.78</v>
      </c>
      <c r="L17" s="105">
        <f t="shared" si="4"/>
        <v>158.84</v>
      </c>
      <c r="M17" s="105">
        <f t="shared" si="4"/>
        <v>166.91</v>
      </c>
      <c r="N17" s="105">
        <f t="shared" si="4"/>
        <v>160.70240770999999</v>
      </c>
      <c r="O17" s="105">
        <f t="shared" si="4"/>
        <v>162.72</v>
      </c>
      <c r="P17" s="105">
        <f t="shared" si="4"/>
        <v>156.13</v>
      </c>
      <c r="Q17" s="105">
        <f t="shared" si="4"/>
        <v>149.12555589999999</v>
      </c>
      <c r="R17" s="105">
        <f t="shared" si="4"/>
        <v>156.50442809999998</v>
      </c>
      <c r="S17" s="105">
        <f t="shared" si="4"/>
        <v>153.76420607</v>
      </c>
      <c r="T17" s="105">
        <f t="shared" si="4"/>
        <v>160.2417078</v>
      </c>
      <c r="U17" s="105">
        <f t="shared" si="4"/>
        <v>157.33335405</v>
      </c>
      <c r="V17" s="105">
        <f t="shared" si="4"/>
        <v>169.60259741000002</v>
      </c>
      <c r="W17" s="105">
        <f t="shared" si="4"/>
        <v>166.90864504000001</v>
      </c>
      <c r="X17" s="105">
        <f t="shared" si="4"/>
        <v>161.87345454000001</v>
      </c>
      <c r="Y17" s="105">
        <f t="shared" si="4"/>
        <v>162.91817172999998</v>
      </c>
      <c r="Z17" s="105">
        <f t="shared" si="4"/>
        <v>163.12678417000001</v>
      </c>
      <c r="AA17" s="105">
        <f t="shared" si="4"/>
        <v>164.88178730999999</v>
      </c>
      <c r="AB17" s="105">
        <f t="shared" si="4"/>
        <v>162.96011479000001</v>
      </c>
    </row>
    <row r="18" spans="1:32" s="95" customFormat="1">
      <c r="A18" s="102" t="s">
        <v>39</v>
      </c>
      <c r="B18" s="103" t="s">
        <v>1</v>
      </c>
      <c r="C18" s="105">
        <f>+C19+C20</f>
        <v>32.1</v>
      </c>
      <c r="D18" s="105">
        <f t="shared" ref="D18:AB18" si="5">+D19+D20</f>
        <v>18.600000000000001</v>
      </c>
      <c r="E18" s="105">
        <f t="shared" si="5"/>
        <v>16.899999999999999</v>
      </c>
      <c r="F18" s="105">
        <f t="shared" si="5"/>
        <v>3.8</v>
      </c>
      <c r="G18" s="105">
        <f t="shared" si="5"/>
        <v>14</v>
      </c>
      <c r="H18" s="105">
        <f t="shared" si="5"/>
        <v>9.9</v>
      </c>
      <c r="I18" s="105">
        <f t="shared" si="5"/>
        <v>16.48</v>
      </c>
      <c r="J18" s="105">
        <f t="shared" si="5"/>
        <v>36.5</v>
      </c>
      <c r="K18" s="105">
        <f t="shared" si="5"/>
        <v>40.5</v>
      </c>
      <c r="L18" s="105">
        <f t="shared" si="5"/>
        <v>23.5</v>
      </c>
      <c r="M18" s="105">
        <f t="shared" si="5"/>
        <v>17.899999999999999</v>
      </c>
      <c r="N18" s="105">
        <f t="shared" si="5"/>
        <v>42.5</v>
      </c>
      <c r="O18" s="105">
        <f t="shared" si="5"/>
        <v>30.376999999999999</v>
      </c>
      <c r="P18" s="105">
        <f t="shared" si="5"/>
        <v>12.5</v>
      </c>
      <c r="Q18" s="105">
        <f t="shared" si="5"/>
        <v>45.5</v>
      </c>
      <c r="R18" s="105">
        <f t="shared" si="5"/>
        <v>22.5</v>
      </c>
      <c r="S18" s="105">
        <f t="shared" si="5"/>
        <v>73.5</v>
      </c>
      <c r="T18" s="105">
        <f t="shared" si="5"/>
        <v>72.5</v>
      </c>
      <c r="U18" s="105">
        <f t="shared" si="5"/>
        <v>74.5</v>
      </c>
      <c r="V18" s="105">
        <f t="shared" si="5"/>
        <v>115.5</v>
      </c>
      <c r="W18" s="105">
        <f t="shared" si="5"/>
        <v>28.5</v>
      </c>
      <c r="X18" s="105">
        <f t="shared" si="5"/>
        <v>53.5</v>
      </c>
      <c r="Y18" s="105">
        <f t="shared" si="5"/>
        <v>53.5</v>
      </c>
      <c r="Z18" s="105">
        <f t="shared" si="5"/>
        <v>16.5</v>
      </c>
      <c r="AA18" s="105">
        <f t="shared" si="5"/>
        <v>45.5</v>
      </c>
      <c r="AB18" s="105">
        <f t="shared" si="5"/>
        <v>39.5</v>
      </c>
    </row>
    <row r="19" spans="1:32" s="95" customFormat="1">
      <c r="A19" s="106" t="s">
        <v>50</v>
      </c>
      <c r="B19" s="107" t="s">
        <v>1</v>
      </c>
      <c r="C19" s="115">
        <f t="shared" ref="C19:AB19" si="6">C6</f>
        <v>14.1</v>
      </c>
      <c r="D19" s="115">
        <f t="shared" si="6"/>
        <v>0</v>
      </c>
      <c r="E19" s="115">
        <f t="shared" si="6"/>
        <v>3.4</v>
      </c>
      <c r="F19" s="115">
        <f t="shared" si="6"/>
        <v>0</v>
      </c>
      <c r="G19" s="115">
        <f t="shared" si="6"/>
        <v>0</v>
      </c>
      <c r="H19" s="115">
        <f t="shared" si="6"/>
        <v>2</v>
      </c>
      <c r="I19" s="115">
        <f t="shared" si="6"/>
        <v>3.58</v>
      </c>
      <c r="J19" s="115">
        <f t="shared" si="6"/>
        <v>23</v>
      </c>
      <c r="K19" s="115">
        <f t="shared" si="6"/>
        <v>27</v>
      </c>
      <c r="L19" s="115">
        <f t="shared" si="6"/>
        <v>13</v>
      </c>
      <c r="M19" s="115">
        <f t="shared" si="6"/>
        <v>7</v>
      </c>
      <c r="N19" s="115">
        <f t="shared" si="6"/>
        <v>32</v>
      </c>
      <c r="O19" s="115">
        <f t="shared" si="6"/>
        <v>20.677</v>
      </c>
      <c r="P19" s="115">
        <f t="shared" si="6"/>
        <v>6</v>
      </c>
      <c r="Q19" s="115">
        <f t="shared" si="6"/>
        <v>39</v>
      </c>
      <c r="R19" s="115">
        <f t="shared" si="6"/>
        <v>16</v>
      </c>
      <c r="S19" s="115">
        <f t="shared" si="6"/>
        <v>67</v>
      </c>
      <c r="T19" s="115">
        <f t="shared" si="6"/>
        <v>66</v>
      </c>
      <c r="U19" s="115">
        <f t="shared" si="6"/>
        <v>68</v>
      </c>
      <c r="V19" s="115">
        <f t="shared" si="6"/>
        <v>109</v>
      </c>
      <c r="W19" s="115">
        <f t="shared" si="6"/>
        <v>22</v>
      </c>
      <c r="X19" s="115">
        <f t="shared" si="6"/>
        <v>47</v>
      </c>
      <c r="Y19" s="115">
        <f t="shared" si="6"/>
        <v>47</v>
      </c>
      <c r="Z19" s="115">
        <f t="shared" si="6"/>
        <v>10</v>
      </c>
      <c r="AA19" s="115">
        <f t="shared" si="6"/>
        <v>39</v>
      </c>
      <c r="AB19" s="115">
        <f t="shared" si="6"/>
        <v>33</v>
      </c>
    </row>
    <row r="20" spans="1:32" s="95" customFormat="1">
      <c r="A20" s="106" t="s">
        <v>51</v>
      </c>
      <c r="B20" s="107" t="s">
        <v>1</v>
      </c>
      <c r="C20" s="105">
        <f>+C24+C25+C26</f>
        <v>18</v>
      </c>
      <c r="D20" s="105">
        <f>+D24+D25+D26</f>
        <v>18.600000000000001</v>
      </c>
      <c r="E20" s="105">
        <f t="shared" ref="E20:AB20" si="7">+E24+E25+E26</f>
        <v>13.5</v>
      </c>
      <c r="F20" s="105">
        <f t="shared" si="7"/>
        <v>3.8</v>
      </c>
      <c r="G20" s="105">
        <f t="shared" si="7"/>
        <v>14</v>
      </c>
      <c r="H20" s="105">
        <f t="shared" si="7"/>
        <v>7.9</v>
      </c>
      <c r="I20" s="105">
        <f t="shared" si="7"/>
        <v>12.9</v>
      </c>
      <c r="J20" s="105">
        <f t="shared" si="7"/>
        <v>13.5</v>
      </c>
      <c r="K20" s="105">
        <f t="shared" si="7"/>
        <v>13.5</v>
      </c>
      <c r="L20" s="105">
        <f t="shared" si="7"/>
        <v>10.5</v>
      </c>
      <c r="M20" s="105">
        <f t="shared" si="7"/>
        <v>10.9</v>
      </c>
      <c r="N20" s="105">
        <f t="shared" si="7"/>
        <v>10.5</v>
      </c>
      <c r="O20" s="105">
        <f t="shared" si="7"/>
        <v>9.6999999999999993</v>
      </c>
      <c r="P20" s="105">
        <f t="shared" si="7"/>
        <v>6.5</v>
      </c>
      <c r="Q20" s="105">
        <f t="shared" si="7"/>
        <v>6.5</v>
      </c>
      <c r="R20" s="105">
        <f t="shared" si="7"/>
        <v>6.5</v>
      </c>
      <c r="S20" s="105">
        <f t="shared" si="7"/>
        <v>6.5</v>
      </c>
      <c r="T20" s="105">
        <f t="shared" si="7"/>
        <v>6.5</v>
      </c>
      <c r="U20" s="105">
        <f t="shared" si="7"/>
        <v>6.5</v>
      </c>
      <c r="V20" s="105">
        <f t="shared" si="7"/>
        <v>6.5</v>
      </c>
      <c r="W20" s="105">
        <f t="shared" si="7"/>
        <v>6.5</v>
      </c>
      <c r="X20" s="105">
        <f t="shared" si="7"/>
        <v>6.5</v>
      </c>
      <c r="Y20" s="105">
        <f t="shared" si="7"/>
        <v>6.5</v>
      </c>
      <c r="Z20" s="105">
        <f t="shared" si="7"/>
        <v>6.5</v>
      </c>
      <c r="AA20" s="105">
        <f t="shared" si="7"/>
        <v>6.5</v>
      </c>
      <c r="AB20" s="105">
        <f t="shared" si="7"/>
        <v>6.5</v>
      </c>
    </row>
    <row r="21" spans="1:32" s="95" customFormat="1">
      <c r="A21" s="116" t="s">
        <v>40</v>
      </c>
      <c r="B21" s="117" t="s">
        <v>1</v>
      </c>
      <c r="C21" s="118">
        <f>+C22+C23</f>
        <v>209.20567744999997</v>
      </c>
      <c r="D21" s="118">
        <f>+D22+D23</f>
        <v>200.24329082</v>
      </c>
      <c r="E21" s="118">
        <f t="shared" ref="E21:AB21" si="8">+E22+E23</f>
        <v>189.09545953</v>
      </c>
      <c r="F21" s="118">
        <f t="shared" si="8"/>
        <v>165.27</v>
      </c>
      <c r="G21" s="118">
        <f t="shared" si="8"/>
        <v>146.49</v>
      </c>
      <c r="H21" s="118">
        <f t="shared" si="8"/>
        <v>141.36000000000001</v>
      </c>
      <c r="I21" s="118">
        <f t="shared" si="8"/>
        <v>154.34</v>
      </c>
      <c r="J21" s="118">
        <f t="shared" si="8"/>
        <v>169.73</v>
      </c>
      <c r="K21" s="118">
        <f t="shared" si="8"/>
        <v>174.28</v>
      </c>
      <c r="L21" s="118">
        <f t="shared" si="8"/>
        <v>169.34</v>
      </c>
      <c r="M21" s="118">
        <f t="shared" si="8"/>
        <v>177.81</v>
      </c>
      <c r="N21" s="118">
        <f t="shared" si="8"/>
        <v>171.20240770999999</v>
      </c>
      <c r="O21" s="118">
        <f t="shared" si="8"/>
        <v>172.42</v>
      </c>
      <c r="P21" s="118">
        <f t="shared" si="8"/>
        <v>162.63</v>
      </c>
      <c r="Q21" s="118">
        <f t="shared" si="8"/>
        <v>155.62555589999999</v>
      </c>
      <c r="R21" s="118">
        <f t="shared" si="8"/>
        <v>163.00442809999998</v>
      </c>
      <c r="S21" s="118">
        <f t="shared" si="8"/>
        <v>160.26420607</v>
      </c>
      <c r="T21" s="118">
        <f t="shared" si="8"/>
        <v>166.7417078</v>
      </c>
      <c r="U21" s="118">
        <f t="shared" si="8"/>
        <v>163.83335405</v>
      </c>
      <c r="V21" s="118">
        <f t="shared" si="8"/>
        <v>176.10259741000002</v>
      </c>
      <c r="W21" s="118">
        <f t="shared" si="8"/>
        <v>173.40864504000001</v>
      </c>
      <c r="X21" s="118">
        <f t="shared" si="8"/>
        <v>168.37345454000001</v>
      </c>
      <c r="Y21" s="118">
        <f t="shared" si="8"/>
        <v>169.41817172999998</v>
      </c>
      <c r="Z21" s="118">
        <f t="shared" si="8"/>
        <v>169.62678417000001</v>
      </c>
      <c r="AA21" s="118">
        <f t="shared" si="8"/>
        <v>171.38178730999999</v>
      </c>
      <c r="AB21" s="118">
        <f t="shared" si="8"/>
        <v>169.46011479000001</v>
      </c>
    </row>
    <row r="22" spans="1:32" s="95" customFormat="1">
      <c r="A22" s="102" t="s">
        <v>52</v>
      </c>
      <c r="B22" s="103" t="s">
        <v>1</v>
      </c>
      <c r="C22" s="105">
        <f>C11</f>
        <v>191.20567744999997</v>
      </c>
      <c r="D22" s="105">
        <f t="shared" ref="D22:AB22" si="9">D11</f>
        <v>181.64329082</v>
      </c>
      <c r="E22" s="105">
        <f t="shared" si="9"/>
        <v>175.59545953</v>
      </c>
      <c r="F22" s="105">
        <f t="shared" si="9"/>
        <v>161.47</v>
      </c>
      <c r="G22" s="105">
        <f t="shared" si="9"/>
        <v>132.49</v>
      </c>
      <c r="H22" s="105">
        <f t="shared" si="9"/>
        <v>133.46</v>
      </c>
      <c r="I22" s="105">
        <f t="shared" si="9"/>
        <v>141.44</v>
      </c>
      <c r="J22" s="105">
        <f t="shared" si="9"/>
        <v>156.22999999999999</v>
      </c>
      <c r="K22" s="105">
        <f t="shared" si="9"/>
        <v>160.78</v>
      </c>
      <c r="L22" s="105">
        <f t="shared" si="9"/>
        <v>158.84</v>
      </c>
      <c r="M22" s="105">
        <f t="shared" si="9"/>
        <v>166.91</v>
      </c>
      <c r="N22" s="105">
        <f t="shared" si="9"/>
        <v>160.70240770999999</v>
      </c>
      <c r="O22" s="105">
        <f t="shared" si="9"/>
        <v>162.72</v>
      </c>
      <c r="P22" s="105">
        <f t="shared" si="9"/>
        <v>156.13</v>
      </c>
      <c r="Q22" s="105">
        <f t="shared" si="9"/>
        <v>149.12555589999999</v>
      </c>
      <c r="R22" s="105">
        <f t="shared" si="9"/>
        <v>156.50442809999998</v>
      </c>
      <c r="S22" s="105">
        <f t="shared" si="9"/>
        <v>153.76420607</v>
      </c>
      <c r="T22" s="105">
        <f t="shared" si="9"/>
        <v>160.2417078</v>
      </c>
      <c r="U22" s="105">
        <f t="shared" si="9"/>
        <v>157.33335405</v>
      </c>
      <c r="V22" s="105">
        <f t="shared" si="9"/>
        <v>169.60259741000002</v>
      </c>
      <c r="W22" s="105">
        <f t="shared" si="9"/>
        <v>166.90864504000001</v>
      </c>
      <c r="X22" s="105">
        <f t="shared" si="9"/>
        <v>161.87345454000001</v>
      </c>
      <c r="Y22" s="105">
        <f t="shared" si="9"/>
        <v>162.91817172999998</v>
      </c>
      <c r="Z22" s="105">
        <f t="shared" si="9"/>
        <v>163.12678417000001</v>
      </c>
      <c r="AA22" s="105">
        <f t="shared" si="9"/>
        <v>164.88178730999999</v>
      </c>
      <c r="AB22" s="105">
        <f t="shared" si="9"/>
        <v>162.96011479000001</v>
      </c>
    </row>
    <row r="23" spans="1:32" s="95" customFormat="1">
      <c r="A23" s="102" t="s">
        <v>53</v>
      </c>
      <c r="B23" s="103" t="s">
        <v>1</v>
      </c>
      <c r="C23" s="105">
        <f>+C24+C25+C26</f>
        <v>18</v>
      </c>
      <c r="D23" s="105">
        <f>+D24+D25+D26</f>
        <v>18.600000000000001</v>
      </c>
      <c r="E23" s="105">
        <f t="shared" ref="E23:AB23" si="10">+E24+E25+E26</f>
        <v>13.5</v>
      </c>
      <c r="F23" s="105">
        <f t="shared" si="10"/>
        <v>3.8</v>
      </c>
      <c r="G23" s="105">
        <f t="shared" si="10"/>
        <v>14</v>
      </c>
      <c r="H23" s="105">
        <f t="shared" si="10"/>
        <v>7.9</v>
      </c>
      <c r="I23" s="105">
        <f t="shared" si="10"/>
        <v>12.9</v>
      </c>
      <c r="J23" s="105">
        <f t="shared" si="10"/>
        <v>13.5</v>
      </c>
      <c r="K23" s="105">
        <f t="shared" si="10"/>
        <v>13.5</v>
      </c>
      <c r="L23" s="105">
        <f t="shared" si="10"/>
        <v>10.5</v>
      </c>
      <c r="M23" s="105">
        <f t="shared" si="10"/>
        <v>10.9</v>
      </c>
      <c r="N23" s="105">
        <f t="shared" si="10"/>
        <v>10.5</v>
      </c>
      <c r="O23" s="105">
        <f t="shared" si="10"/>
        <v>9.6999999999999993</v>
      </c>
      <c r="P23" s="105">
        <f t="shared" si="10"/>
        <v>6.5</v>
      </c>
      <c r="Q23" s="105">
        <f t="shared" si="10"/>
        <v>6.5</v>
      </c>
      <c r="R23" s="105">
        <f t="shared" si="10"/>
        <v>6.5</v>
      </c>
      <c r="S23" s="105">
        <f t="shared" si="10"/>
        <v>6.5</v>
      </c>
      <c r="T23" s="105">
        <f t="shared" si="10"/>
        <v>6.5</v>
      </c>
      <c r="U23" s="105">
        <f t="shared" si="10"/>
        <v>6.5</v>
      </c>
      <c r="V23" s="105">
        <f t="shared" si="10"/>
        <v>6.5</v>
      </c>
      <c r="W23" s="105">
        <f t="shared" si="10"/>
        <v>6.5</v>
      </c>
      <c r="X23" s="105">
        <f t="shared" si="10"/>
        <v>6.5</v>
      </c>
      <c r="Y23" s="105">
        <f t="shared" si="10"/>
        <v>6.5</v>
      </c>
      <c r="Z23" s="105">
        <f t="shared" si="10"/>
        <v>6.5</v>
      </c>
      <c r="AA23" s="105">
        <f t="shared" si="10"/>
        <v>6.5</v>
      </c>
      <c r="AB23" s="105">
        <f t="shared" si="10"/>
        <v>6.5</v>
      </c>
    </row>
    <row r="24" spans="1:32" s="95" customFormat="1">
      <c r="A24" s="106" t="s">
        <v>54</v>
      </c>
      <c r="B24" s="107" t="s">
        <v>1</v>
      </c>
      <c r="C24" s="104">
        <v>15</v>
      </c>
      <c r="D24" s="104">
        <v>15</v>
      </c>
      <c r="E24" s="104">
        <v>11</v>
      </c>
      <c r="F24" s="119">
        <v>1.8</v>
      </c>
      <c r="G24" s="104">
        <v>11</v>
      </c>
      <c r="H24" s="104">
        <v>6</v>
      </c>
      <c r="I24" s="104">
        <v>11</v>
      </c>
      <c r="J24" s="104">
        <v>11</v>
      </c>
      <c r="K24" s="104">
        <v>11</v>
      </c>
      <c r="L24" s="119">
        <v>9.5</v>
      </c>
      <c r="M24" s="119">
        <v>9.5</v>
      </c>
      <c r="N24" s="119">
        <v>9.5</v>
      </c>
      <c r="O24" s="119">
        <v>8.5</v>
      </c>
      <c r="P24" s="119">
        <v>5</v>
      </c>
      <c r="Q24" s="119">
        <v>5</v>
      </c>
      <c r="R24" s="119">
        <v>5</v>
      </c>
      <c r="S24" s="119">
        <v>5</v>
      </c>
      <c r="T24" s="119">
        <v>5</v>
      </c>
      <c r="U24" s="119">
        <v>5</v>
      </c>
      <c r="V24" s="119">
        <v>5</v>
      </c>
      <c r="W24" s="119">
        <v>5</v>
      </c>
      <c r="X24" s="119">
        <v>5</v>
      </c>
      <c r="Y24" s="119">
        <v>5</v>
      </c>
      <c r="Z24" s="119">
        <v>5</v>
      </c>
      <c r="AA24" s="119">
        <v>5</v>
      </c>
      <c r="AB24" s="119">
        <v>5</v>
      </c>
    </row>
    <row r="25" spans="1:32" s="95" customFormat="1">
      <c r="A25" s="106" t="s">
        <v>55</v>
      </c>
      <c r="B25" s="107" t="s">
        <v>1</v>
      </c>
      <c r="C25" s="104"/>
      <c r="D25" s="104">
        <v>0.6</v>
      </c>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row>
    <row r="26" spans="1:32" s="95" customFormat="1">
      <c r="A26" s="106" t="s">
        <v>56</v>
      </c>
      <c r="B26" s="107" t="s">
        <v>1</v>
      </c>
      <c r="C26" s="104">
        <v>3</v>
      </c>
      <c r="D26" s="104">
        <v>3</v>
      </c>
      <c r="E26" s="104">
        <v>2.5</v>
      </c>
      <c r="F26" s="104">
        <v>2</v>
      </c>
      <c r="G26" s="104">
        <v>3</v>
      </c>
      <c r="H26" s="104">
        <v>1.9</v>
      </c>
      <c r="I26" s="119">
        <v>1.9</v>
      </c>
      <c r="J26" s="119">
        <v>2.5</v>
      </c>
      <c r="K26" s="119">
        <v>2.5</v>
      </c>
      <c r="L26" s="119">
        <v>1</v>
      </c>
      <c r="M26" s="119">
        <v>1.4</v>
      </c>
      <c r="N26" s="119">
        <v>1</v>
      </c>
      <c r="O26" s="119">
        <v>1.2</v>
      </c>
      <c r="P26" s="119">
        <v>1.5</v>
      </c>
      <c r="Q26" s="119">
        <v>1.5</v>
      </c>
      <c r="R26" s="119">
        <v>1.5</v>
      </c>
      <c r="S26" s="119">
        <v>1.5</v>
      </c>
      <c r="T26" s="119">
        <v>1.5</v>
      </c>
      <c r="U26" s="119">
        <v>1.5</v>
      </c>
      <c r="V26" s="119">
        <v>1.5</v>
      </c>
      <c r="W26" s="119">
        <v>1.5</v>
      </c>
      <c r="X26" s="119">
        <v>1.5</v>
      </c>
      <c r="Y26" s="119">
        <v>1.5</v>
      </c>
      <c r="Z26" s="119">
        <v>1.5</v>
      </c>
      <c r="AA26" s="119">
        <v>1.5</v>
      </c>
      <c r="AB26" s="119">
        <v>1.5</v>
      </c>
    </row>
    <row r="27" spans="1:32" s="95" customFormat="1">
      <c r="A27" s="108" t="s">
        <v>57</v>
      </c>
      <c r="B27" s="109" t="s">
        <v>1</v>
      </c>
      <c r="C27" s="120">
        <v>4.3630100000000001</v>
      </c>
      <c r="D27" s="120">
        <v>4.8184300000000002</v>
      </c>
      <c r="E27" s="120">
        <v>4.7113100000000001</v>
      </c>
      <c r="F27" s="120">
        <v>4.8537400000000002</v>
      </c>
      <c r="G27" s="120">
        <v>4.01729</v>
      </c>
      <c r="H27" s="120">
        <v>4.1034899999999999</v>
      </c>
      <c r="I27" s="120">
        <v>3.9801899999999999</v>
      </c>
      <c r="J27" s="120">
        <v>3.1403699999999999</v>
      </c>
      <c r="K27" s="120">
        <v>4.1078799999999998</v>
      </c>
      <c r="L27" s="120">
        <v>4.1213299999999995</v>
      </c>
      <c r="M27" s="120">
        <v>4.4393100000000008</v>
      </c>
      <c r="N27" s="120">
        <v>4.7826300000000002</v>
      </c>
      <c r="O27" s="120">
        <v>4.9286300000000001</v>
      </c>
      <c r="P27" s="120">
        <v>4.9282299999999992</v>
      </c>
      <c r="Q27" s="120">
        <f t="shared" ref="Q27:Y29" si="11">P27</f>
        <v>4.9282299999999992</v>
      </c>
      <c r="R27" s="120">
        <f t="shared" si="11"/>
        <v>4.9282299999999992</v>
      </c>
      <c r="S27" s="120">
        <f t="shared" si="11"/>
        <v>4.9282299999999992</v>
      </c>
      <c r="T27" s="120">
        <f t="shared" si="11"/>
        <v>4.9282299999999992</v>
      </c>
      <c r="U27" s="120">
        <f t="shared" si="11"/>
        <v>4.9282299999999992</v>
      </c>
      <c r="V27" s="120">
        <f t="shared" si="11"/>
        <v>4.9282299999999992</v>
      </c>
      <c r="W27" s="120">
        <f t="shared" si="11"/>
        <v>4.9282299999999992</v>
      </c>
      <c r="X27" s="120">
        <f t="shared" si="11"/>
        <v>4.9282299999999992</v>
      </c>
      <c r="Y27" s="120">
        <f t="shared" si="11"/>
        <v>4.9282299999999992</v>
      </c>
      <c r="Z27" s="120">
        <f>Y27</f>
        <v>4.9282299999999992</v>
      </c>
      <c r="AA27" s="120">
        <f t="shared" ref="AA27:AB29" si="12">Z27</f>
        <v>4.9282299999999992</v>
      </c>
      <c r="AB27" s="120">
        <f t="shared" si="12"/>
        <v>4.9282299999999992</v>
      </c>
      <c r="AE27" s="121">
        <v>4928.2299999999996</v>
      </c>
      <c r="AF27" s="122">
        <f t="shared" ref="AF27:AF32" si="13">AE27/1000</f>
        <v>4.9282299999999992</v>
      </c>
    </row>
    <row r="28" spans="1:32" s="95" customFormat="1">
      <c r="A28" s="108" t="s">
        <v>58</v>
      </c>
      <c r="B28" s="109" t="s">
        <v>1</v>
      </c>
      <c r="C28" s="120">
        <v>12.485040000000001</v>
      </c>
      <c r="D28" s="120">
        <v>9.6427199999999988</v>
      </c>
      <c r="E28" s="120">
        <v>5.1455200000000003</v>
      </c>
      <c r="F28" s="120">
        <v>8.9106900000000007</v>
      </c>
      <c r="G28" s="120">
        <v>10.6479</v>
      </c>
      <c r="H28" s="120">
        <v>11.268190000000001</v>
      </c>
      <c r="I28" s="120">
        <v>9.0518400000000003</v>
      </c>
      <c r="J28" s="120">
        <v>11.33426</v>
      </c>
      <c r="K28" s="120">
        <v>7.3439199999999998</v>
      </c>
      <c r="L28" s="120">
        <v>7.4108900000000002</v>
      </c>
      <c r="M28" s="120">
        <v>6.3707500000000001</v>
      </c>
      <c r="N28" s="120">
        <v>7.9856099999999994</v>
      </c>
      <c r="O28" s="120">
        <v>8.8895</v>
      </c>
      <c r="P28" s="120">
        <v>9.9887499999999996</v>
      </c>
      <c r="Q28" s="120">
        <f t="shared" si="11"/>
        <v>9.9887499999999996</v>
      </c>
      <c r="R28" s="120">
        <f t="shared" si="11"/>
        <v>9.9887499999999996</v>
      </c>
      <c r="S28" s="120">
        <f t="shared" si="11"/>
        <v>9.9887499999999996</v>
      </c>
      <c r="T28" s="120">
        <f t="shared" si="11"/>
        <v>9.9887499999999996</v>
      </c>
      <c r="U28" s="120">
        <f t="shared" si="11"/>
        <v>9.9887499999999996</v>
      </c>
      <c r="V28" s="120">
        <f t="shared" si="11"/>
        <v>9.9887499999999996</v>
      </c>
      <c r="W28" s="120">
        <f t="shared" si="11"/>
        <v>9.9887499999999996</v>
      </c>
      <c r="X28" s="120">
        <f t="shared" si="11"/>
        <v>9.9887499999999996</v>
      </c>
      <c r="Y28" s="120">
        <f t="shared" si="11"/>
        <v>9.9887499999999996</v>
      </c>
      <c r="Z28" s="120">
        <f>Y28</f>
        <v>9.9887499999999996</v>
      </c>
      <c r="AA28" s="120">
        <f t="shared" si="12"/>
        <v>9.9887499999999996</v>
      </c>
      <c r="AB28" s="120">
        <f t="shared" si="12"/>
        <v>9.9887499999999996</v>
      </c>
      <c r="AE28" s="121">
        <v>9988.75</v>
      </c>
      <c r="AF28" s="122">
        <f t="shared" si="13"/>
        <v>9.9887499999999996</v>
      </c>
    </row>
    <row r="29" spans="1:32" s="95" customFormat="1">
      <c r="A29" s="108" t="s">
        <v>59</v>
      </c>
      <c r="B29" s="109" t="s">
        <v>1</v>
      </c>
      <c r="C29" s="120">
        <v>1.74675</v>
      </c>
      <c r="D29" s="120">
        <v>1.7093</v>
      </c>
      <c r="E29" s="120">
        <v>1.74495</v>
      </c>
      <c r="F29" s="120">
        <v>1.73674</v>
      </c>
      <c r="G29" s="120">
        <v>1.7336099999999999</v>
      </c>
      <c r="H29" s="120">
        <v>1.7284000000000002</v>
      </c>
      <c r="I29" s="120">
        <v>1.6542000000000001</v>
      </c>
      <c r="J29" s="120">
        <v>1.5305799999999998</v>
      </c>
      <c r="K29" s="120">
        <v>1.2746300000000002</v>
      </c>
      <c r="L29" s="120">
        <v>8.58765</v>
      </c>
      <c r="M29" s="120">
        <v>8.5851000000000006</v>
      </c>
      <c r="N29" s="120">
        <v>6.1211599999999997</v>
      </c>
      <c r="O29" s="120">
        <v>6.1287600000000007</v>
      </c>
      <c r="P29" s="120">
        <v>6.1342299999999996</v>
      </c>
      <c r="Q29" s="120">
        <f t="shared" si="11"/>
        <v>6.1342299999999996</v>
      </c>
      <c r="R29" s="120">
        <f t="shared" si="11"/>
        <v>6.1342299999999996</v>
      </c>
      <c r="S29" s="120">
        <f t="shared" si="11"/>
        <v>6.1342299999999996</v>
      </c>
      <c r="T29" s="120">
        <f t="shared" si="11"/>
        <v>6.1342299999999996</v>
      </c>
      <c r="U29" s="120">
        <f t="shared" si="11"/>
        <v>6.1342299999999996</v>
      </c>
      <c r="V29" s="120">
        <f t="shared" si="11"/>
        <v>6.1342299999999996</v>
      </c>
      <c r="W29" s="120">
        <f t="shared" si="11"/>
        <v>6.1342299999999996</v>
      </c>
      <c r="X29" s="120">
        <f t="shared" si="11"/>
        <v>6.1342299999999996</v>
      </c>
      <c r="Y29" s="120">
        <f t="shared" si="11"/>
        <v>6.1342299999999996</v>
      </c>
      <c r="Z29" s="120">
        <f>Y29</f>
        <v>6.1342299999999996</v>
      </c>
      <c r="AA29" s="120">
        <f t="shared" si="12"/>
        <v>6.1342299999999996</v>
      </c>
      <c r="AB29" s="120">
        <f t="shared" si="12"/>
        <v>6.1342299999999996</v>
      </c>
      <c r="AE29" s="121">
        <v>6134.23</v>
      </c>
      <c r="AF29" s="122">
        <f t="shared" si="13"/>
        <v>6.1342299999999996</v>
      </c>
    </row>
    <row r="30" spans="1:32" s="95" customFormat="1">
      <c r="A30" s="108" t="s">
        <v>60</v>
      </c>
      <c r="B30" s="109" t="s">
        <v>1</v>
      </c>
      <c r="C30" s="120">
        <v>2.8454800000000002</v>
      </c>
      <c r="D30" s="120">
        <v>2.8450900000000003</v>
      </c>
      <c r="E30" s="120">
        <v>0.10045999999999999</v>
      </c>
      <c r="F30" s="120">
        <v>9.6069999999999989E-2</v>
      </c>
      <c r="G30" s="120">
        <v>0</v>
      </c>
      <c r="H30" s="120">
        <v>0</v>
      </c>
      <c r="I30" s="120">
        <v>4.0060000000000005E-2</v>
      </c>
      <c r="J30" s="120">
        <v>0.12368000000000001</v>
      </c>
      <c r="K30" s="120">
        <v>0.87017999999999995</v>
      </c>
      <c r="L30" s="120">
        <v>5.4668900000000002</v>
      </c>
      <c r="M30" s="120">
        <v>5.4723000000000006</v>
      </c>
      <c r="N30" s="120">
        <v>5.4638800000000005</v>
      </c>
      <c r="O30" s="120">
        <v>5.4652799999999999</v>
      </c>
      <c r="P30" s="120">
        <v>5.4606000000000003</v>
      </c>
      <c r="Q30" s="120">
        <v>2.8450900000000003</v>
      </c>
      <c r="R30" s="120">
        <v>2.8450900000000003</v>
      </c>
      <c r="S30" s="120">
        <v>2.8450900000000003</v>
      </c>
      <c r="T30" s="120">
        <v>2.8450900000000003</v>
      </c>
      <c r="U30" s="120">
        <v>2.8450900000000003</v>
      </c>
      <c r="V30" s="120">
        <v>2.8450900000000003</v>
      </c>
      <c r="W30" s="120">
        <v>2.8450900000000003</v>
      </c>
      <c r="X30" s="120">
        <v>2.8450900000000003</v>
      </c>
      <c r="Y30" s="120">
        <v>2.8450900000000003</v>
      </c>
      <c r="Z30" s="120">
        <v>2.8450899999999999</v>
      </c>
      <c r="AA30" s="120">
        <v>2.8450899999999999</v>
      </c>
      <c r="AB30" s="120">
        <v>2.8450899999999999</v>
      </c>
      <c r="AE30" s="121">
        <v>5460.6</v>
      </c>
      <c r="AF30" s="122">
        <f t="shared" si="13"/>
        <v>5.4606000000000003</v>
      </c>
    </row>
    <row r="31" spans="1:32" s="95" customFormat="1">
      <c r="A31" s="108" t="s">
        <v>61</v>
      </c>
      <c r="B31" s="109" t="s">
        <v>1</v>
      </c>
      <c r="C31" s="120">
        <v>20.697040000000001</v>
      </c>
      <c r="D31" s="120">
        <v>13.78134</v>
      </c>
      <c r="E31" s="120">
        <v>7.7362799999999998</v>
      </c>
      <c r="F31" s="120">
        <v>4.9186300000000003</v>
      </c>
      <c r="G31" s="120">
        <v>13.089840000000001</v>
      </c>
      <c r="H31" s="120">
        <v>8.2105800000000002</v>
      </c>
      <c r="I31" s="120">
        <v>3.6063800000000001</v>
      </c>
      <c r="J31" s="120">
        <v>7.9523100000000007</v>
      </c>
      <c r="K31" s="120">
        <v>14.077450000000001</v>
      </c>
      <c r="L31" s="120">
        <v>20.986369999999997</v>
      </c>
      <c r="M31" s="120">
        <v>8.0376300000000001</v>
      </c>
      <c r="N31" s="120">
        <v>15.845660000000001</v>
      </c>
      <c r="O31" s="120">
        <v>4.99397</v>
      </c>
      <c r="P31" s="120">
        <v>18.02657</v>
      </c>
      <c r="Q31" s="120"/>
      <c r="R31" s="120"/>
      <c r="S31" s="120"/>
      <c r="T31" s="120"/>
      <c r="U31" s="120"/>
      <c r="V31" s="120"/>
      <c r="W31" s="120"/>
      <c r="X31" s="120"/>
      <c r="Y31" s="120"/>
      <c r="Z31" s="120"/>
      <c r="AA31" s="120"/>
      <c r="AB31" s="120"/>
      <c r="AE31" s="121">
        <v>18026.57</v>
      </c>
      <c r="AF31" s="122">
        <f t="shared" si="13"/>
        <v>18.02657</v>
      </c>
    </row>
    <row r="32" spans="1:32" s="95" customFormat="1">
      <c r="A32" s="108" t="s">
        <v>62</v>
      </c>
      <c r="B32" s="109" t="s">
        <v>1</v>
      </c>
      <c r="C32" s="120">
        <v>21.019130000000001</v>
      </c>
      <c r="D32" s="120">
        <v>15.081700000000001</v>
      </c>
      <c r="E32" s="120">
        <v>12.372590000000001</v>
      </c>
      <c r="F32" s="120">
        <v>9.5060699999999994</v>
      </c>
      <c r="G32" s="120">
        <v>18.52337</v>
      </c>
      <c r="H32" s="120">
        <v>10.627790000000001</v>
      </c>
      <c r="I32" s="120">
        <v>2.1879599999999999</v>
      </c>
      <c r="J32" s="120">
        <v>6.5095000000000001</v>
      </c>
      <c r="K32" s="120">
        <v>13.483370000000001</v>
      </c>
      <c r="L32" s="120">
        <v>14.53547</v>
      </c>
      <c r="M32" s="120">
        <v>12.915569999999999</v>
      </c>
      <c r="N32" s="120">
        <v>14.74959</v>
      </c>
      <c r="O32" s="120">
        <v>4.77651</v>
      </c>
      <c r="P32" s="120">
        <v>20.466369999999998</v>
      </c>
      <c r="Q32" s="120">
        <f>P31+P32+Q33-Q23-Q19</f>
        <v>14.992939999999997</v>
      </c>
      <c r="R32" s="120">
        <f>Q31+Q32+R33-R23-R19</f>
        <v>36.492939999999997</v>
      </c>
      <c r="S32" s="120">
        <f>R31+R32+S33-S23-S19</f>
        <v>6.9929400000000044</v>
      </c>
      <c r="T32" s="120">
        <f t="shared" ref="T32:Y32" si="14">S31+S32+T33-T23-T19</f>
        <v>22.492940000000004</v>
      </c>
      <c r="U32" s="120">
        <f t="shared" si="14"/>
        <v>35.992940000000004</v>
      </c>
      <c r="V32" s="120">
        <f t="shared" si="14"/>
        <v>30.492940000000004</v>
      </c>
      <c r="W32" s="120">
        <f t="shared" si="14"/>
        <v>45.992940000000004</v>
      </c>
      <c r="X32" s="120">
        <f t="shared" si="14"/>
        <v>36.492940000000004</v>
      </c>
      <c r="Y32" s="120">
        <f t="shared" si="14"/>
        <v>37.992940000000004</v>
      </c>
      <c r="Z32" s="120">
        <f>Y31+Y32+Z33-Z23-Z19</f>
        <v>43.492940000000004</v>
      </c>
      <c r="AA32" s="120">
        <f>Z31+Z32+AA33-AA23-AA19</f>
        <v>41.992940000000004</v>
      </c>
      <c r="AB32" s="120">
        <f>AA31+AA32+AB33-AB23-AB19</f>
        <v>46.492940000000004</v>
      </c>
      <c r="AE32" s="121">
        <v>20466.37</v>
      </c>
      <c r="AF32" s="122">
        <f t="shared" si="13"/>
        <v>20.466369999999998</v>
      </c>
    </row>
    <row r="33" spans="1:28" s="123" customFormat="1">
      <c r="A33" s="123" t="s">
        <v>63</v>
      </c>
      <c r="B33" s="124" t="s">
        <v>1</v>
      </c>
      <c r="C33" s="125">
        <v>44</v>
      </c>
      <c r="D33" s="126"/>
      <c r="E33" s="126"/>
      <c r="F33" s="126"/>
      <c r="G33" s="126">
        <v>23</v>
      </c>
      <c r="H33" s="126">
        <v>0</v>
      </c>
      <c r="I33" s="126"/>
      <c r="J33" s="126">
        <v>44</v>
      </c>
      <c r="K33" s="126">
        <v>44</v>
      </c>
      <c r="L33" s="126">
        <v>47</v>
      </c>
      <c r="M33" s="126"/>
      <c r="N33" s="126">
        <v>47.5</v>
      </c>
      <c r="O33" s="126">
        <f>4+4+0.5</f>
        <v>8.5</v>
      </c>
      <c r="P33" s="126">
        <v>45.58</v>
      </c>
      <c r="Q33" s="126">
        <v>22</v>
      </c>
      <c r="R33" s="126">
        <v>44</v>
      </c>
      <c r="S33" s="126">
        <v>44</v>
      </c>
      <c r="T33" s="126">
        <v>88</v>
      </c>
      <c r="U33" s="126">
        <v>88</v>
      </c>
      <c r="V33" s="126">
        <f>44+44+22</f>
        <v>110</v>
      </c>
      <c r="W33" s="126">
        <v>44</v>
      </c>
      <c r="X33" s="126">
        <v>44</v>
      </c>
      <c r="Y33" s="126">
        <f>66-11</f>
        <v>55</v>
      </c>
      <c r="Z33" s="126">
        <v>22</v>
      </c>
      <c r="AA33" s="126">
        <v>44</v>
      </c>
      <c r="AB33" s="126">
        <v>44</v>
      </c>
    </row>
    <row r="34" spans="1:28" s="123" customFormat="1">
      <c r="A34" s="127" t="s">
        <v>64</v>
      </c>
      <c r="B34" s="128" t="s">
        <v>1</v>
      </c>
      <c r="C34" s="129"/>
      <c r="D34" s="129">
        <f t="shared" ref="D34:T34" si="15">+SUM(D27:D32)+D14</f>
        <v>64.706463907470706</v>
      </c>
      <c r="E34" s="129">
        <f t="shared" si="15"/>
        <v>67.831637630224606</v>
      </c>
      <c r="F34" s="129">
        <f t="shared" si="15"/>
        <v>63.70610145751953</v>
      </c>
      <c r="G34" s="129">
        <f t="shared" si="15"/>
        <v>66.647852199999988</v>
      </c>
      <c r="H34" s="129">
        <f t="shared" si="15"/>
        <v>65.481283899999994</v>
      </c>
      <c r="I34" s="129">
        <f t="shared" si="15"/>
        <v>34.979469999999999</v>
      </c>
      <c r="J34" s="129">
        <f t="shared" si="15"/>
        <v>48.598420000000004</v>
      </c>
      <c r="K34" s="129">
        <f t="shared" si="15"/>
        <v>56.282089999999997</v>
      </c>
      <c r="L34" s="129">
        <f t="shared" si="15"/>
        <v>87.805459999999997</v>
      </c>
      <c r="M34" s="129">
        <f t="shared" si="15"/>
        <v>60.257900000000006</v>
      </c>
      <c r="N34" s="129">
        <f t="shared" si="15"/>
        <v>77.369380699999994</v>
      </c>
      <c r="O34" s="129">
        <f t="shared" si="15"/>
        <v>53.237692360000004</v>
      </c>
      <c r="P34" s="129">
        <f t="shared" si="15"/>
        <v>89.407150000000001</v>
      </c>
      <c r="Q34" s="129">
        <f t="shared" si="15"/>
        <v>66.700825630188234</v>
      </c>
      <c r="R34" s="129">
        <f t="shared" si="15"/>
        <v>79.222111158911162</v>
      </c>
      <c r="S34" s="129">
        <f t="shared" si="15"/>
        <v>49.027446516816568</v>
      </c>
      <c r="T34" s="129">
        <f t="shared" si="15"/>
        <v>65.071502790632991</v>
      </c>
      <c r="U34" s="129">
        <f t="shared" ref="U34:AB34" si="16">+SUM(U27:U32)+U14</f>
        <v>83.223725671822621</v>
      </c>
      <c r="V34" s="129">
        <f t="shared" si="16"/>
        <v>74.099076402485593</v>
      </c>
      <c r="W34" s="129">
        <f t="shared" si="16"/>
        <v>89.875260362485591</v>
      </c>
      <c r="X34" s="129">
        <f t="shared" si="16"/>
        <v>80.599594822485528</v>
      </c>
      <c r="Y34" s="129">
        <f t="shared" si="16"/>
        <v>80.372328493739445</v>
      </c>
      <c r="Z34" s="129">
        <f t="shared" si="16"/>
        <v>85.756663452265997</v>
      </c>
      <c r="AA34" s="129">
        <f t="shared" si="16"/>
        <v>85.7401237974384</v>
      </c>
      <c r="AB34" s="129">
        <f t="shared" si="16"/>
        <v>90.304256662610783</v>
      </c>
    </row>
    <row r="35" spans="1:28" s="95" customFormat="1">
      <c r="C35" s="121"/>
      <c r="D35" s="130"/>
    </row>
    <row r="36" spans="1:28" s="95" customFormat="1">
      <c r="A36" s="131"/>
      <c r="B36" s="132" t="s">
        <v>65</v>
      </c>
      <c r="C36" s="133"/>
      <c r="D36" s="130"/>
      <c r="P36" s="134">
        <v>22</v>
      </c>
      <c r="Q36" s="134">
        <v>33</v>
      </c>
      <c r="R36" s="134">
        <v>33</v>
      </c>
      <c r="S36" s="134">
        <v>13</v>
      </c>
      <c r="T36" s="134">
        <v>33</v>
      </c>
      <c r="U36" s="134">
        <v>23</v>
      </c>
      <c r="V36" s="134">
        <v>55</v>
      </c>
      <c r="W36" s="134">
        <v>11</v>
      </c>
      <c r="X36" s="134">
        <v>33</v>
      </c>
      <c r="Y36" s="134">
        <v>33</v>
      </c>
      <c r="Z36" s="134" t="s">
        <v>66</v>
      </c>
      <c r="AA36" s="134">
        <v>11</v>
      </c>
      <c r="AB36" s="134">
        <v>11</v>
      </c>
    </row>
    <row r="37" spans="1:28">
      <c r="B37" s="136" t="s">
        <v>67</v>
      </c>
      <c r="C37" s="137"/>
      <c r="D37" s="130"/>
      <c r="P37" s="126">
        <f t="shared" ref="P37:AA37" si="17">P33-P24</f>
        <v>40.58</v>
      </c>
      <c r="Q37" s="126">
        <f t="shared" si="17"/>
        <v>17</v>
      </c>
      <c r="R37" s="126">
        <f t="shared" si="17"/>
        <v>39</v>
      </c>
      <c r="S37" s="126">
        <f t="shared" si="17"/>
        <v>39</v>
      </c>
      <c r="T37" s="126">
        <f t="shared" si="17"/>
        <v>83</v>
      </c>
      <c r="U37" s="126">
        <f t="shared" si="17"/>
        <v>83</v>
      </c>
      <c r="V37" s="126">
        <f t="shared" si="17"/>
        <v>105</v>
      </c>
      <c r="W37" s="126">
        <f t="shared" si="17"/>
        <v>39</v>
      </c>
      <c r="X37" s="126">
        <f t="shared" si="17"/>
        <v>39</v>
      </c>
      <c r="Y37" s="126">
        <f t="shared" si="17"/>
        <v>50</v>
      </c>
      <c r="Z37" s="126">
        <f t="shared" si="17"/>
        <v>17</v>
      </c>
      <c r="AA37" s="126">
        <f t="shared" si="17"/>
        <v>39</v>
      </c>
      <c r="AB37" s="126">
        <f>AB33-AB24</f>
        <v>39</v>
      </c>
    </row>
    <row r="38" spans="1:28">
      <c r="R38" s="139"/>
    </row>
    <row r="39" spans="1:28">
      <c r="C39" s="140"/>
      <c r="D39" s="141">
        <f t="shared" ref="D39:AB39" si="18">D1</f>
        <v>43832</v>
      </c>
      <c r="E39" s="141">
        <f t="shared" si="18"/>
        <v>43863</v>
      </c>
      <c r="F39" s="141">
        <f t="shared" si="18"/>
        <v>43892</v>
      </c>
      <c r="G39" s="141">
        <f t="shared" si="18"/>
        <v>43923</v>
      </c>
      <c r="H39" s="141">
        <f t="shared" si="18"/>
        <v>43953</v>
      </c>
      <c r="I39" s="141">
        <f t="shared" si="18"/>
        <v>43984</v>
      </c>
      <c r="J39" s="141">
        <f t="shared" si="18"/>
        <v>44014</v>
      </c>
      <c r="K39" s="141">
        <f t="shared" si="18"/>
        <v>44045</v>
      </c>
      <c r="L39" s="141">
        <f t="shared" si="18"/>
        <v>44076</v>
      </c>
      <c r="M39" s="141">
        <f t="shared" si="18"/>
        <v>44106</v>
      </c>
      <c r="N39" s="141">
        <f t="shared" si="18"/>
        <v>44137</v>
      </c>
      <c r="O39" s="141">
        <f t="shared" si="18"/>
        <v>44167</v>
      </c>
      <c r="P39" s="141">
        <f t="shared" si="18"/>
        <v>44198</v>
      </c>
      <c r="Q39" s="141">
        <f t="shared" si="18"/>
        <v>44229</v>
      </c>
      <c r="R39" s="141">
        <f t="shared" si="18"/>
        <v>44257</v>
      </c>
      <c r="S39" s="141">
        <f t="shared" si="18"/>
        <v>44288</v>
      </c>
      <c r="T39" s="141">
        <f t="shared" si="18"/>
        <v>44318</v>
      </c>
      <c r="U39" s="141">
        <f t="shared" si="18"/>
        <v>44349</v>
      </c>
      <c r="V39" s="141">
        <f t="shared" si="18"/>
        <v>44379</v>
      </c>
      <c r="W39" s="141">
        <f t="shared" si="18"/>
        <v>44410</v>
      </c>
      <c r="X39" s="141">
        <f t="shared" si="18"/>
        <v>44441</v>
      </c>
      <c r="Y39" s="141">
        <f t="shared" si="18"/>
        <v>44471</v>
      </c>
      <c r="Z39" s="141">
        <f t="shared" si="18"/>
        <v>44502</v>
      </c>
      <c r="AA39" s="141">
        <f t="shared" si="18"/>
        <v>44532</v>
      </c>
      <c r="AB39" s="141">
        <f t="shared" si="18"/>
        <v>44563</v>
      </c>
    </row>
    <row r="40" spans="1:28">
      <c r="A40" s="135" t="s">
        <v>68</v>
      </c>
      <c r="C40" s="140"/>
      <c r="D40" s="142">
        <f t="shared" ref="D40:AB40" si="19">D34</f>
        <v>64.706463907470706</v>
      </c>
      <c r="E40" s="142">
        <f t="shared" si="19"/>
        <v>67.831637630224606</v>
      </c>
      <c r="F40" s="142">
        <f t="shared" si="19"/>
        <v>63.70610145751953</v>
      </c>
      <c r="G40" s="142">
        <f t="shared" si="19"/>
        <v>66.647852199999988</v>
      </c>
      <c r="H40" s="142">
        <f t="shared" si="19"/>
        <v>65.481283899999994</v>
      </c>
      <c r="I40" s="142">
        <f t="shared" si="19"/>
        <v>34.979469999999999</v>
      </c>
      <c r="J40" s="142">
        <f t="shared" si="19"/>
        <v>48.598420000000004</v>
      </c>
      <c r="K40" s="142">
        <f t="shared" si="19"/>
        <v>56.282089999999997</v>
      </c>
      <c r="L40" s="142">
        <f t="shared" si="19"/>
        <v>87.805459999999997</v>
      </c>
      <c r="M40" s="142">
        <f t="shared" si="19"/>
        <v>60.257900000000006</v>
      </c>
      <c r="N40" s="142">
        <f t="shared" si="19"/>
        <v>77.369380699999994</v>
      </c>
      <c r="O40" s="142">
        <f t="shared" si="19"/>
        <v>53.237692360000004</v>
      </c>
      <c r="P40" s="142">
        <f t="shared" si="19"/>
        <v>89.407150000000001</v>
      </c>
      <c r="Q40" s="142">
        <f t="shared" si="19"/>
        <v>66.700825630188234</v>
      </c>
      <c r="R40" s="142">
        <f t="shared" si="19"/>
        <v>79.222111158911162</v>
      </c>
      <c r="S40" s="142">
        <f t="shared" si="19"/>
        <v>49.027446516816568</v>
      </c>
      <c r="T40" s="142">
        <f t="shared" si="19"/>
        <v>65.071502790632991</v>
      </c>
      <c r="U40" s="142">
        <f t="shared" si="19"/>
        <v>83.223725671822621</v>
      </c>
      <c r="V40" s="142">
        <f t="shared" si="19"/>
        <v>74.099076402485593</v>
      </c>
      <c r="W40" s="142">
        <f t="shared" si="19"/>
        <v>89.875260362485591</v>
      </c>
      <c r="X40" s="142">
        <f t="shared" si="19"/>
        <v>80.599594822485528</v>
      </c>
      <c r="Y40" s="142">
        <f t="shared" si="19"/>
        <v>80.372328493739445</v>
      </c>
      <c r="Z40" s="142">
        <f t="shared" si="19"/>
        <v>85.756663452265997</v>
      </c>
      <c r="AA40" s="142">
        <f t="shared" si="19"/>
        <v>85.7401237974384</v>
      </c>
      <c r="AB40" s="142">
        <f t="shared" si="19"/>
        <v>90.304256662610783</v>
      </c>
    </row>
    <row r="41" spans="1:28">
      <c r="A41" s="135" t="s">
        <v>69</v>
      </c>
      <c r="D41" s="142">
        <f>D40-D42</f>
        <v>64.706463907470706</v>
      </c>
      <c r="E41" s="142">
        <f t="shared" ref="E41:AB41" si="20">E40-E42</f>
        <v>67.831637630224606</v>
      </c>
      <c r="F41" s="142">
        <f t="shared" si="20"/>
        <v>63.70610145751953</v>
      </c>
      <c r="G41" s="142">
        <f t="shared" si="20"/>
        <v>43.647852199999988</v>
      </c>
      <c r="H41" s="142">
        <f t="shared" si="20"/>
        <v>65.481283899999994</v>
      </c>
      <c r="I41" s="142">
        <f t="shared" si="20"/>
        <v>34.979469999999999</v>
      </c>
      <c r="J41" s="142">
        <f t="shared" si="20"/>
        <v>4.5984200000000044</v>
      </c>
      <c r="K41" s="142">
        <f t="shared" si="20"/>
        <v>12.282089999999997</v>
      </c>
      <c r="L41" s="142">
        <f t="shared" si="20"/>
        <v>40.805459999999997</v>
      </c>
      <c r="M41" s="142">
        <f t="shared" si="20"/>
        <v>60.257900000000006</v>
      </c>
      <c r="N41" s="142">
        <f t="shared" si="20"/>
        <v>29.869380699999994</v>
      </c>
      <c r="O41" s="142">
        <f t="shared" si="20"/>
        <v>44.737692360000004</v>
      </c>
      <c r="P41" s="142">
        <f t="shared" si="20"/>
        <v>43.827150000000003</v>
      </c>
      <c r="Q41" s="142">
        <f t="shared" si="20"/>
        <v>44.700825630188234</v>
      </c>
      <c r="R41" s="142">
        <f t="shared" si="20"/>
        <v>35.222111158911162</v>
      </c>
      <c r="S41" s="142">
        <f t="shared" si="20"/>
        <v>5.0274465168165676</v>
      </c>
      <c r="T41" s="142">
        <f t="shared" si="20"/>
        <v>-22.928497209367009</v>
      </c>
      <c r="U41" s="142">
        <f t="shared" si="20"/>
        <v>-4.7762743281773794</v>
      </c>
      <c r="V41" s="142">
        <f t="shared" si="20"/>
        <v>-35.900923597514407</v>
      </c>
      <c r="W41" s="142">
        <f t="shared" si="20"/>
        <v>45.875260362485591</v>
      </c>
      <c r="X41" s="142">
        <f t="shared" si="20"/>
        <v>36.599594822485528</v>
      </c>
      <c r="Y41" s="142">
        <f t="shared" si="20"/>
        <v>25.372328493739445</v>
      </c>
      <c r="Z41" s="142">
        <f t="shared" si="20"/>
        <v>63.756663452265997</v>
      </c>
      <c r="AA41" s="142">
        <f t="shared" si="20"/>
        <v>41.7401237974384</v>
      </c>
      <c r="AB41" s="142">
        <f t="shared" si="20"/>
        <v>46.304256662610783</v>
      </c>
    </row>
    <row r="42" spans="1:28">
      <c r="A42" s="135" t="s">
        <v>63</v>
      </c>
      <c r="D42" s="142">
        <f>D33</f>
        <v>0</v>
      </c>
      <c r="E42" s="142">
        <f t="shared" ref="E42:AB42" si="21">E33</f>
        <v>0</v>
      </c>
      <c r="F42" s="142">
        <f t="shared" si="21"/>
        <v>0</v>
      </c>
      <c r="G42" s="142">
        <f t="shared" si="21"/>
        <v>23</v>
      </c>
      <c r="H42" s="142">
        <f t="shared" si="21"/>
        <v>0</v>
      </c>
      <c r="I42" s="142">
        <f t="shared" si="21"/>
        <v>0</v>
      </c>
      <c r="J42" s="142">
        <f t="shared" si="21"/>
        <v>44</v>
      </c>
      <c r="K42" s="142">
        <f t="shared" si="21"/>
        <v>44</v>
      </c>
      <c r="L42" s="142">
        <f t="shared" si="21"/>
        <v>47</v>
      </c>
      <c r="M42" s="142">
        <f t="shared" si="21"/>
        <v>0</v>
      </c>
      <c r="N42" s="142">
        <f t="shared" si="21"/>
        <v>47.5</v>
      </c>
      <c r="O42" s="142">
        <f t="shared" si="21"/>
        <v>8.5</v>
      </c>
      <c r="P42" s="142">
        <f t="shared" si="21"/>
        <v>45.58</v>
      </c>
      <c r="Q42" s="142">
        <f t="shared" si="21"/>
        <v>22</v>
      </c>
      <c r="R42" s="142">
        <f t="shared" si="21"/>
        <v>44</v>
      </c>
      <c r="S42" s="142">
        <f t="shared" si="21"/>
        <v>44</v>
      </c>
      <c r="T42" s="142">
        <f t="shared" si="21"/>
        <v>88</v>
      </c>
      <c r="U42" s="142">
        <f t="shared" si="21"/>
        <v>88</v>
      </c>
      <c r="V42" s="142">
        <f t="shared" si="21"/>
        <v>110</v>
      </c>
      <c r="W42" s="142">
        <f t="shared" si="21"/>
        <v>44</v>
      </c>
      <c r="X42" s="142">
        <f t="shared" si="21"/>
        <v>44</v>
      </c>
      <c r="Y42" s="142">
        <f t="shared" si="21"/>
        <v>55</v>
      </c>
      <c r="Z42" s="142">
        <f t="shared" si="21"/>
        <v>22</v>
      </c>
      <c r="AA42" s="142">
        <f t="shared" si="21"/>
        <v>44</v>
      </c>
      <c r="AB42" s="142">
        <f t="shared" si="21"/>
        <v>44</v>
      </c>
    </row>
    <row r="43" spans="1:28">
      <c r="A43" s="135" t="s">
        <v>70</v>
      </c>
      <c r="D43" s="135">
        <v>25.57</v>
      </c>
      <c r="E43" s="135">
        <v>25.57</v>
      </c>
      <c r="F43" s="135">
        <v>25.57</v>
      </c>
      <c r="G43" s="135">
        <v>25.57</v>
      </c>
      <c r="H43" s="135">
        <v>25.57</v>
      </c>
      <c r="I43" s="135">
        <v>25.57</v>
      </c>
      <c r="J43" s="135">
        <v>25.57</v>
      </c>
      <c r="K43" s="135">
        <v>25.57</v>
      </c>
      <c r="L43" s="135">
        <v>25.57</v>
      </c>
      <c r="M43" s="135">
        <v>25.57</v>
      </c>
      <c r="N43" s="135">
        <v>25.57</v>
      </c>
      <c r="O43" s="135">
        <v>25.57</v>
      </c>
      <c r="P43" s="135">
        <f>5+14</f>
        <v>19</v>
      </c>
      <c r="Q43" s="135">
        <f t="shared" ref="Q43:AB43" si="22">5+14</f>
        <v>19</v>
      </c>
      <c r="R43" s="135">
        <f t="shared" si="22"/>
        <v>19</v>
      </c>
      <c r="S43" s="135">
        <f t="shared" si="22"/>
        <v>19</v>
      </c>
      <c r="T43" s="135">
        <f t="shared" si="22"/>
        <v>19</v>
      </c>
      <c r="U43" s="135">
        <f t="shared" si="22"/>
        <v>19</v>
      </c>
      <c r="V43" s="135">
        <f t="shared" si="22"/>
        <v>19</v>
      </c>
      <c r="W43" s="135">
        <f t="shared" si="22"/>
        <v>19</v>
      </c>
      <c r="X43" s="135">
        <f t="shared" si="22"/>
        <v>19</v>
      </c>
      <c r="Y43" s="135">
        <f t="shared" si="22"/>
        <v>19</v>
      </c>
      <c r="Z43" s="135">
        <f t="shared" si="22"/>
        <v>19</v>
      </c>
      <c r="AA43" s="135">
        <f t="shared" si="22"/>
        <v>19</v>
      </c>
      <c r="AB43" s="135">
        <f t="shared" si="22"/>
        <v>19</v>
      </c>
    </row>
    <row r="44" spans="1:28">
      <c r="A44" s="135" t="s">
        <v>71</v>
      </c>
      <c r="D44" s="135">
        <v>41.7</v>
      </c>
      <c r="E44" s="135">
        <v>41.7</v>
      </c>
      <c r="F44" s="135">
        <v>41.7</v>
      </c>
      <c r="G44" s="135">
        <v>41.7</v>
      </c>
      <c r="H44" s="135">
        <v>41.7</v>
      </c>
      <c r="I44" s="135">
        <v>41.7</v>
      </c>
      <c r="J44" s="135">
        <v>41.7</v>
      </c>
      <c r="K44" s="135">
        <v>41.7</v>
      </c>
      <c r="L44" s="135">
        <v>41.7</v>
      </c>
      <c r="M44" s="135">
        <v>41.7</v>
      </c>
      <c r="N44" s="135">
        <v>41.7</v>
      </c>
      <c r="O44" s="135">
        <v>41.7</v>
      </c>
      <c r="P44" s="135">
        <f>19+17</f>
        <v>36</v>
      </c>
      <c r="Q44" s="135">
        <f t="shared" ref="Q44:AB44" si="23">19+17</f>
        <v>36</v>
      </c>
      <c r="R44" s="135">
        <f t="shared" si="23"/>
        <v>36</v>
      </c>
      <c r="S44" s="135">
        <f t="shared" si="23"/>
        <v>36</v>
      </c>
      <c r="T44" s="135">
        <f t="shared" si="23"/>
        <v>36</v>
      </c>
      <c r="U44" s="135">
        <f t="shared" si="23"/>
        <v>36</v>
      </c>
      <c r="V44" s="135">
        <f t="shared" si="23"/>
        <v>36</v>
      </c>
      <c r="W44" s="135">
        <f t="shared" si="23"/>
        <v>36</v>
      </c>
      <c r="X44" s="135">
        <f t="shared" si="23"/>
        <v>36</v>
      </c>
      <c r="Y44" s="135">
        <f t="shared" si="23"/>
        <v>36</v>
      </c>
      <c r="Z44" s="135">
        <f t="shared" si="23"/>
        <v>36</v>
      </c>
      <c r="AA44" s="135">
        <f t="shared" si="23"/>
        <v>36</v>
      </c>
      <c r="AB44" s="135">
        <f t="shared" si="23"/>
        <v>36</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G184"/>
  <sheetViews>
    <sheetView zoomScale="85" zoomScaleNormal="85" workbookViewId="0">
      <pane xSplit="4" ySplit="11" topLeftCell="Z83" activePane="bottomRight" state="frozen"/>
      <selection activeCell="G41" sqref="G41"/>
      <selection pane="topRight" activeCell="G41" sqref="G41"/>
      <selection pane="bottomLeft" activeCell="G41" sqref="G41"/>
      <selection pane="bottomRight" activeCell="G41" sqref="G41"/>
    </sheetView>
  </sheetViews>
  <sheetFormatPr defaultRowHeight="14.4"/>
  <cols>
    <col min="1" max="1" width="22.109375" style="74" customWidth="1"/>
    <col min="2" max="2" width="18.109375" style="2" bestFit="1" customWidth="1"/>
    <col min="3" max="3" width="26.44140625" bestFit="1" customWidth="1"/>
    <col min="4" max="4" width="20.109375" bestFit="1" customWidth="1"/>
    <col min="5" max="17" width="10.109375" bestFit="1" customWidth="1"/>
    <col min="18" max="18" width="9.88671875" customWidth="1"/>
    <col min="19" max="24" width="10.109375" bestFit="1" customWidth="1"/>
    <col min="25" max="27" width="10" bestFit="1" customWidth="1"/>
    <col min="28" max="38" width="10.109375" bestFit="1" customWidth="1"/>
  </cols>
  <sheetData>
    <row r="1" spans="1:59" s="145" customFormat="1" ht="15.45" customHeight="1">
      <c r="A1" s="143"/>
      <c r="B1" s="144"/>
      <c r="D1" s="146" t="s">
        <v>72</v>
      </c>
      <c r="R1" s="145">
        <v>30</v>
      </c>
      <c r="S1" s="145">
        <v>31</v>
      </c>
      <c r="T1" s="145">
        <v>31</v>
      </c>
      <c r="U1" s="145">
        <v>30</v>
      </c>
      <c r="V1" s="145">
        <v>31</v>
      </c>
      <c r="W1" s="145">
        <v>30</v>
      </c>
      <c r="X1" s="145">
        <v>31</v>
      </c>
      <c r="Y1" s="145">
        <v>31</v>
      </c>
      <c r="Z1" s="145">
        <v>28</v>
      </c>
      <c r="AA1" s="145">
        <v>31</v>
      </c>
      <c r="AB1" s="145">
        <v>30</v>
      </c>
      <c r="AC1" s="145">
        <v>31</v>
      </c>
      <c r="AD1" s="145">
        <v>30</v>
      </c>
      <c r="AE1" s="145">
        <v>31</v>
      </c>
      <c r="AF1" s="145">
        <v>31</v>
      </c>
      <c r="AG1" s="145">
        <v>30</v>
      </c>
      <c r="AH1" s="145">
        <v>31</v>
      </c>
      <c r="AI1" s="145">
        <v>30</v>
      </c>
      <c r="AJ1" s="145">
        <v>31</v>
      </c>
      <c r="AK1" s="145">
        <v>31</v>
      </c>
      <c r="AL1" s="145">
        <v>31</v>
      </c>
    </row>
    <row r="2" spans="1:59" ht="14.7" customHeight="1" thickBot="1">
      <c r="A2" s="147" t="s">
        <v>73</v>
      </c>
      <c r="B2" s="144"/>
      <c r="C2" s="145"/>
      <c r="D2" s="148"/>
      <c r="E2" s="145"/>
      <c r="F2" s="145"/>
      <c r="G2" s="149">
        <v>43678</v>
      </c>
      <c r="H2" s="149">
        <v>43698</v>
      </c>
      <c r="I2" s="145"/>
      <c r="J2" s="145"/>
      <c r="K2" s="145"/>
      <c r="L2" s="150">
        <f>L6/1000</f>
        <v>31.888097230590823</v>
      </c>
      <c r="M2" s="150">
        <f>M6/1000</f>
        <v>16.827883907470703</v>
      </c>
      <c r="N2" s="150">
        <f t="shared" ref="N2:AL2" si="0">N6/1000</f>
        <v>36.020527630224606</v>
      </c>
      <c r="O2" s="150">
        <f t="shared" si="0"/>
        <v>33.684161457519529</v>
      </c>
      <c r="P2" s="150">
        <f t="shared" si="0"/>
        <v>18.635842199999999</v>
      </c>
      <c r="Q2" s="150">
        <f t="shared" si="0"/>
        <v>29.542833899999998</v>
      </c>
      <c r="R2" s="150">
        <f t="shared" si="0"/>
        <v>14.458839999999999</v>
      </c>
      <c r="S2" s="150">
        <f t="shared" si="0"/>
        <v>18.007720000000003</v>
      </c>
      <c r="T2" s="150">
        <f t="shared" si="0"/>
        <v>15.124660000000002</v>
      </c>
      <c r="U2" s="150">
        <f t="shared" si="0"/>
        <v>26.696860000000001</v>
      </c>
      <c r="V2" s="150">
        <f t="shared" si="0"/>
        <v>14.437240000000001</v>
      </c>
      <c r="W2" s="150">
        <f t="shared" si="0"/>
        <v>22.420850699999999</v>
      </c>
      <c r="X2" s="150">
        <f t="shared" si="0"/>
        <v>18.055042360000002</v>
      </c>
      <c r="Y2" s="150">
        <f t="shared" si="0"/>
        <v>24.4024</v>
      </c>
      <c r="Z2" s="150">
        <f t="shared" si="0"/>
        <v>27.81158563018824</v>
      </c>
      <c r="AA2" s="150">
        <f t="shared" si="0"/>
        <v>18.832871158911175</v>
      </c>
      <c r="AB2" s="150">
        <f t="shared" si="0"/>
        <v>18.138206516816567</v>
      </c>
      <c r="AC2" s="150">
        <f t="shared" si="0"/>
        <v>18.682262790632997</v>
      </c>
      <c r="AD2" s="150">
        <f t="shared" si="0"/>
        <v>23.334485671822613</v>
      </c>
      <c r="AE2" s="150">
        <f t="shared" si="0"/>
        <v>19.7098364024856</v>
      </c>
      <c r="AF2" s="150">
        <f t="shared" si="0"/>
        <v>19.986020362485597</v>
      </c>
      <c r="AG2" s="150">
        <f t="shared" si="0"/>
        <v>20.210354822485524</v>
      </c>
      <c r="AH2" s="150">
        <f t="shared" si="0"/>
        <v>18.483088493739437</v>
      </c>
      <c r="AI2" s="150">
        <f t="shared" si="0"/>
        <v>18.367423452265989</v>
      </c>
      <c r="AJ2" s="150">
        <f t="shared" si="0"/>
        <v>19.850883797438392</v>
      </c>
      <c r="AK2" s="150">
        <f t="shared" si="0"/>
        <v>19.915016662610775</v>
      </c>
      <c r="AL2" s="150">
        <f t="shared" si="0"/>
        <v>19.823115045024586</v>
      </c>
      <c r="AM2" s="145"/>
      <c r="AN2" s="145"/>
      <c r="AO2" s="145"/>
      <c r="AP2" s="145"/>
      <c r="AQ2" s="145"/>
    </row>
    <row r="3" spans="1:59" s="160" customFormat="1" ht="15" thickBot="1">
      <c r="A3" s="151" t="s">
        <v>74</v>
      </c>
      <c r="B3" s="152"/>
      <c r="C3" s="153"/>
      <c r="D3" s="154"/>
      <c r="E3" s="155">
        <v>43587</v>
      </c>
      <c r="F3" s="155">
        <v>43618</v>
      </c>
      <c r="G3" s="155">
        <v>43648</v>
      </c>
      <c r="H3" s="155">
        <v>43679</v>
      </c>
      <c r="I3" s="156">
        <v>43710</v>
      </c>
      <c r="J3" s="156">
        <v>43740</v>
      </c>
      <c r="K3" s="155">
        <v>43771</v>
      </c>
      <c r="L3" s="157">
        <v>43801</v>
      </c>
      <c r="M3" s="156">
        <v>43832</v>
      </c>
      <c r="N3" s="156">
        <v>43863</v>
      </c>
      <c r="O3" s="155">
        <v>43892</v>
      </c>
      <c r="P3" s="155">
        <v>43923</v>
      </c>
      <c r="Q3" s="155">
        <v>43953</v>
      </c>
      <c r="R3" s="156">
        <v>43984</v>
      </c>
      <c r="S3" s="156">
        <v>44014</v>
      </c>
      <c r="T3" s="156">
        <v>44045</v>
      </c>
      <c r="U3" s="156">
        <v>44076</v>
      </c>
      <c r="V3" s="156">
        <v>44106</v>
      </c>
      <c r="W3" s="156">
        <v>44137</v>
      </c>
      <c r="X3" s="156">
        <v>44167</v>
      </c>
      <c r="Y3" s="156">
        <v>44198</v>
      </c>
      <c r="Z3" s="156">
        <v>44229</v>
      </c>
      <c r="AA3" s="156">
        <v>44257</v>
      </c>
      <c r="AB3" s="156">
        <v>44288</v>
      </c>
      <c r="AC3" s="156">
        <v>44318</v>
      </c>
      <c r="AD3" s="156">
        <v>44349</v>
      </c>
      <c r="AE3" s="156">
        <v>44379</v>
      </c>
      <c r="AF3" s="156">
        <v>44410</v>
      </c>
      <c r="AG3" s="156">
        <v>44441</v>
      </c>
      <c r="AH3" s="156">
        <v>44471</v>
      </c>
      <c r="AI3" s="156">
        <v>44502</v>
      </c>
      <c r="AJ3" s="156">
        <v>44532</v>
      </c>
      <c r="AK3" s="156">
        <v>44563</v>
      </c>
      <c r="AL3" s="156">
        <v>44594</v>
      </c>
      <c r="AM3" s="158"/>
      <c r="AN3" s="159"/>
      <c r="AO3" s="159"/>
      <c r="AP3" s="159"/>
      <c r="AQ3" s="159"/>
    </row>
    <row r="4" spans="1:59">
      <c r="A4" s="161" t="s">
        <v>35</v>
      </c>
      <c r="B4" s="162"/>
      <c r="C4" s="163"/>
      <c r="D4" s="164"/>
      <c r="E4" s="165"/>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7"/>
      <c r="AN4" s="145"/>
      <c r="AO4" s="145"/>
      <c r="AP4" s="145"/>
      <c r="AQ4" s="145"/>
      <c r="AU4" s="168">
        <v>0.25403924107025933</v>
      </c>
      <c r="AV4" s="169">
        <v>0.33483128996932265</v>
      </c>
      <c r="AW4" s="169">
        <v>0.44030814595945017</v>
      </c>
      <c r="AX4" s="169">
        <v>0.52359343951186588</v>
      </c>
      <c r="AY4" s="169">
        <v>0.46103669107740353</v>
      </c>
      <c r="AZ4" s="169">
        <v>0.39779918773241624</v>
      </c>
      <c r="BA4" s="169">
        <v>0.66942577304125628</v>
      </c>
      <c r="BB4" s="169"/>
      <c r="BC4" s="169"/>
      <c r="BD4" s="169"/>
      <c r="BE4" s="169"/>
      <c r="BF4" s="169"/>
      <c r="BG4" s="169"/>
    </row>
    <row r="5" spans="1:59">
      <c r="A5" s="170" t="s">
        <v>75</v>
      </c>
      <c r="B5" s="171"/>
      <c r="C5" s="167"/>
      <c r="D5" s="172" t="s">
        <v>76</v>
      </c>
      <c r="E5" s="173">
        <v>49624.800000000003</v>
      </c>
      <c r="F5" s="173">
        <v>49624.800000000003</v>
      </c>
      <c r="G5" s="173">
        <v>49624.800000000003</v>
      </c>
      <c r="H5" s="174">
        <v>46018</v>
      </c>
      <c r="I5" s="173">
        <v>49624.800000000003</v>
      </c>
      <c r="J5" s="174">
        <v>45790.8</v>
      </c>
      <c r="K5" s="173">
        <v>45791</v>
      </c>
      <c r="L5" s="173">
        <v>49624.800000000003</v>
      </c>
      <c r="M5" s="173">
        <v>49624.800000000003</v>
      </c>
      <c r="N5" s="173">
        <v>49624.800000000003</v>
      </c>
      <c r="O5" s="173">
        <v>49624.800000000003</v>
      </c>
      <c r="P5" s="173">
        <v>49624.800000000003</v>
      </c>
      <c r="Q5" s="174">
        <v>45790.8</v>
      </c>
      <c r="R5" s="174">
        <v>45790.8</v>
      </c>
      <c r="S5" s="174">
        <v>45790.8</v>
      </c>
      <c r="T5" s="174">
        <v>45790.8</v>
      </c>
      <c r="U5" s="174">
        <v>45790.8</v>
      </c>
      <c r="V5" s="175">
        <v>46018</v>
      </c>
      <c r="W5" s="174">
        <v>46018</v>
      </c>
      <c r="X5" s="176">
        <v>49624.800000000003</v>
      </c>
      <c r="Y5" s="175">
        <v>45790.8</v>
      </c>
      <c r="Z5" s="175">
        <v>45790.8</v>
      </c>
      <c r="AA5" s="175">
        <v>45790.8</v>
      </c>
      <c r="AB5" s="175">
        <v>45790.8</v>
      </c>
      <c r="AC5" s="175">
        <v>45790.8</v>
      </c>
      <c r="AD5" s="175">
        <v>45790.8</v>
      </c>
      <c r="AE5" s="176">
        <v>49624.800000000003</v>
      </c>
      <c r="AF5" s="176">
        <v>49624.800000000003</v>
      </c>
      <c r="AG5" s="176">
        <v>49624.800000000003</v>
      </c>
      <c r="AH5" s="175">
        <v>45790.8</v>
      </c>
      <c r="AI5" s="175">
        <v>45790.8</v>
      </c>
      <c r="AJ5" s="176">
        <v>49624.800000000003</v>
      </c>
      <c r="AK5" s="176">
        <v>49624.800000000003</v>
      </c>
      <c r="AL5" s="176">
        <v>49624.800000000003</v>
      </c>
      <c r="AM5" s="167"/>
      <c r="AN5" s="145"/>
      <c r="AO5" s="145"/>
      <c r="AP5" s="145"/>
      <c r="AQ5" s="145"/>
      <c r="AU5" s="168">
        <v>0.39594825138632178</v>
      </c>
      <c r="AV5" s="169">
        <v>0.44985506108216866</v>
      </c>
      <c r="AW5" s="169">
        <v>0.54112680515879441</v>
      </c>
      <c r="AX5" s="169">
        <v>0.54734175247857253</v>
      </c>
      <c r="AY5" s="169">
        <v>0.79395000579712582</v>
      </c>
      <c r="AZ5" s="169">
        <v>0.5347436121558915</v>
      </c>
      <c r="BA5" s="169">
        <v>0.5117306731540433</v>
      </c>
      <c r="BB5" s="169"/>
      <c r="BC5" s="169"/>
      <c r="BD5" s="169"/>
      <c r="BE5" s="169"/>
      <c r="BF5" s="169"/>
      <c r="BG5" s="169"/>
    </row>
    <row r="6" spans="1:59">
      <c r="A6" s="177" t="s">
        <v>77</v>
      </c>
      <c r="B6" s="171"/>
      <c r="C6" s="167"/>
      <c r="D6" s="172" t="s">
        <v>76</v>
      </c>
      <c r="E6" s="178">
        <v>11096.775659790039</v>
      </c>
      <c r="F6" s="178">
        <v>22008.60853326934</v>
      </c>
      <c r="G6" s="178">
        <v>16060</v>
      </c>
      <c r="H6" s="178">
        <v>18030.939999999999</v>
      </c>
      <c r="I6" s="178">
        <v>10997.417582917811</v>
      </c>
      <c r="J6" s="178">
        <v>27311.326601295474</v>
      </c>
      <c r="K6" s="178">
        <v>26097.899326025392</v>
      </c>
      <c r="L6" s="178">
        <v>31888.097230590822</v>
      </c>
      <c r="M6" s="178">
        <v>16827.883907470703</v>
      </c>
      <c r="N6" s="178">
        <v>36020.527630224606</v>
      </c>
      <c r="O6" s="178">
        <v>33684.161457519527</v>
      </c>
      <c r="P6" s="178">
        <v>18635.842199999999</v>
      </c>
      <c r="Q6" s="178">
        <v>29542.833899999998</v>
      </c>
      <c r="R6" s="178">
        <v>14458.839999999998</v>
      </c>
      <c r="S6" s="178">
        <v>18007.72</v>
      </c>
      <c r="T6" s="178">
        <v>15124.660000000002</v>
      </c>
      <c r="U6" s="178">
        <v>26696.86</v>
      </c>
      <c r="V6" s="178">
        <v>14437.240000000002</v>
      </c>
      <c r="W6" s="178">
        <v>22420.850699999999</v>
      </c>
      <c r="X6" s="178">
        <v>18055.042360000003</v>
      </c>
      <c r="Y6" s="178">
        <v>24402.400000000001</v>
      </c>
      <c r="Z6" s="178">
        <f>((Z42+(Y6/1000)+Z8+Z44+Z10)-Z76-Z80-Z81-Z82-Z83-Z84-Z85-Z86-Z87-Z88-Z89-Z90-Z91-Z92-Z93-Z94-Z95-Z96-Z97-Z98-Z99-Z100-Z101-Z102-Z103-Z104-Z105-Z106-Z107-Z108-Z109-Z110-Z111-Z112-Z116-Z117-Z118-Z119-Z120-Z121-Z122-Z123-Z124-Z125-Z126-Z127-Z128-Z129-Z130-Z131-Z132-Z9)*1000</f>
        <v>27811.585630188241</v>
      </c>
      <c r="AA6" s="178">
        <f t="shared" ref="AA6:AL6" si="1">((AA42+(Z6/1000)+AA8+AA44+AA10)-AA76-AA80-AA81-AA82-AA83-AA84-AA85-AA86-AA87-AA88-AA89-AA90-AA91-AA92-AA93-AA94-AA95-AA96-AA97-AA98-AA99-AA100-AA101-AA102-AA103-AA104-AA105-AA106-AA107-AA108-AA109-AA110-AA111-AA112-AA116-AA117-AA118-AA119-AA120-AA121-AA122-AA123-AA124-AA125-AA126-AA127-AA128-AA129-AA130-AA131-AA132-AA9)*1000</f>
        <v>18832.871158911174</v>
      </c>
      <c r="AB6" s="178">
        <f t="shared" si="1"/>
        <v>18138.206516816568</v>
      </c>
      <c r="AC6" s="178">
        <f t="shared" si="1"/>
        <v>18682.262790632998</v>
      </c>
      <c r="AD6" s="178">
        <f t="shared" si="1"/>
        <v>23334.485671822611</v>
      </c>
      <c r="AE6" s="178">
        <f t="shared" si="1"/>
        <v>19709.836402485598</v>
      </c>
      <c r="AF6" s="178">
        <f t="shared" si="1"/>
        <v>19986.020362485597</v>
      </c>
      <c r="AG6" s="178">
        <f t="shared" si="1"/>
        <v>20210.354822485522</v>
      </c>
      <c r="AH6" s="178">
        <f t="shared" si="1"/>
        <v>18483.088493739437</v>
      </c>
      <c r="AI6" s="178">
        <f t="shared" si="1"/>
        <v>18367.42345226599</v>
      </c>
      <c r="AJ6" s="178">
        <f t="shared" si="1"/>
        <v>19850.883797438393</v>
      </c>
      <c r="AK6" s="178">
        <f t="shared" si="1"/>
        <v>19915.016662610775</v>
      </c>
      <c r="AL6" s="178">
        <f t="shared" si="1"/>
        <v>19823.115045024588</v>
      </c>
      <c r="AM6" s="167"/>
      <c r="AN6" s="145"/>
      <c r="AO6" s="145"/>
      <c r="AP6" s="145"/>
      <c r="AQ6" s="145"/>
      <c r="AU6" s="168">
        <v>0.2101324533610899</v>
      </c>
      <c r="AV6" s="169">
        <v>0.2992428217775443</v>
      </c>
      <c r="AW6" s="169">
        <v>0.40911475339945874</v>
      </c>
      <c r="AX6" s="169">
        <v>0.51624568806495075</v>
      </c>
      <c r="AY6" s="169">
        <v>0.39914928946670375</v>
      </c>
      <c r="AZ6" s="169">
        <v>0.3596143769310105</v>
      </c>
      <c r="BA6" s="169">
        <v>0.71339658513420401</v>
      </c>
      <c r="BB6" s="169"/>
      <c r="BC6" s="169"/>
      <c r="BD6" s="169"/>
      <c r="BE6" s="169"/>
      <c r="BF6" s="169"/>
      <c r="BG6" s="169"/>
    </row>
    <row r="7" spans="1:59">
      <c r="A7" s="179" t="s">
        <v>78</v>
      </c>
      <c r="B7" s="171"/>
      <c r="C7" s="167"/>
      <c r="D7" s="172" t="s">
        <v>79</v>
      </c>
      <c r="E7" s="180">
        <f>E6/E5</f>
        <v>0.22361350896708981</v>
      </c>
      <c r="F7" s="180">
        <f t="shared" ref="F7:AL7" si="2">F6/F5</f>
        <v>0.44350019613720032</v>
      </c>
      <c r="G7" s="180">
        <f t="shared" si="2"/>
        <v>0.32362850832648188</v>
      </c>
      <c r="H7" s="181">
        <f t="shared" si="2"/>
        <v>0.39182363423008387</v>
      </c>
      <c r="I7" s="181">
        <f t="shared" si="2"/>
        <v>0.2216113230263459</v>
      </c>
      <c r="J7" s="181">
        <f t="shared" si="2"/>
        <v>0.59643698300303716</v>
      </c>
      <c r="K7" s="181">
        <f t="shared" si="2"/>
        <v>0.56993512537453628</v>
      </c>
      <c r="L7" s="181">
        <f t="shared" si="2"/>
        <v>0.64258389415354455</v>
      </c>
      <c r="M7" s="181">
        <f t="shared" si="2"/>
        <v>0.33910230182228851</v>
      </c>
      <c r="N7" s="181">
        <f t="shared" si="2"/>
        <v>0.72585738643227993</v>
      </c>
      <c r="O7" s="181">
        <f t="shared" si="2"/>
        <v>0.67877677003271597</v>
      </c>
      <c r="P7" s="181">
        <f t="shared" si="2"/>
        <v>0.37553485757121435</v>
      </c>
      <c r="Q7" s="181">
        <f t="shared" si="2"/>
        <v>0.64516963887942547</v>
      </c>
      <c r="R7" s="182">
        <f t="shared" si="2"/>
        <v>0.31575862400307481</v>
      </c>
      <c r="S7" s="182">
        <f t="shared" si="2"/>
        <v>0.39326065497872936</v>
      </c>
      <c r="T7" s="182">
        <f t="shared" si="2"/>
        <v>0.3302990993824087</v>
      </c>
      <c r="U7" s="182">
        <f t="shared" si="2"/>
        <v>0.58301798614568867</v>
      </c>
      <c r="V7" s="182">
        <f t="shared" si="2"/>
        <v>0.31373027945586512</v>
      </c>
      <c r="W7" s="182">
        <f t="shared" si="2"/>
        <v>0.48721914685557821</v>
      </c>
      <c r="X7" s="182">
        <f t="shared" si="2"/>
        <v>0.36383103528880723</v>
      </c>
      <c r="Y7" s="182">
        <f t="shared" si="2"/>
        <v>0.53291054098203128</v>
      </c>
      <c r="Z7" s="182">
        <f t="shared" si="2"/>
        <v>0.60736186374093137</v>
      </c>
      <c r="AA7" s="182">
        <f t="shared" si="2"/>
        <v>0.41128067557044584</v>
      </c>
      <c r="AB7" s="182">
        <f t="shared" si="2"/>
        <v>0.3961102779775974</v>
      </c>
      <c r="AC7" s="182">
        <f t="shared" si="2"/>
        <v>0.40799162256682558</v>
      </c>
      <c r="AD7" s="182">
        <f t="shared" si="2"/>
        <v>0.50958894956678213</v>
      </c>
      <c r="AE7" s="182">
        <f t="shared" si="2"/>
        <v>0.39717714534840637</v>
      </c>
      <c r="AF7" s="182">
        <f t="shared" si="2"/>
        <v>0.40274258762726695</v>
      </c>
      <c r="AG7" s="182">
        <f t="shared" si="2"/>
        <v>0.40726319949874901</v>
      </c>
      <c r="AH7" s="182">
        <f t="shared" si="2"/>
        <v>0.40364196506152844</v>
      </c>
      <c r="AI7" s="182">
        <f t="shared" si="2"/>
        <v>0.40111602007971009</v>
      </c>
      <c r="AJ7" s="182">
        <f t="shared" si="2"/>
        <v>0.40001942168912302</v>
      </c>
      <c r="AK7" s="182">
        <f t="shared" si="2"/>
        <v>0.40131177682551411</v>
      </c>
      <c r="AL7" s="182">
        <f t="shared" si="2"/>
        <v>0.39945984759685854</v>
      </c>
      <c r="AM7" s="167"/>
      <c r="AN7" s="183" t="s">
        <v>80</v>
      </c>
      <c r="AO7" s="145"/>
      <c r="AP7" s="145"/>
      <c r="AQ7" s="145"/>
    </row>
    <row r="8" spans="1:59">
      <c r="A8" s="184" t="s">
        <v>81</v>
      </c>
      <c r="B8" s="171"/>
      <c r="C8" s="167"/>
      <c r="D8" s="172" t="s">
        <v>1</v>
      </c>
      <c r="E8" s="185"/>
      <c r="F8" s="185"/>
      <c r="G8" s="186"/>
      <c r="H8" s="186">
        <f>3.5+1.5+3.6</f>
        <v>8.6</v>
      </c>
      <c r="I8" s="187">
        <v>2.46</v>
      </c>
      <c r="J8" s="188">
        <v>33</v>
      </c>
      <c r="K8" s="188">
        <v>11.6</v>
      </c>
      <c r="L8" s="189">
        <f>12+2.1</f>
        <v>14.1</v>
      </c>
      <c r="M8" s="186"/>
      <c r="N8" s="190">
        <v>3.4</v>
      </c>
      <c r="O8" s="186"/>
      <c r="P8" s="185"/>
      <c r="Q8" s="185">
        <v>2</v>
      </c>
      <c r="R8" s="186">
        <f>3+0.58</f>
        <v>3.58</v>
      </c>
      <c r="S8" s="185">
        <f>19+4</f>
        <v>23</v>
      </c>
      <c r="T8" s="185">
        <v>27</v>
      </c>
      <c r="U8" s="185">
        <v>13</v>
      </c>
      <c r="V8" s="185">
        <v>7</v>
      </c>
      <c r="W8" s="185">
        <f>32</f>
        <v>32</v>
      </c>
      <c r="X8" s="185">
        <v>20.677</v>
      </c>
      <c r="Y8" s="185">
        <f>1+2+3</f>
        <v>6</v>
      </c>
      <c r="Z8" s="185">
        <v>39</v>
      </c>
      <c r="AA8" s="185">
        <v>16</v>
      </c>
      <c r="AB8" s="185">
        <v>67</v>
      </c>
      <c r="AC8" s="185">
        <v>66</v>
      </c>
      <c r="AD8" s="185">
        <v>68</v>
      </c>
      <c r="AE8" s="185">
        <v>109</v>
      </c>
      <c r="AF8" s="185">
        <v>22</v>
      </c>
      <c r="AG8" s="185">
        <v>47</v>
      </c>
      <c r="AH8" s="185">
        <v>47</v>
      </c>
      <c r="AI8" s="185">
        <v>10</v>
      </c>
      <c r="AJ8" s="185">
        <v>39</v>
      </c>
      <c r="AK8" s="185">
        <v>33</v>
      </c>
      <c r="AL8" s="185">
        <v>61</v>
      </c>
      <c r="AM8" s="167"/>
      <c r="AN8" s="191">
        <f>SUM(Y8:AJ8)</f>
        <v>536</v>
      </c>
      <c r="AO8" s="145"/>
      <c r="AP8" s="145"/>
      <c r="AQ8" s="145"/>
    </row>
    <row r="9" spans="1:59" ht="15" thickBot="1">
      <c r="A9" s="192" t="s">
        <v>82</v>
      </c>
      <c r="B9" s="193"/>
      <c r="C9" s="194"/>
      <c r="D9" s="195" t="s">
        <v>1</v>
      </c>
      <c r="E9" s="196"/>
      <c r="F9" s="196"/>
      <c r="G9" s="196"/>
      <c r="H9" s="196"/>
      <c r="I9" s="197"/>
      <c r="J9" s="196"/>
      <c r="K9" s="196"/>
      <c r="L9" s="196">
        <f>-4</f>
        <v>-4</v>
      </c>
      <c r="M9" s="197"/>
      <c r="N9" s="196">
        <v>-5.97</v>
      </c>
      <c r="O9" s="198">
        <v>5.85</v>
      </c>
      <c r="P9" s="196"/>
      <c r="Q9" s="196"/>
      <c r="R9" s="197"/>
      <c r="S9" s="196"/>
      <c r="T9" s="198"/>
      <c r="U9" s="199">
        <v>-5</v>
      </c>
      <c r="V9" s="196"/>
      <c r="W9" s="196"/>
      <c r="X9" s="196"/>
      <c r="Y9" s="196"/>
      <c r="Z9" s="196"/>
      <c r="AA9" s="196">
        <v>-7</v>
      </c>
      <c r="AB9" s="196"/>
      <c r="AC9" s="196"/>
      <c r="AD9" s="196"/>
      <c r="AE9" s="196"/>
      <c r="AF9" s="196"/>
      <c r="AG9" s="196"/>
      <c r="AH9" s="196"/>
      <c r="AI9" s="196"/>
      <c r="AJ9" s="196"/>
      <c r="AK9" s="196"/>
      <c r="AL9" s="196"/>
      <c r="AM9" s="167"/>
      <c r="AN9" s="145"/>
      <c r="AO9" s="145"/>
      <c r="AP9" s="145"/>
      <c r="AQ9" s="145"/>
    </row>
    <row r="10" spans="1:59" s="145" customFormat="1">
      <c r="A10" s="170" t="s">
        <v>83</v>
      </c>
      <c r="B10" s="171"/>
      <c r="C10" s="167"/>
      <c r="D10" s="200"/>
      <c r="E10" s="201"/>
      <c r="F10" s="202">
        <v>2</v>
      </c>
      <c r="G10" s="201"/>
      <c r="H10" s="201"/>
      <c r="I10" s="201"/>
      <c r="J10" s="201"/>
      <c r="K10" s="201"/>
      <c r="L10" s="201"/>
      <c r="M10" s="201"/>
      <c r="N10" s="201"/>
      <c r="O10" s="201"/>
      <c r="P10" s="201"/>
      <c r="Q10" s="201"/>
      <c r="R10" s="203">
        <v>1.6</v>
      </c>
      <c r="S10" s="201">
        <v>1</v>
      </c>
      <c r="T10" s="201"/>
      <c r="U10" s="201">
        <v>1</v>
      </c>
      <c r="V10" s="203"/>
      <c r="W10" s="203"/>
      <c r="X10" s="203"/>
      <c r="Y10" s="201"/>
      <c r="Z10" s="201"/>
      <c r="AA10" s="201"/>
      <c r="AB10" s="201"/>
      <c r="AC10" s="201"/>
      <c r="AD10" s="201"/>
      <c r="AE10" s="201"/>
      <c r="AF10" s="201"/>
      <c r="AG10" s="201"/>
      <c r="AH10" s="201"/>
      <c r="AI10" s="201"/>
      <c r="AJ10" s="201"/>
      <c r="AK10" s="201"/>
      <c r="AL10" s="201"/>
      <c r="AM10" s="167"/>
    </row>
    <row r="11" spans="1:59" s="145" customFormat="1">
      <c r="A11" s="170" t="s">
        <v>84</v>
      </c>
      <c r="B11" s="171"/>
      <c r="C11" s="167"/>
      <c r="D11" s="200"/>
      <c r="E11" s="201"/>
      <c r="F11" s="202"/>
      <c r="G11" s="201"/>
      <c r="H11" s="202">
        <v>3.12</v>
      </c>
      <c r="I11" s="201"/>
      <c r="J11" s="201"/>
      <c r="K11" s="201"/>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167"/>
    </row>
    <row r="12" spans="1:59" ht="24" thickBot="1">
      <c r="A12" s="147" t="s">
        <v>85</v>
      </c>
      <c r="B12" s="144"/>
      <c r="C12" s="145"/>
      <c r="D12" s="148"/>
      <c r="E12" s="145"/>
      <c r="F12" s="145"/>
      <c r="G12" s="149">
        <v>43678</v>
      </c>
      <c r="H12" s="149">
        <v>43698</v>
      </c>
      <c r="I12" s="145"/>
      <c r="J12" s="145"/>
      <c r="K12" s="145"/>
      <c r="L12" s="150">
        <f t="shared" ref="L12:Q12" si="3">L16/1000</f>
        <v>0</v>
      </c>
      <c r="M12" s="150">
        <f t="shared" si="3"/>
        <v>0</v>
      </c>
      <c r="N12" s="150">
        <f t="shared" si="3"/>
        <v>0</v>
      </c>
      <c r="O12" s="150">
        <f t="shared" si="3"/>
        <v>0</v>
      </c>
      <c r="P12" s="150">
        <f t="shared" si="3"/>
        <v>0</v>
      </c>
      <c r="Q12" s="150">
        <f t="shared" si="3"/>
        <v>8.6043339000000003</v>
      </c>
      <c r="R12" s="150"/>
      <c r="S12" s="150"/>
      <c r="T12" s="150"/>
      <c r="U12" s="150"/>
      <c r="V12" s="150"/>
      <c r="W12" s="150"/>
      <c r="X12" s="150"/>
      <c r="Y12" s="150"/>
      <c r="Z12" s="150"/>
      <c r="AA12" s="150"/>
      <c r="AB12" s="150"/>
      <c r="AC12" s="150"/>
      <c r="AD12" s="150"/>
      <c r="AE12" s="150"/>
      <c r="AF12" s="150"/>
      <c r="AG12" s="150"/>
      <c r="AH12" s="150"/>
      <c r="AI12" s="150"/>
      <c r="AJ12" s="150"/>
      <c r="AK12" s="150"/>
      <c r="AL12" s="150"/>
      <c r="AM12" s="167"/>
      <c r="AN12" s="167"/>
      <c r="AO12" s="145"/>
      <c r="AP12" s="145"/>
      <c r="AQ12" s="145"/>
    </row>
    <row r="13" spans="1:59" s="160" customFormat="1" ht="15" thickBot="1">
      <c r="A13" s="151" t="s">
        <v>74</v>
      </c>
      <c r="B13" s="152"/>
      <c r="C13" s="153"/>
      <c r="D13" s="154"/>
      <c r="E13" s="155">
        <v>43587</v>
      </c>
      <c r="F13" s="155">
        <v>43618</v>
      </c>
      <c r="G13" s="155">
        <v>43648</v>
      </c>
      <c r="H13" s="155">
        <v>43679</v>
      </c>
      <c r="I13" s="156">
        <v>43710</v>
      </c>
      <c r="J13" s="156">
        <v>43740</v>
      </c>
      <c r="K13" s="155">
        <v>43771</v>
      </c>
      <c r="L13" s="157">
        <v>43801</v>
      </c>
      <c r="M13" s="156">
        <v>43832</v>
      </c>
      <c r="N13" s="156">
        <v>43863</v>
      </c>
      <c r="O13" s="155">
        <v>43892</v>
      </c>
      <c r="P13" s="155">
        <v>43923</v>
      </c>
      <c r="Q13" s="155">
        <v>43953</v>
      </c>
      <c r="R13" s="156">
        <v>43984</v>
      </c>
      <c r="S13" s="156">
        <v>44014</v>
      </c>
      <c r="T13" s="156">
        <v>44045</v>
      </c>
      <c r="U13" s="156">
        <v>44076</v>
      </c>
      <c r="V13" s="156">
        <v>44106</v>
      </c>
      <c r="W13" s="156">
        <v>44137</v>
      </c>
      <c r="X13" s="156">
        <v>44167</v>
      </c>
      <c r="Y13" s="156">
        <f>Y3</f>
        <v>44198</v>
      </c>
      <c r="Z13" s="156">
        <f t="shared" ref="Z13:AL13" si="4">Z3</f>
        <v>44229</v>
      </c>
      <c r="AA13" s="156">
        <f t="shared" si="4"/>
        <v>44257</v>
      </c>
      <c r="AB13" s="156">
        <f t="shared" si="4"/>
        <v>44288</v>
      </c>
      <c r="AC13" s="156">
        <f t="shared" si="4"/>
        <v>44318</v>
      </c>
      <c r="AD13" s="156">
        <f t="shared" si="4"/>
        <v>44349</v>
      </c>
      <c r="AE13" s="156">
        <f t="shared" si="4"/>
        <v>44379</v>
      </c>
      <c r="AF13" s="156">
        <f t="shared" si="4"/>
        <v>44410</v>
      </c>
      <c r="AG13" s="156">
        <f t="shared" si="4"/>
        <v>44441</v>
      </c>
      <c r="AH13" s="156">
        <f t="shared" si="4"/>
        <v>44471</v>
      </c>
      <c r="AI13" s="156">
        <f t="shared" si="4"/>
        <v>44502</v>
      </c>
      <c r="AJ13" s="156">
        <f t="shared" si="4"/>
        <v>44532</v>
      </c>
      <c r="AK13" s="156">
        <f t="shared" si="4"/>
        <v>44563</v>
      </c>
      <c r="AL13" s="156">
        <f t="shared" si="4"/>
        <v>44594</v>
      </c>
      <c r="AM13" s="204"/>
      <c r="AN13" s="204"/>
      <c r="AO13" s="159"/>
      <c r="AP13" s="159"/>
      <c r="AQ13" s="159"/>
    </row>
    <row r="14" spans="1:59">
      <c r="A14" s="161" t="s">
        <v>35</v>
      </c>
      <c r="B14" s="162"/>
      <c r="C14" s="163"/>
      <c r="D14" s="164"/>
      <c r="E14" s="165"/>
      <c r="F14" s="166"/>
      <c r="G14" s="166"/>
      <c r="H14" s="166"/>
      <c r="I14" s="166"/>
      <c r="J14" s="166"/>
      <c r="K14" s="166"/>
      <c r="L14" s="166"/>
      <c r="M14" s="166"/>
      <c r="N14" s="166"/>
      <c r="O14" s="166"/>
      <c r="P14" s="166"/>
      <c r="Q14" s="166"/>
      <c r="R14" s="205"/>
      <c r="S14" s="166"/>
      <c r="T14" s="166"/>
      <c r="U14" s="166"/>
      <c r="V14" s="166"/>
      <c r="W14" s="166"/>
      <c r="X14" s="166"/>
      <c r="Y14" s="166"/>
      <c r="Z14" s="166"/>
      <c r="AA14" s="166"/>
      <c r="AB14" s="166"/>
      <c r="AC14" s="166"/>
      <c r="AD14" s="166"/>
      <c r="AE14" s="166"/>
      <c r="AF14" s="166"/>
      <c r="AG14" s="166"/>
      <c r="AH14" s="166"/>
      <c r="AI14" s="166"/>
      <c r="AJ14" s="166"/>
      <c r="AK14" s="166"/>
      <c r="AL14" s="166"/>
      <c r="AM14" s="167"/>
      <c r="AN14" s="167"/>
      <c r="AO14" s="145"/>
      <c r="AP14" s="145"/>
      <c r="AQ14" s="145"/>
    </row>
    <row r="15" spans="1:59">
      <c r="A15" s="170" t="s">
        <v>86</v>
      </c>
      <c r="B15" s="171"/>
      <c r="C15" s="167"/>
      <c r="D15" s="172" t="s">
        <v>76</v>
      </c>
      <c r="E15" s="173"/>
      <c r="F15" s="173"/>
      <c r="G15" s="173"/>
      <c r="H15" s="174"/>
      <c r="I15" s="173"/>
      <c r="J15" s="174"/>
      <c r="K15" s="173"/>
      <c r="L15" s="173"/>
      <c r="M15" s="173"/>
      <c r="N15" s="173"/>
      <c r="O15" s="173"/>
      <c r="P15" s="173"/>
      <c r="Q15" s="176">
        <v>10820</v>
      </c>
      <c r="R15" s="206">
        <v>10820</v>
      </c>
      <c r="S15" s="176">
        <v>10820</v>
      </c>
      <c r="T15" s="176">
        <v>10820</v>
      </c>
      <c r="U15" s="176">
        <v>10820</v>
      </c>
      <c r="V15" s="175">
        <v>7213.6</v>
      </c>
      <c r="W15" s="175">
        <v>7213.6</v>
      </c>
      <c r="X15" s="176">
        <v>10820</v>
      </c>
      <c r="Y15" s="176">
        <v>10820</v>
      </c>
      <c r="Z15" s="176">
        <v>10820</v>
      </c>
      <c r="AA15" s="176">
        <v>10820</v>
      </c>
      <c r="AB15" s="176">
        <v>10820</v>
      </c>
      <c r="AC15" s="176">
        <v>10820</v>
      </c>
      <c r="AD15" s="176">
        <v>10820</v>
      </c>
      <c r="AE15" s="176">
        <v>10820</v>
      </c>
      <c r="AF15" s="176">
        <v>10820</v>
      </c>
      <c r="AG15" s="176">
        <v>10820</v>
      </c>
      <c r="AH15" s="176">
        <v>10820</v>
      </c>
      <c r="AI15" s="176">
        <v>10820</v>
      </c>
      <c r="AJ15" s="176">
        <v>10820</v>
      </c>
      <c r="AK15" s="176">
        <v>10820</v>
      </c>
      <c r="AL15" s="176">
        <v>10820</v>
      </c>
      <c r="AM15" s="167"/>
      <c r="AN15" s="167"/>
      <c r="AO15" s="145"/>
      <c r="AP15" s="145"/>
      <c r="AQ15" s="145"/>
    </row>
    <row r="16" spans="1:59">
      <c r="A16" s="170" t="s">
        <v>87</v>
      </c>
      <c r="B16" s="171"/>
      <c r="C16" s="167"/>
      <c r="D16" s="172" t="s">
        <v>76</v>
      </c>
      <c r="E16" s="178"/>
      <c r="F16" s="178"/>
      <c r="G16" s="178"/>
      <c r="H16" s="178"/>
      <c r="I16" s="178"/>
      <c r="J16" s="178"/>
      <c r="K16" s="178"/>
      <c r="L16" s="178"/>
      <c r="M16" s="178"/>
      <c r="N16" s="178"/>
      <c r="O16" s="178"/>
      <c r="P16" s="178"/>
      <c r="Q16" s="178">
        <v>8604.3338999999996</v>
      </c>
      <c r="R16" s="207">
        <v>4280.92</v>
      </c>
      <c r="S16" s="178">
        <v>4603.84</v>
      </c>
      <c r="T16" s="178">
        <v>5097.9400000000005</v>
      </c>
      <c r="U16" s="178">
        <v>8486.9800000000014</v>
      </c>
      <c r="V16" s="178">
        <v>4215.0621000000001</v>
      </c>
      <c r="W16" s="178">
        <v>5552.8707000000004</v>
      </c>
      <c r="X16" s="178">
        <v>3405.2722000000003</v>
      </c>
      <c r="Y16" s="178">
        <v>8673.82</v>
      </c>
      <c r="Z16" s="178">
        <f>Y16-Z17+((Z40-Z78-Z80-Z81-Z83-Z84-Z85-Z86)*1000)</f>
        <v>4100.4042406049821</v>
      </c>
      <c r="AA16" s="178">
        <f t="shared" ref="AA16:AL16" si="5">Z16-AA17+((AA40-AA78-AA80-AA81-AA83-AA84-AA85-AA86)*1000)</f>
        <v>4764.1884887890992</v>
      </c>
      <c r="AB16" s="178">
        <f t="shared" si="5"/>
        <v>4722.7505575252417</v>
      </c>
      <c r="AC16" s="178">
        <f t="shared" si="5"/>
        <v>8266.5825575252438</v>
      </c>
      <c r="AD16" s="178">
        <f t="shared" si="5"/>
        <v>5426.1005575252502</v>
      </c>
      <c r="AE16" s="178">
        <f t="shared" si="5"/>
        <v>3839.3286981882511</v>
      </c>
      <c r="AF16" s="178">
        <f t="shared" si="5"/>
        <v>7254.4376981882624</v>
      </c>
      <c r="AG16" s="178">
        <f t="shared" si="5"/>
        <v>3847.1866981882581</v>
      </c>
      <c r="AH16" s="178">
        <f t="shared" si="5"/>
        <v>6038.1842102049668</v>
      </c>
      <c r="AI16" s="178">
        <f t="shared" si="5"/>
        <v>8795.9417973294185</v>
      </c>
      <c r="AJ16" s="178">
        <f t="shared" si="5"/>
        <v>7039.1676919186984</v>
      </c>
      <c r="AK16" s="178">
        <f t="shared" si="5"/>
        <v>7941.3935865079839</v>
      </c>
      <c r="AL16" s="178">
        <f t="shared" si="5"/>
        <v>-39.638702250081224</v>
      </c>
      <c r="AM16" s="167"/>
      <c r="AN16" s="167"/>
      <c r="AO16" s="145"/>
      <c r="AP16" s="145"/>
      <c r="AQ16" s="145"/>
    </row>
    <row r="17" spans="1:43">
      <c r="A17" s="170" t="s">
        <v>88</v>
      </c>
      <c r="B17" s="171"/>
      <c r="C17" s="167"/>
      <c r="D17" s="172" t="s">
        <v>76</v>
      </c>
      <c r="E17" s="178"/>
      <c r="F17" s="178"/>
      <c r="G17" s="178"/>
      <c r="H17" s="178"/>
      <c r="I17" s="178"/>
      <c r="J17" s="178"/>
      <c r="K17" s="178"/>
      <c r="L17" s="178"/>
      <c r="M17" s="178"/>
      <c r="N17" s="178"/>
      <c r="O17" s="178"/>
      <c r="P17" s="178"/>
      <c r="Q17" s="178"/>
      <c r="R17" s="207">
        <v>4303.2400800000014</v>
      </c>
      <c r="S17" s="178">
        <v>2500</v>
      </c>
      <c r="T17" s="178">
        <v>8500</v>
      </c>
      <c r="U17" s="178">
        <v>1000</v>
      </c>
      <c r="V17" s="178">
        <v>8000</v>
      </c>
      <c r="W17" s="178">
        <v>5005</v>
      </c>
      <c r="X17" s="178">
        <v>3000</v>
      </c>
      <c r="Y17" s="178">
        <v>7000</v>
      </c>
      <c r="Z17" s="178">
        <v>6000</v>
      </c>
      <c r="AA17" s="178">
        <v>1500</v>
      </c>
      <c r="AB17" s="178">
        <f>3000</f>
        <v>3000</v>
      </c>
      <c r="AC17" s="178">
        <f>3000</f>
        <v>3000</v>
      </c>
      <c r="AD17" s="178">
        <v>2000</v>
      </c>
      <c r="AE17" s="178">
        <v>2000</v>
      </c>
      <c r="AF17" s="178">
        <v>11000</v>
      </c>
      <c r="AG17" s="178">
        <v>2000</v>
      </c>
      <c r="AH17" s="178">
        <v>4000</v>
      </c>
      <c r="AI17" s="178">
        <v>30000</v>
      </c>
      <c r="AJ17" s="178">
        <v>1000</v>
      </c>
      <c r="AK17" s="178">
        <v>1000</v>
      </c>
      <c r="AL17" s="178">
        <v>1000</v>
      </c>
      <c r="AM17" s="167"/>
      <c r="AN17" s="167"/>
      <c r="AO17" s="145"/>
      <c r="AP17" s="145"/>
      <c r="AQ17" s="145"/>
    </row>
    <row r="18" spans="1:43" ht="15" thickBot="1">
      <c r="A18" s="208" t="s">
        <v>89</v>
      </c>
      <c r="B18" s="193"/>
      <c r="C18" s="194"/>
      <c r="D18" s="195" t="s">
        <v>79</v>
      </c>
      <c r="E18" s="180" t="e">
        <f>E16/E15</f>
        <v>#DIV/0!</v>
      </c>
      <c r="F18" s="180" t="e">
        <f t="shared" ref="F18:Y18" si="6">F16/F15</f>
        <v>#DIV/0!</v>
      </c>
      <c r="G18" s="180" t="e">
        <f t="shared" si="6"/>
        <v>#DIV/0!</v>
      </c>
      <c r="H18" s="181" t="e">
        <f t="shared" si="6"/>
        <v>#DIV/0!</v>
      </c>
      <c r="I18" s="181" t="e">
        <f t="shared" si="6"/>
        <v>#DIV/0!</v>
      </c>
      <c r="J18" s="181" t="e">
        <f t="shared" si="6"/>
        <v>#DIV/0!</v>
      </c>
      <c r="K18" s="181" t="e">
        <f t="shared" si="6"/>
        <v>#DIV/0!</v>
      </c>
      <c r="L18" s="181" t="e">
        <f t="shared" si="6"/>
        <v>#DIV/0!</v>
      </c>
      <c r="M18" s="181" t="e">
        <f t="shared" si="6"/>
        <v>#DIV/0!</v>
      </c>
      <c r="N18" s="181" t="e">
        <f t="shared" si="6"/>
        <v>#DIV/0!</v>
      </c>
      <c r="O18" s="181" t="e">
        <f t="shared" si="6"/>
        <v>#DIV/0!</v>
      </c>
      <c r="P18" s="181" t="e">
        <f t="shared" si="6"/>
        <v>#DIV/0!</v>
      </c>
      <c r="Q18" s="181">
        <f t="shared" si="6"/>
        <v>0.79522494454713488</v>
      </c>
      <c r="R18" s="209">
        <f t="shared" si="6"/>
        <v>0.39564879852125695</v>
      </c>
      <c r="S18" s="89">
        <f t="shared" si="6"/>
        <v>0.42549353049907579</v>
      </c>
      <c r="T18" s="89">
        <f t="shared" si="6"/>
        <v>0.47115896487985215</v>
      </c>
      <c r="U18" s="89">
        <f t="shared" si="6"/>
        <v>0.7843789279112755</v>
      </c>
      <c r="V18" s="89">
        <f t="shared" si="6"/>
        <v>0.58432157313962518</v>
      </c>
      <c r="W18" s="89">
        <f t="shared" si="6"/>
        <v>0.76977801652434297</v>
      </c>
      <c r="X18" s="89">
        <f t="shared" si="6"/>
        <v>0.31472016635859523</v>
      </c>
      <c r="Y18" s="89">
        <f t="shared" si="6"/>
        <v>0.80164695009242137</v>
      </c>
      <c r="Z18" s="89">
        <f>Z16/Z15</f>
        <v>0.37896527177495215</v>
      </c>
      <c r="AA18" s="89">
        <f t="shared" ref="AA18:AJ18" si="7">AA16/AA15</f>
        <v>0.44031316901932527</v>
      </c>
      <c r="AB18" s="89">
        <f t="shared" si="7"/>
        <v>0.43648341566776727</v>
      </c>
      <c r="AC18" s="89">
        <f t="shared" si="7"/>
        <v>0.76400947851434786</v>
      </c>
      <c r="AD18" s="89">
        <f t="shared" si="7"/>
        <v>0.50148803673985676</v>
      </c>
      <c r="AE18" s="89">
        <f t="shared" si="7"/>
        <v>0.35483629373274039</v>
      </c>
      <c r="AF18" s="89">
        <f t="shared" si="7"/>
        <v>0.67046559132978401</v>
      </c>
      <c r="AG18" s="89">
        <f t="shared" si="7"/>
        <v>0.355562541422205</v>
      </c>
      <c r="AH18" s="89">
        <f t="shared" si="7"/>
        <v>0.55805769040711339</v>
      </c>
      <c r="AI18" s="89">
        <f t="shared" si="7"/>
        <v>0.81293362267369862</v>
      </c>
      <c r="AJ18" s="89">
        <f t="shared" si="7"/>
        <v>0.65057002697954702</v>
      </c>
      <c r="AK18" s="89">
        <f>AK16/AK15</f>
        <v>0.73395504496376929</v>
      </c>
      <c r="AL18" s="89">
        <f>AL16/AL15</f>
        <v>-3.6634660120222944E-3</v>
      </c>
      <c r="AM18" s="167"/>
      <c r="AN18" s="167"/>
      <c r="AO18" s="145"/>
      <c r="AP18" s="145"/>
      <c r="AQ18" s="145"/>
    </row>
    <row r="19" spans="1:43" ht="24" thickBot="1">
      <c r="A19" s="147" t="s">
        <v>90</v>
      </c>
      <c r="B19" s="144"/>
      <c r="C19" s="145"/>
      <c r="D19" s="148"/>
      <c r="E19" s="145"/>
      <c r="F19" s="145"/>
      <c r="G19" s="149">
        <v>43678</v>
      </c>
      <c r="H19" s="149">
        <v>43698</v>
      </c>
      <c r="I19" s="145"/>
      <c r="J19" s="145"/>
      <c r="K19" s="145"/>
      <c r="L19" s="150">
        <f t="shared" ref="L19:Q19" si="8">L23/1000</f>
        <v>0</v>
      </c>
      <c r="M19" s="150">
        <f t="shared" si="8"/>
        <v>0</v>
      </c>
      <c r="N19" s="150">
        <f t="shared" si="8"/>
        <v>0</v>
      </c>
      <c r="O19" s="150">
        <f t="shared" si="8"/>
        <v>0</v>
      </c>
      <c r="P19" s="150">
        <f t="shared" si="8"/>
        <v>0</v>
      </c>
      <c r="Q19" s="150">
        <f t="shared" si="8"/>
        <v>20.938500000000001</v>
      </c>
      <c r="R19" s="150"/>
      <c r="S19" s="150"/>
      <c r="T19" s="150"/>
      <c r="U19" s="150"/>
      <c r="V19" s="150"/>
      <c r="W19" s="150"/>
      <c r="X19" s="150"/>
      <c r="Y19" s="150"/>
      <c r="Z19" s="150"/>
      <c r="AA19" s="150"/>
      <c r="AB19" s="150"/>
      <c r="AC19" s="150"/>
      <c r="AD19" s="150"/>
      <c r="AE19" s="150"/>
      <c r="AF19" s="150"/>
      <c r="AG19" s="150"/>
      <c r="AH19" s="150"/>
      <c r="AI19" s="150"/>
      <c r="AJ19" s="150"/>
      <c r="AK19" s="150"/>
      <c r="AL19" s="150"/>
      <c r="AM19" s="167"/>
      <c r="AN19" s="167"/>
      <c r="AO19" s="145"/>
      <c r="AP19" s="145"/>
      <c r="AQ19" s="145"/>
    </row>
    <row r="20" spans="1:43" s="160" customFormat="1" ht="15" thickBot="1">
      <c r="A20" s="151" t="s">
        <v>74</v>
      </c>
      <c r="B20" s="152"/>
      <c r="C20" s="153"/>
      <c r="D20" s="154"/>
      <c r="E20" s="210">
        <v>43587</v>
      </c>
      <c r="F20" s="155">
        <v>43618</v>
      </c>
      <c r="G20" s="155">
        <v>43648</v>
      </c>
      <c r="H20" s="155">
        <v>43679</v>
      </c>
      <c r="I20" s="156">
        <v>43710</v>
      </c>
      <c r="J20" s="156">
        <v>43740</v>
      </c>
      <c r="K20" s="155">
        <v>43771</v>
      </c>
      <c r="L20" s="157">
        <v>43801</v>
      </c>
      <c r="M20" s="156">
        <v>43832</v>
      </c>
      <c r="N20" s="156">
        <v>43863</v>
      </c>
      <c r="O20" s="155">
        <v>43892</v>
      </c>
      <c r="P20" s="155">
        <v>43923</v>
      </c>
      <c r="Q20" s="155">
        <v>43953</v>
      </c>
      <c r="R20" s="156">
        <v>43984</v>
      </c>
      <c r="S20" s="156">
        <v>44014</v>
      </c>
      <c r="T20" s="156">
        <v>44045</v>
      </c>
      <c r="U20" s="156">
        <v>44076</v>
      </c>
      <c r="V20" s="156">
        <v>44106</v>
      </c>
      <c r="W20" s="156">
        <v>44137</v>
      </c>
      <c r="X20" s="156">
        <v>44167</v>
      </c>
      <c r="Y20" s="156">
        <f>Y3</f>
        <v>44198</v>
      </c>
      <c r="Z20" s="156">
        <f t="shared" ref="Z20:AL20" si="9">Z3</f>
        <v>44229</v>
      </c>
      <c r="AA20" s="156">
        <f t="shared" si="9"/>
        <v>44257</v>
      </c>
      <c r="AB20" s="156">
        <f t="shared" si="9"/>
        <v>44288</v>
      </c>
      <c r="AC20" s="156">
        <f t="shared" si="9"/>
        <v>44318</v>
      </c>
      <c r="AD20" s="156">
        <f t="shared" si="9"/>
        <v>44349</v>
      </c>
      <c r="AE20" s="156">
        <f t="shared" si="9"/>
        <v>44379</v>
      </c>
      <c r="AF20" s="156">
        <f t="shared" si="9"/>
        <v>44410</v>
      </c>
      <c r="AG20" s="156">
        <f t="shared" si="9"/>
        <v>44441</v>
      </c>
      <c r="AH20" s="156">
        <f t="shared" si="9"/>
        <v>44471</v>
      </c>
      <c r="AI20" s="156">
        <f t="shared" si="9"/>
        <v>44502</v>
      </c>
      <c r="AJ20" s="156">
        <f t="shared" si="9"/>
        <v>44532</v>
      </c>
      <c r="AK20" s="156">
        <f t="shared" si="9"/>
        <v>44563</v>
      </c>
      <c r="AL20" s="156">
        <f t="shared" si="9"/>
        <v>44594</v>
      </c>
      <c r="AM20" s="145"/>
      <c r="AN20" s="204"/>
      <c r="AO20" s="159"/>
      <c r="AP20" s="159"/>
      <c r="AQ20" s="159"/>
    </row>
    <row r="21" spans="1:43">
      <c r="A21" s="161" t="s">
        <v>35</v>
      </c>
      <c r="B21" s="162"/>
      <c r="C21" s="163"/>
      <c r="D21" s="164"/>
      <c r="E21" s="165"/>
      <c r="F21" s="166"/>
      <c r="G21" s="166"/>
      <c r="H21" s="166"/>
      <c r="I21" s="166"/>
      <c r="J21" s="166"/>
      <c r="K21" s="166"/>
      <c r="L21" s="166"/>
      <c r="M21" s="166"/>
      <c r="N21" s="166"/>
      <c r="O21" s="166"/>
      <c r="P21" s="166"/>
      <c r="Q21" s="166"/>
      <c r="R21" s="205"/>
      <c r="S21" s="166"/>
      <c r="T21" s="166"/>
      <c r="U21" s="166"/>
      <c r="V21" s="166"/>
      <c r="W21" s="166"/>
      <c r="X21" s="166"/>
      <c r="Y21" s="166"/>
      <c r="Z21" s="166"/>
      <c r="AA21" s="166"/>
      <c r="AB21" s="166"/>
      <c r="AC21" s="166"/>
      <c r="AD21" s="166"/>
      <c r="AE21" s="166"/>
      <c r="AF21" s="166"/>
      <c r="AG21" s="166"/>
      <c r="AH21" s="166"/>
      <c r="AI21" s="166"/>
      <c r="AJ21" s="166"/>
      <c r="AK21" s="166"/>
      <c r="AL21" s="166"/>
      <c r="AM21" s="167"/>
      <c r="AN21" s="167"/>
      <c r="AO21" s="145"/>
      <c r="AP21" s="145"/>
      <c r="AQ21" s="145"/>
    </row>
    <row r="22" spans="1:43">
      <c r="A22" s="170" t="s">
        <v>91</v>
      </c>
      <c r="B22" s="171"/>
      <c r="C22" s="167"/>
      <c r="D22" s="172" t="s">
        <v>76</v>
      </c>
      <c r="E22" s="173"/>
      <c r="F22" s="173"/>
      <c r="G22" s="173"/>
      <c r="H22" s="174"/>
      <c r="I22" s="173"/>
      <c r="J22" s="174"/>
      <c r="K22" s="173"/>
      <c r="L22" s="173"/>
      <c r="M22" s="173"/>
      <c r="N22" s="173"/>
      <c r="O22" s="173"/>
      <c r="P22" s="173"/>
      <c r="Q22" s="174">
        <v>34970.800000000003</v>
      </c>
      <c r="R22" s="174">
        <f>R5-R15</f>
        <v>34970.800000000003</v>
      </c>
      <c r="S22" s="174">
        <f>S5-S15</f>
        <v>34970.800000000003</v>
      </c>
      <c r="T22" s="174">
        <v>34970.800000000003</v>
      </c>
      <c r="U22" s="174">
        <v>34970.800000000003</v>
      </c>
      <c r="V22" s="176">
        <v>38804.400000000001</v>
      </c>
      <c r="W22" s="176">
        <v>38804.400000000001</v>
      </c>
      <c r="X22" s="176">
        <v>38804.800000000003</v>
      </c>
      <c r="Y22" s="176">
        <v>38804.800000000003</v>
      </c>
      <c r="Z22" s="175">
        <v>34970.800000000003</v>
      </c>
      <c r="AA22" s="175">
        <v>34970.800000000003</v>
      </c>
      <c r="AB22" s="175">
        <v>34970.800000000003</v>
      </c>
      <c r="AC22" s="175">
        <v>34970.800000000003</v>
      </c>
      <c r="AD22" s="175">
        <v>34970.800000000003</v>
      </c>
      <c r="AE22" s="176">
        <v>38804.800000000003</v>
      </c>
      <c r="AF22" s="176">
        <v>38804.800000000003</v>
      </c>
      <c r="AG22" s="176">
        <v>38804.800000000003</v>
      </c>
      <c r="AH22" s="175">
        <v>34970.800000000003</v>
      </c>
      <c r="AI22" s="175">
        <v>34970.800000000003</v>
      </c>
      <c r="AJ22" s="176">
        <v>38804.800000000003</v>
      </c>
      <c r="AK22" s="176">
        <v>38804.800000000003</v>
      </c>
      <c r="AL22" s="176">
        <v>38804.800000000003</v>
      </c>
      <c r="AM22" s="167"/>
      <c r="AN22" s="167"/>
      <c r="AO22" s="145"/>
      <c r="AP22" s="145"/>
      <c r="AQ22" s="145"/>
    </row>
    <row r="23" spans="1:43">
      <c r="A23" s="177" t="s">
        <v>92</v>
      </c>
      <c r="B23" s="171"/>
      <c r="C23" s="167"/>
      <c r="D23" s="172" t="s">
        <v>76</v>
      </c>
      <c r="E23" s="178"/>
      <c r="F23" s="178"/>
      <c r="G23" s="178"/>
      <c r="H23" s="178"/>
      <c r="I23" s="178"/>
      <c r="J23" s="178"/>
      <c r="K23" s="178"/>
      <c r="L23" s="178"/>
      <c r="M23" s="178"/>
      <c r="N23" s="178"/>
      <c r="O23" s="178"/>
      <c r="P23" s="178"/>
      <c r="Q23" s="178">
        <v>20938.5</v>
      </c>
      <c r="R23" s="178">
        <v>10177.919999999998</v>
      </c>
      <c r="S23" s="178">
        <v>13403.88</v>
      </c>
      <c r="T23" s="178">
        <v>10026.720000000001</v>
      </c>
      <c r="U23" s="178">
        <v>18209.88</v>
      </c>
      <c r="V23" s="178">
        <v>10209.780000000001</v>
      </c>
      <c r="W23" s="178">
        <v>16867.98</v>
      </c>
      <c r="X23" s="178">
        <v>14649.770160000002</v>
      </c>
      <c r="Y23" s="178">
        <v>15728.580000000002</v>
      </c>
      <c r="Z23" s="178">
        <f t="shared" ref="Z23:AL23" si="10">Y23+Z17+((Z41+Z44+Z8-Z9+Z10-Z79-Z82-Z87-Z88-Z89-Z90-Z91-Z92-Z93-Z94-Z95-Z96-Z97-Z98-Z99-Z100-Z101-Z102-Z103-Z104-Z105-Z106-Z107-Z108-Z109-Z110-Z111-Z112-Z116-Z117-Z118-Z119-Z120-Z121-Z122-Z123-Z124-Z125-Z126-Z127-Z128-Z129-Z130-Z131-Z132)*1000)</f>
        <v>23711.181389583311</v>
      </c>
      <c r="AA23" s="178">
        <f t="shared" si="10"/>
        <v>14068.682670122178</v>
      </c>
      <c r="AB23" s="178">
        <f t="shared" si="10"/>
        <v>13415.455959291397</v>
      </c>
      <c r="AC23" s="178">
        <f t="shared" si="10"/>
        <v>10415.680233107836</v>
      </c>
      <c r="AD23" s="178">
        <f t="shared" si="10"/>
        <v>17908.385114297438</v>
      </c>
      <c r="AE23" s="178">
        <f t="shared" si="10"/>
        <v>15870.50770429743</v>
      </c>
      <c r="AF23" s="178">
        <f t="shared" si="10"/>
        <v>12731.582664297441</v>
      </c>
      <c r="AG23" s="178">
        <f t="shared" si="10"/>
        <v>16363.16812429741</v>
      </c>
      <c r="AH23" s="178">
        <f t="shared" si="10"/>
        <v>12444.90428353467</v>
      </c>
      <c r="AI23" s="178">
        <f t="shared" si="10"/>
        <v>9571.4816549367606</v>
      </c>
      <c r="AJ23" s="178">
        <f t="shared" si="10"/>
        <v>12811.716105519941</v>
      </c>
      <c r="AK23" s="178">
        <f t="shared" si="10"/>
        <v>11973.623076103133</v>
      </c>
      <c r="AL23" s="178">
        <f t="shared" si="10"/>
        <v>19862.753747275081</v>
      </c>
      <c r="AM23" s="167"/>
      <c r="AN23" s="167"/>
      <c r="AO23" s="145"/>
      <c r="AP23" s="145"/>
      <c r="AQ23" s="145"/>
    </row>
    <row r="24" spans="1:43" ht="15" thickBot="1">
      <c r="A24" s="208" t="s">
        <v>93</v>
      </c>
      <c r="B24" s="193"/>
      <c r="C24" s="194"/>
      <c r="D24" s="195" t="s">
        <v>79</v>
      </c>
      <c r="E24" s="180" t="e">
        <f>E23/E22</f>
        <v>#DIV/0!</v>
      </c>
      <c r="F24" s="180" t="e">
        <f t="shared" ref="F24:AJ24" si="11">F23/F22</f>
        <v>#DIV/0!</v>
      </c>
      <c r="G24" s="180" t="e">
        <f t="shared" si="11"/>
        <v>#DIV/0!</v>
      </c>
      <c r="H24" s="181" t="e">
        <f t="shared" si="11"/>
        <v>#DIV/0!</v>
      </c>
      <c r="I24" s="181" t="e">
        <f t="shared" si="11"/>
        <v>#DIV/0!</v>
      </c>
      <c r="J24" s="181" t="e">
        <f t="shared" si="11"/>
        <v>#DIV/0!</v>
      </c>
      <c r="K24" s="181" t="e">
        <f t="shared" si="11"/>
        <v>#DIV/0!</v>
      </c>
      <c r="L24" s="181" t="e">
        <f t="shared" si="11"/>
        <v>#DIV/0!</v>
      </c>
      <c r="M24" s="181" t="e">
        <f t="shared" si="11"/>
        <v>#DIV/0!</v>
      </c>
      <c r="N24" s="181" t="e">
        <f t="shared" si="11"/>
        <v>#DIV/0!</v>
      </c>
      <c r="O24" s="181" t="e">
        <f t="shared" si="11"/>
        <v>#DIV/0!</v>
      </c>
      <c r="P24" s="181" t="e">
        <f t="shared" si="11"/>
        <v>#DIV/0!</v>
      </c>
      <c r="Q24" s="181">
        <f t="shared" si="11"/>
        <v>0.59874237935649166</v>
      </c>
      <c r="R24" s="209">
        <f t="shared" si="11"/>
        <v>0.29104052523819868</v>
      </c>
      <c r="S24" s="89">
        <f t="shared" si="11"/>
        <v>0.38328777151223303</v>
      </c>
      <c r="T24" s="89">
        <f t="shared" si="11"/>
        <v>0.28671691811454131</v>
      </c>
      <c r="U24" s="89">
        <f t="shared" si="11"/>
        <v>0.5207167122284877</v>
      </c>
      <c r="V24" s="89">
        <f t="shared" si="11"/>
        <v>0.26310882271082664</v>
      </c>
      <c r="W24" s="89">
        <f t="shared" si="11"/>
        <v>0.43469245755635955</v>
      </c>
      <c r="X24" s="89">
        <f t="shared" si="11"/>
        <v>0.3775246917907063</v>
      </c>
      <c r="Y24" s="89">
        <f t="shared" si="11"/>
        <v>0.40532562981899151</v>
      </c>
      <c r="Z24" s="89">
        <f t="shared" si="11"/>
        <v>0.67802799448635176</v>
      </c>
      <c r="AA24" s="89">
        <f t="shared" si="11"/>
        <v>0.40229799347233053</v>
      </c>
      <c r="AB24" s="89">
        <f t="shared" si="11"/>
        <v>0.38361878936974264</v>
      </c>
      <c r="AC24" s="89">
        <f t="shared" si="11"/>
        <v>0.29783934691536468</v>
      </c>
      <c r="AD24" s="89">
        <f t="shared" si="11"/>
        <v>0.5120953799826552</v>
      </c>
      <c r="AE24" s="89">
        <f t="shared" si="11"/>
        <v>0.40898310787060954</v>
      </c>
      <c r="AF24" s="89">
        <f t="shared" si="11"/>
        <v>0.32809298499921247</v>
      </c>
      <c r="AG24" s="89">
        <f t="shared" si="11"/>
        <v>0.42167897075355132</v>
      </c>
      <c r="AH24" s="89">
        <f t="shared" si="11"/>
        <v>0.35586558739104251</v>
      </c>
      <c r="AI24" s="89">
        <f t="shared" si="11"/>
        <v>0.27369924779921417</v>
      </c>
      <c r="AJ24" s="89">
        <f t="shared" si="11"/>
        <v>0.33015802440728831</v>
      </c>
      <c r="AK24" s="89">
        <f>AK23/AK22</f>
        <v>0.30856036047352731</v>
      </c>
      <c r="AL24" s="89">
        <f>AL23/AL22</f>
        <v>0.511863319673728</v>
      </c>
      <c r="AM24" s="167"/>
      <c r="AN24" s="167"/>
      <c r="AO24" s="145"/>
      <c r="AP24" s="145"/>
      <c r="AQ24" s="145"/>
    </row>
    <row r="25" spans="1:43" s="145" customFormat="1">
      <c r="A25" s="143" t="s">
        <v>94</v>
      </c>
      <c r="B25" s="144"/>
      <c r="R25" s="211">
        <f t="shared" ref="R25:AL25" si="12">R40-R78-R80-R83-R84-R86</f>
        <v>-2.0173819999998344E-2</v>
      </c>
      <c r="S25" s="211">
        <f t="shared" si="12"/>
        <v>5.0584090909090627</v>
      </c>
      <c r="T25" s="211">
        <f t="shared" si="12"/>
        <v>7.5176373626373696</v>
      </c>
      <c r="U25" s="211">
        <f t="shared" si="12"/>
        <v>0.61100000000000709</v>
      </c>
      <c r="V25" s="211">
        <f>V40-V78-V80-V83-V84-V86</f>
        <v>4.01</v>
      </c>
      <c r="W25" s="211">
        <f t="shared" si="12"/>
        <v>6.3309999999999977</v>
      </c>
      <c r="X25" s="211">
        <f t="shared" si="12"/>
        <v>1.0260000000000011</v>
      </c>
      <c r="Y25" s="211">
        <f t="shared" si="12"/>
        <v>11.852380729154897</v>
      </c>
      <c r="Z25" s="211">
        <f t="shared" si="12"/>
        <v>5.9265842406049831</v>
      </c>
      <c r="AA25" s="211">
        <f t="shared" si="12"/>
        <v>5.1637842481841174</v>
      </c>
      <c r="AB25" s="211">
        <f t="shared" si="12"/>
        <v>5.4585620687361427</v>
      </c>
      <c r="AC25" s="211">
        <f t="shared" si="12"/>
        <v>12.116832000000002</v>
      </c>
      <c r="AD25" s="211">
        <f t="shared" si="12"/>
        <v>4.7325180000000069</v>
      </c>
      <c r="AE25" s="211">
        <f t="shared" si="12"/>
        <v>0.41322814066300084</v>
      </c>
      <c r="AF25" s="211">
        <f t="shared" si="12"/>
        <v>19.988109000000012</v>
      </c>
      <c r="AG25" s="211">
        <f t="shared" si="12"/>
        <v>4.1657489999999964</v>
      </c>
      <c r="AH25" s="211">
        <f t="shared" si="12"/>
        <v>11.763997512016713</v>
      </c>
      <c r="AI25" s="211">
        <f t="shared" si="12"/>
        <v>38.330757587124452</v>
      </c>
      <c r="AJ25" s="211">
        <f t="shared" si="12"/>
        <v>4.8162258945892802</v>
      </c>
      <c r="AK25" s="211">
        <f t="shared" si="12"/>
        <v>1.9022258945892858</v>
      </c>
      <c r="AL25" s="211">
        <f t="shared" si="12"/>
        <v>-6.9810322887580654</v>
      </c>
      <c r="AM25" s="167"/>
      <c r="AN25" s="167"/>
    </row>
    <row r="26" spans="1:43" s="145" customFormat="1" ht="23.4">
      <c r="A26" s="147" t="s">
        <v>95</v>
      </c>
      <c r="B26" s="144"/>
    </row>
    <row r="27" spans="1:43" s="145" customFormat="1" ht="15" thickBot="1">
      <c r="A27" s="212" t="s">
        <v>96</v>
      </c>
      <c r="B27" s="144"/>
    </row>
    <row r="28" spans="1:43" s="160" customFormat="1" ht="15" thickBot="1">
      <c r="A28" s="213" t="s">
        <v>74</v>
      </c>
      <c r="B28" s="214"/>
      <c r="C28" s="214" t="s">
        <v>97</v>
      </c>
      <c r="D28" s="215"/>
      <c r="E28" s="155">
        <f t="shared" ref="E28:AL28" si="13">E3</f>
        <v>43587</v>
      </c>
      <c r="F28" s="155">
        <f t="shared" si="13"/>
        <v>43618</v>
      </c>
      <c r="G28" s="155">
        <f t="shared" si="13"/>
        <v>43648</v>
      </c>
      <c r="H28" s="155">
        <f t="shared" si="13"/>
        <v>43679</v>
      </c>
      <c r="I28" s="155">
        <f t="shared" si="13"/>
        <v>43710</v>
      </c>
      <c r="J28" s="155">
        <f t="shared" si="13"/>
        <v>43740</v>
      </c>
      <c r="K28" s="155">
        <f t="shared" si="13"/>
        <v>43771</v>
      </c>
      <c r="L28" s="155">
        <f t="shared" si="13"/>
        <v>43801</v>
      </c>
      <c r="M28" s="155">
        <f t="shared" si="13"/>
        <v>43832</v>
      </c>
      <c r="N28" s="155">
        <f t="shared" si="13"/>
        <v>43863</v>
      </c>
      <c r="O28" s="155">
        <f t="shared" si="13"/>
        <v>43892</v>
      </c>
      <c r="P28" s="155">
        <f t="shared" si="13"/>
        <v>43923</v>
      </c>
      <c r="Q28" s="155">
        <f t="shared" si="13"/>
        <v>43953</v>
      </c>
      <c r="R28" s="155">
        <f t="shared" si="13"/>
        <v>43984</v>
      </c>
      <c r="S28" s="155">
        <f t="shared" si="13"/>
        <v>44014</v>
      </c>
      <c r="T28" s="155">
        <f t="shared" si="13"/>
        <v>44045</v>
      </c>
      <c r="U28" s="155">
        <f t="shared" si="13"/>
        <v>44076</v>
      </c>
      <c r="V28" s="155">
        <f t="shared" si="13"/>
        <v>44106</v>
      </c>
      <c r="W28" s="155">
        <f t="shared" si="13"/>
        <v>44137</v>
      </c>
      <c r="X28" s="155">
        <f t="shared" si="13"/>
        <v>44167</v>
      </c>
      <c r="Y28" s="155">
        <f t="shared" si="13"/>
        <v>44198</v>
      </c>
      <c r="Z28" s="155">
        <f t="shared" si="13"/>
        <v>44229</v>
      </c>
      <c r="AA28" s="155">
        <f t="shared" si="13"/>
        <v>44257</v>
      </c>
      <c r="AB28" s="155">
        <f t="shared" si="13"/>
        <v>44288</v>
      </c>
      <c r="AC28" s="155">
        <f t="shared" si="13"/>
        <v>44318</v>
      </c>
      <c r="AD28" s="155">
        <f t="shared" si="13"/>
        <v>44349</v>
      </c>
      <c r="AE28" s="155">
        <f t="shared" si="13"/>
        <v>44379</v>
      </c>
      <c r="AF28" s="155">
        <f t="shared" si="13"/>
        <v>44410</v>
      </c>
      <c r="AG28" s="155">
        <f t="shared" si="13"/>
        <v>44441</v>
      </c>
      <c r="AH28" s="155">
        <f t="shared" si="13"/>
        <v>44471</v>
      </c>
      <c r="AI28" s="155">
        <f t="shared" si="13"/>
        <v>44502</v>
      </c>
      <c r="AJ28" s="155">
        <f t="shared" si="13"/>
        <v>44532</v>
      </c>
      <c r="AK28" s="155">
        <f t="shared" si="13"/>
        <v>44563</v>
      </c>
      <c r="AL28" s="155">
        <f t="shared" si="13"/>
        <v>44594</v>
      </c>
      <c r="AM28" s="204"/>
      <c r="AN28" s="159"/>
      <c r="AO28" s="159"/>
      <c r="AP28" s="159"/>
      <c r="AQ28" s="159"/>
    </row>
    <row r="29" spans="1:43" s="160" customFormat="1">
      <c r="A29" s="216" t="s">
        <v>98</v>
      </c>
      <c r="B29" s="217"/>
      <c r="C29" s="218" t="s">
        <v>99</v>
      </c>
      <c r="D29" s="219"/>
      <c r="E29" s="220"/>
      <c r="F29" s="220"/>
      <c r="G29" s="220"/>
      <c r="H29" s="220"/>
      <c r="I29" s="220"/>
      <c r="J29" s="220"/>
      <c r="K29" s="220"/>
      <c r="L29" s="220"/>
      <c r="M29" s="220"/>
      <c r="N29" s="220"/>
      <c r="O29" s="220"/>
      <c r="P29" s="220"/>
      <c r="Q29" s="221"/>
      <c r="R29" s="222">
        <v>70.534090909090878</v>
      </c>
      <c r="S29" s="222">
        <v>73.725999999999999</v>
      </c>
      <c r="T29" s="222">
        <v>79.739999999999995</v>
      </c>
      <c r="U29" s="222">
        <v>75.221000000000004</v>
      </c>
      <c r="V29" s="222">
        <v>84.823999999999998</v>
      </c>
      <c r="W29" s="222">
        <v>81.861999999999995</v>
      </c>
      <c r="X29" s="222">
        <v>79.42</v>
      </c>
      <c r="Y29" s="222">
        <v>93.733999999999995</v>
      </c>
      <c r="Z29" s="222">
        <v>82.968179950302002</v>
      </c>
      <c r="AA29" s="222">
        <v>94.450517627494449</v>
      </c>
      <c r="AB29" s="222">
        <v>90.257579068736135</v>
      </c>
      <c r="AC29" s="222">
        <v>95.600279999999998</v>
      </c>
      <c r="AD29" s="222">
        <v>92.516400000000004</v>
      </c>
      <c r="AE29" s="222">
        <v>50.672280000000001</v>
      </c>
      <c r="AF29" s="222">
        <v>95.600279999999998</v>
      </c>
      <c r="AG29" s="222">
        <v>87.714960000000005</v>
      </c>
      <c r="AH29" s="222">
        <v>76.414880512016708</v>
      </c>
      <c r="AI29" s="222">
        <v>90.051199587124444</v>
      </c>
      <c r="AJ29" s="222">
        <v>91.793667894589277</v>
      </c>
      <c r="AK29" s="222">
        <v>91.793667894589277</v>
      </c>
      <c r="AL29" s="222">
        <v>91.793667894589277</v>
      </c>
      <c r="AM29" s="204"/>
      <c r="AN29" s="159"/>
      <c r="AO29" s="159"/>
      <c r="AP29" s="159"/>
      <c r="AQ29" s="159"/>
    </row>
    <row r="30" spans="1:43" s="160" customFormat="1">
      <c r="A30" s="223" t="s">
        <v>100</v>
      </c>
      <c r="B30" s="224"/>
      <c r="C30" s="225" t="s">
        <v>99</v>
      </c>
      <c r="D30" s="226"/>
      <c r="E30" s="220"/>
      <c r="F30" s="220"/>
      <c r="G30" s="220"/>
      <c r="H30" s="220"/>
      <c r="I30" s="220"/>
      <c r="J30" s="220"/>
      <c r="K30" s="220"/>
      <c r="L30" s="220"/>
      <c r="M30" s="220"/>
      <c r="N30" s="220"/>
      <c r="O30" s="220"/>
      <c r="P30" s="220"/>
      <c r="Q30" s="221"/>
      <c r="R30" s="222">
        <v>169.55890909090911</v>
      </c>
      <c r="S30" s="222">
        <f>S31-S29</f>
        <v>177.61747858181801</v>
      </c>
      <c r="T30" s="222">
        <v>191.2</v>
      </c>
      <c r="U30" s="222">
        <v>200.779</v>
      </c>
      <c r="V30" s="222">
        <v>203.572</v>
      </c>
      <c r="W30" s="222">
        <v>170.31</v>
      </c>
      <c r="X30" s="222">
        <v>158.72500000000002</v>
      </c>
      <c r="Y30" s="222">
        <v>183.55100000000004</v>
      </c>
      <c r="Z30" s="222">
        <v>160.6163534072395</v>
      </c>
      <c r="AA30" s="222">
        <v>182.25498799299714</v>
      </c>
      <c r="AB30" s="222">
        <v>180.0077885916044</v>
      </c>
      <c r="AC30" s="222">
        <v>198.89972</v>
      </c>
      <c r="AD30" s="222">
        <v>193.08360000000002</v>
      </c>
      <c r="AE30" s="222">
        <v>165.15771999999998</v>
      </c>
      <c r="AF30" s="222">
        <v>198.89972</v>
      </c>
      <c r="AG30" s="222">
        <v>184.23503999999997</v>
      </c>
      <c r="AH30" s="222">
        <v>178.92990788923723</v>
      </c>
      <c r="AI30" s="222">
        <v>190.18336154140209</v>
      </c>
      <c r="AJ30" s="222">
        <v>199.15202176058315</v>
      </c>
      <c r="AK30" s="222">
        <v>199.15202176058315</v>
      </c>
      <c r="AL30" s="222">
        <v>199.15202176058315</v>
      </c>
      <c r="AM30" s="204"/>
      <c r="AN30" s="159"/>
      <c r="AO30" s="159"/>
      <c r="AP30" s="159"/>
      <c r="AQ30" s="159"/>
    </row>
    <row r="31" spans="1:43" s="6" customFormat="1">
      <c r="A31" s="223" t="s">
        <v>101</v>
      </c>
      <c r="B31" s="227"/>
      <c r="C31" s="225" t="s">
        <v>99</v>
      </c>
      <c r="D31" s="226"/>
      <c r="E31" s="228">
        <v>290.613</v>
      </c>
      <c r="F31" s="221">
        <v>302.52800000000002</v>
      </c>
      <c r="G31" s="221">
        <v>330.5</v>
      </c>
      <c r="H31" s="221">
        <v>317.95</v>
      </c>
      <c r="I31" s="221">
        <v>319.5</v>
      </c>
      <c r="J31" s="221">
        <v>314</v>
      </c>
      <c r="K31" s="221">
        <v>315</v>
      </c>
      <c r="L31" s="221">
        <v>310</v>
      </c>
      <c r="M31" s="221">
        <v>288</v>
      </c>
      <c r="N31" s="221">
        <v>270.45</v>
      </c>
      <c r="O31" s="221">
        <v>313.10000000000002</v>
      </c>
      <c r="P31" s="221">
        <v>291</v>
      </c>
      <c r="Q31" s="221">
        <v>225</v>
      </c>
      <c r="R31" s="222">
        <v>239.1825882138433</v>
      </c>
      <c r="S31" s="222">
        <v>251.343478581818</v>
      </c>
      <c r="T31" s="222">
        <v>270.94</v>
      </c>
      <c r="U31" s="222">
        <v>276</v>
      </c>
      <c r="V31" s="222">
        <v>288.39600000000002</v>
      </c>
      <c r="W31" s="222">
        <v>252.172</v>
      </c>
      <c r="X31" s="222">
        <v>238.14500000000001</v>
      </c>
      <c r="Y31" s="222">
        <v>277.28500000000003</v>
      </c>
      <c r="Z31" s="222">
        <v>246</v>
      </c>
      <c r="AA31" s="222">
        <v>276.70550562049158</v>
      </c>
      <c r="AB31" s="222">
        <v>270.26536766034053</v>
      </c>
      <c r="AC31" s="222">
        <v>294.5</v>
      </c>
      <c r="AD31" s="222">
        <v>285.60000000000002</v>
      </c>
      <c r="AE31" s="222">
        <v>215.82999999999998</v>
      </c>
      <c r="AF31" s="222">
        <v>294.5</v>
      </c>
      <c r="AG31" s="222">
        <v>271.95</v>
      </c>
      <c r="AH31" s="222">
        <v>255.34478840125394</v>
      </c>
      <c r="AI31" s="222">
        <v>280.23456112852654</v>
      </c>
      <c r="AJ31" s="222">
        <v>290.94568965517243</v>
      </c>
      <c r="AK31" s="222">
        <v>290.94568965517243</v>
      </c>
      <c r="AL31" s="222">
        <v>290.94568965517243</v>
      </c>
      <c r="AM31" s="167"/>
      <c r="AN31" s="145"/>
      <c r="AO31" s="145"/>
      <c r="AP31" s="145"/>
      <c r="AQ31" s="145"/>
    </row>
    <row r="32" spans="1:43" s="6" customFormat="1">
      <c r="A32" s="223" t="s">
        <v>102</v>
      </c>
      <c r="B32" s="227"/>
      <c r="C32" s="229">
        <v>44207</v>
      </c>
      <c r="D32" s="230"/>
      <c r="E32" s="228"/>
      <c r="F32" s="221"/>
      <c r="G32" s="221"/>
      <c r="H32" s="221"/>
      <c r="I32" s="221"/>
      <c r="J32" s="221"/>
      <c r="K32" s="221"/>
      <c r="L32" s="221"/>
      <c r="M32" s="221"/>
      <c r="N32" s="221"/>
      <c r="O32" s="221">
        <v>0.68</v>
      </c>
      <c r="P32" s="221">
        <v>0.6</v>
      </c>
      <c r="Q32" s="221">
        <v>0.6</v>
      </c>
      <c r="R32" s="221">
        <v>0</v>
      </c>
      <c r="S32" s="221">
        <v>0.6</v>
      </c>
      <c r="T32" s="221">
        <v>1.2</v>
      </c>
      <c r="U32" s="221">
        <v>0.6</v>
      </c>
      <c r="V32" s="221">
        <v>0.6</v>
      </c>
      <c r="W32" s="221">
        <v>0</v>
      </c>
      <c r="X32" s="221">
        <v>0.6</v>
      </c>
      <c r="Y32" s="221">
        <v>1.2</v>
      </c>
      <c r="Z32" s="221">
        <v>2.4</v>
      </c>
      <c r="AA32" s="221">
        <v>1.2</v>
      </c>
      <c r="AB32" s="221">
        <v>1.2</v>
      </c>
      <c r="AC32" s="221">
        <v>1.2</v>
      </c>
      <c r="AD32" s="221">
        <v>1.2</v>
      </c>
      <c r="AE32" s="221">
        <v>1.2</v>
      </c>
      <c r="AF32" s="221">
        <v>1.2</v>
      </c>
      <c r="AG32" s="221">
        <v>1.2</v>
      </c>
      <c r="AH32" s="221">
        <v>1.2</v>
      </c>
      <c r="AI32" s="221">
        <v>1.2</v>
      </c>
      <c r="AJ32" s="221">
        <v>1.2</v>
      </c>
      <c r="AK32" s="221">
        <v>0</v>
      </c>
      <c r="AL32" s="221">
        <v>0</v>
      </c>
      <c r="AM32" s="167"/>
      <c r="AN32" s="145"/>
      <c r="AO32" s="145"/>
      <c r="AP32" s="145"/>
      <c r="AQ32" s="145"/>
    </row>
    <row r="33" spans="1:43">
      <c r="A33" s="223" t="s">
        <v>10</v>
      </c>
      <c r="B33" s="227"/>
      <c r="C33" s="229">
        <v>44207</v>
      </c>
      <c r="D33" s="230"/>
      <c r="E33" s="231">
        <v>15.573</v>
      </c>
      <c r="F33" s="231">
        <v>19</v>
      </c>
      <c r="G33" s="231">
        <v>19</v>
      </c>
      <c r="H33" s="231">
        <v>25</v>
      </c>
      <c r="I33" s="231">
        <v>25</v>
      </c>
      <c r="J33" s="231">
        <v>25</v>
      </c>
      <c r="K33" s="231">
        <v>21</v>
      </c>
      <c r="L33" s="231">
        <v>23.5</v>
      </c>
      <c r="M33" s="231">
        <v>23</v>
      </c>
      <c r="N33" s="231">
        <v>16</v>
      </c>
      <c r="O33" s="231">
        <v>7</v>
      </c>
      <c r="P33" s="231">
        <v>14</v>
      </c>
      <c r="Q33" s="231">
        <v>6</v>
      </c>
      <c r="R33" s="231">
        <v>0</v>
      </c>
      <c r="S33" s="231">
        <v>8</v>
      </c>
      <c r="T33" s="231">
        <v>0</v>
      </c>
      <c r="U33" s="231">
        <v>3</v>
      </c>
      <c r="V33" s="231">
        <v>0</v>
      </c>
      <c r="W33" s="231">
        <v>11</v>
      </c>
      <c r="X33" s="231">
        <v>14</v>
      </c>
      <c r="Y33" s="231">
        <v>2.5</v>
      </c>
      <c r="Z33" s="231">
        <v>3</v>
      </c>
      <c r="AA33" s="231">
        <v>0</v>
      </c>
      <c r="AB33" s="231">
        <v>0</v>
      </c>
      <c r="AC33" s="231">
        <v>0</v>
      </c>
      <c r="AD33" s="231">
        <v>0</v>
      </c>
      <c r="AE33" s="231">
        <v>0</v>
      </c>
      <c r="AF33" s="231">
        <v>0</v>
      </c>
      <c r="AG33" s="231">
        <v>0</v>
      </c>
      <c r="AH33" s="231">
        <v>0</v>
      </c>
      <c r="AI33" s="231">
        <v>0</v>
      </c>
      <c r="AJ33" s="231">
        <v>0</v>
      </c>
      <c r="AK33" s="231">
        <v>0</v>
      </c>
      <c r="AL33" s="231">
        <v>0</v>
      </c>
      <c r="AM33" s="167"/>
      <c r="AN33" s="145"/>
      <c r="AO33" s="145"/>
      <c r="AP33" s="145"/>
      <c r="AQ33" s="145"/>
    </row>
    <row r="34" spans="1:43">
      <c r="A34" s="223" t="s">
        <v>103</v>
      </c>
      <c r="B34" s="227"/>
      <c r="C34" s="229">
        <v>44207</v>
      </c>
      <c r="D34" s="230"/>
      <c r="E34" s="231">
        <v>8.4</v>
      </c>
      <c r="F34" s="231">
        <v>6.2</v>
      </c>
      <c r="G34" s="231">
        <v>6.1</v>
      </c>
      <c r="H34" s="231">
        <v>7.2</v>
      </c>
      <c r="I34" s="231">
        <v>6.7</v>
      </c>
      <c r="J34" s="231">
        <v>6.7</v>
      </c>
      <c r="K34" s="231">
        <v>0</v>
      </c>
      <c r="L34" s="231">
        <v>5.4</v>
      </c>
      <c r="M34" s="231">
        <v>7.2</v>
      </c>
      <c r="N34" s="231">
        <v>6.5</v>
      </c>
      <c r="O34" s="231">
        <v>6.4799999999999995</v>
      </c>
      <c r="P34" s="231">
        <v>6.3</v>
      </c>
      <c r="Q34" s="231">
        <v>6.5</v>
      </c>
      <c r="R34" s="231">
        <v>3.6</v>
      </c>
      <c r="S34" s="231">
        <v>3.6</v>
      </c>
      <c r="T34" s="231">
        <v>5</v>
      </c>
      <c r="U34" s="231">
        <v>4.24</v>
      </c>
      <c r="V34" s="231">
        <v>7.36</v>
      </c>
      <c r="W34" s="231">
        <v>5.36</v>
      </c>
      <c r="X34" s="231">
        <v>5.47</v>
      </c>
      <c r="Y34" s="231">
        <v>6.2</v>
      </c>
      <c r="Z34" s="231">
        <v>7.08</v>
      </c>
      <c r="AA34" s="231">
        <v>7.07</v>
      </c>
      <c r="AB34" s="231">
        <v>7.07</v>
      </c>
      <c r="AC34" s="231">
        <v>5.78</v>
      </c>
      <c r="AD34" s="231">
        <v>5.47</v>
      </c>
      <c r="AE34" s="231">
        <v>5.47</v>
      </c>
      <c r="AF34" s="231">
        <v>5.47</v>
      </c>
      <c r="AG34" s="231">
        <v>5.47</v>
      </c>
      <c r="AH34" s="231">
        <v>5.47</v>
      </c>
      <c r="AI34" s="231">
        <v>5.47</v>
      </c>
      <c r="AJ34" s="231">
        <v>5.47</v>
      </c>
      <c r="AK34" s="231">
        <v>5.47</v>
      </c>
      <c r="AL34" s="231">
        <v>5.47</v>
      </c>
      <c r="AM34" s="167"/>
      <c r="AN34" s="145"/>
      <c r="AO34" s="145"/>
      <c r="AP34" s="145"/>
      <c r="AQ34" s="145"/>
    </row>
    <row r="35" spans="1:43">
      <c r="A35" s="223" t="s">
        <v>104</v>
      </c>
      <c r="B35" s="227"/>
      <c r="C35" s="229">
        <v>44207</v>
      </c>
      <c r="D35" s="230"/>
      <c r="E35" s="231">
        <v>5.89</v>
      </c>
      <c r="F35" s="231">
        <v>5.7</v>
      </c>
      <c r="G35" s="231">
        <v>5.89</v>
      </c>
      <c r="H35" s="231">
        <v>5.89</v>
      </c>
      <c r="I35" s="231">
        <v>5.85</v>
      </c>
      <c r="J35" s="231">
        <v>6.05</v>
      </c>
      <c r="K35" s="231">
        <v>5.85</v>
      </c>
      <c r="L35" s="231">
        <v>6.05</v>
      </c>
      <c r="M35" s="231">
        <v>6.05</v>
      </c>
      <c r="N35" s="231">
        <v>5.66</v>
      </c>
      <c r="O35" s="231">
        <v>6.0449999999999999</v>
      </c>
      <c r="P35" s="231">
        <v>5.85</v>
      </c>
      <c r="Q35" s="231">
        <v>6.05</v>
      </c>
      <c r="R35" s="231">
        <v>5.4</v>
      </c>
      <c r="S35" s="231">
        <v>4.5599999999999996</v>
      </c>
      <c r="T35" s="231">
        <v>5.58</v>
      </c>
      <c r="U35" s="231">
        <v>5.58</v>
      </c>
      <c r="V35" s="231">
        <v>5.58</v>
      </c>
      <c r="W35" s="231">
        <v>5.4</v>
      </c>
      <c r="X35" s="231">
        <v>5.58</v>
      </c>
      <c r="Y35" s="231">
        <v>5.89</v>
      </c>
      <c r="Z35" s="231">
        <v>5.32</v>
      </c>
      <c r="AA35" s="231">
        <v>5.89</v>
      </c>
      <c r="AB35" s="231">
        <v>5.7</v>
      </c>
      <c r="AC35" s="231">
        <v>5.89</v>
      </c>
      <c r="AD35" s="231">
        <v>5.7</v>
      </c>
      <c r="AE35" s="231">
        <v>5.83</v>
      </c>
      <c r="AF35" s="231">
        <v>5.83</v>
      </c>
      <c r="AG35" s="231">
        <v>5.83</v>
      </c>
      <c r="AH35" s="231">
        <v>5.83</v>
      </c>
      <c r="AI35" s="231">
        <v>5.83</v>
      </c>
      <c r="AJ35" s="231">
        <v>5.83</v>
      </c>
      <c r="AK35" s="231">
        <v>5.7</v>
      </c>
      <c r="AL35" s="231">
        <v>5.7</v>
      </c>
      <c r="AM35" s="167"/>
      <c r="AN35" s="145"/>
      <c r="AO35" s="145"/>
      <c r="AP35" s="145"/>
      <c r="AQ35" s="145"/>
    </row>
    <row r="36" spans="1:43" ht="15" thickBot="1">
      <c r="A36" s="232" t="s">
        <v>105</v>
      </c>
      <c r="B36" s="233"/>
      <c r="C36" s="234">
        <v>44207</v>
      </c>
      <c r="D36" s="235"/>
      <c r="E36" s="231">
        <v>15.6</v>
      </c>
      <c r="F36" s="231">
        <v>15.42</v>
      </c>
      <c r="G36" s="231">
        <v>16.027000000000001</v>
      </c>
      <c r="H36" s="231">
        <v>15.93</v>
      </c>
      <c r="I36" s="231">
        <v>15.45</v>
      </c>
      <c r="J36" s="231">
        <v>10.85</v>
      </c>
      <c r="K36" s="231">
        <v>10.5</v>
      </c>
      <c r="L36" s="231">
        <v>13.26</v>
      </c>
      <c r="M36" s="231">
        <v>14.281000000000001</v>
      </c>
      <c r="N36" s="231">
        <v>16</v>
      </c>
      <c r="O36" s="231">
        <v>17</v>
      </c>
      <c r="P36" s="231">
        <v>15.6</v>
      </c>
      <c r="Q36" s="231">
        <v>17.05</v>
      </c>
      <c r="R36" s="231">
        <v>15.6</v>
      </c>
      <c r="S36" s="231">
        <v>16.739999999999998</v>
      </c>
      <c r="T36" s="231">
        <v>14.56</v>
      </c>
      <c r="U36" s="231">
        <v>17.2</v>
      </c>
      <c r="V36" s="231">
        <v>16.739999999999998</v>
      </c>
      <c r="W36" s="231">
        <v>16.2</v>
      </c>
      <c r="X36" s="231">
        <v>16.12</v>
      </c>
      <c r="Y36" s="231">
        <v>13.12</v>
      </c>
      <c r="Z36" s="231">
        <v>8.83</v>
      </c>
      <c r="AA36" s="231">
        <v>15.56</v>
      </c>
      <c r="AB36" s="231">
        <v>15</v>
      </c>
      <c r="AC36" s="231">
        <v>15.5</v>
      </c>
      <c r="AD36" s="231">
        <v>15</v>
      </c>
      <c r="AE36" s="231">
        <v>9.41</v>
      </c>
      <c r="AF36" s="231">
        <v>13.19</v>
      </c>
      <c r="AG36" s="231">
        <v>15</v>
      </c>
      <c r="AH36" s="231">
        <v>15.5</v>
      </c>
      <c r="AI36" s="231">
        <v>15</v>
      </c>
      <c r="AJ36" s="231">
        <v>15.08</v>
      </c>
      <c r="AK36" s="231">
        <v>14.87</v>
      </c>
      <c r="AL36" s="231">
        <v>14.87</v>
      </c>
      <c r="AM36" s="167"/>
      <c r="AN36" s="145"/>
      <c r="AO36" s="145"/>
      <c r="AP36" s="145"/>
      <c r="AQ36" s="145"/>
    </row>
    <row r="37" spans="1:43" ht="15" thickBot="1">
      <c r="A37" s="236" t="s">
        <v>106</v>
      </c>
      <c r="B37" s="237"/>
      <c r="C37" s="237"/>
      <c r="D37" s="238"/>
      <c r="E37" s="239">
        <f>SUM(E31:E36)</f>
        <v>336.07599999999996</v>
      </c>
      <c r="F37" s="240">
        <f t="shared" ref="F37:AL37" si="14">SUM(F31:F36)</f>
        <v>348.84800000000001</v>
      </c>
      <c r="G37" s="240">
        <f t="shared" si="14"/>
        <v>377.517</v>
      </c>
      <c r="H37" s="240">
        <f t="shared" si="14"/>
        <v>371.96999999999997</v>
      </c>
      <c r="I37" s="240">
        <f t="shared" si="14"/>
        <v>372.5</v>
      </c>
      <c r="J37" s="240">
        <f t="shared" si="14"/>
        <v>362.6</v>
      </c>
      <c r="K37" s="240">
        <f t="shared" si="14"/>
        <v>352.35</v>
      </c>
      <c r="L37" s="240">
        <f t="shared" si="14"/>
        <v>358.21</v>
      </c>
      <c r="M37" s="240">
        <f t="shared" si="14"/>
        <v>338.53100000000001</v>
      </c>
      <c r="N37" s="240">
        <f t="shared" si="14"/>
        <v>314.61</v>
      </c>
      <c r="O37" s="240">
        <f t="shared" si="14"/>
        <v>350.30500000000006</v>
      </c>
      <c r="P37" s="240">
        <f t="shared" si="14"/>
        <v>333.35000000000008</v>
      </c>
      <c r="Q37" s="240">
        <f t="shared" si="14"/>
        <v>261.2</v>
      </c>
      <c r="R37" s="240">
        <f t="shared" si="14"/>
        <v>263.78258821384333</v>
      </c>
      <c r="S37" s="240">
        <f>SUM(S31:S36)</f>
        <v>284.84347858181803</v>
      </c>
      <c r="T37" s="240">
        <f>SUM(T31:T36)</f>
        <v>297.27999999999997</v>
      </c>
      <c r="U37" s="240">
        <f>SUM(U31:U36)</f>
        <v>306.62</v>
      </c>
      <c r="V37" s="240">
        <f t="shared" si="14"/>
        <v>318.67600000000004</v>
      </c>
      <c r="W37" s="240">
        <f t="shared" si="14"/>
        <v>290.13200000000001</v>
      </c>
      <c r="X37" s="240">
        <f t="shared" si="14"/>
        <v>279.91500000000002</v>
      </c>
      <c r="Y37" s="240">
        <f t="shared" si="14"/>
        <v>306.19499999999999</v>
      </c>
      <c r="Z37" s="240">
        <f t="shared" si="14"/>
        <v>272.63</v>
      </c>
      <c r="AA37" s="240">
        <f t="shared" si="14"/>
        <v>306.42550562049155</v>
      </c>
      <c r="AB37" s="240">
        <f t="shared" si="14"/>
        <v>299.2353676603405</v>
      </c>
      <c r="AC37" s="240">
        <f t="shared" si="14"/>
        <v>322.86999999999995</v>
      </c>
      <c r="AD37" s="240">
        <f t="shared" si="14"/>
        <v>312.97000000000003</v>
      </c>
      <c r="AE37" s="240">
        <f t="shared" si="14"/>
        <v>237.73999999999998</v>
      </c>
      <c r="AF37" s="240">
        <f t="shared" si="14"/>
        <v>320.19</v>
      </c>
      <c r="AG37" s="240">
        <f t="shared" si="14"/>
        <v>299.45</v>
      </c>
      <c r="AH37" s="240">
        <f t="shared" si="14"/>
        <v>283.34478840125394</v>
      </c>
      <c r="AI37" s="240">
        <f t="shared" si="14"/>
        <v>307.73456112852654</v>
      </c>
      <c r="AJ37" s="240">
        <f t="shared" si="14"/>
        <v>318.52568965517241</v>
      </c>
      <c r="AK37" s="240">
        <f t="shared" si="14"/>
        <v>316.98568965517245</v>
      </c>
      <c r="AL37" s="240">
        <f t="shared" si="14"/>
        <v>316.98568965517245</v>
      </c>
      <c r="AM37" s="167"/>
      <c r="AN37" s="145"/>
      <c r="AO37" s="145"/>
      <c r="AP37" s="145"/>
      <c r="AQ37" s="145"/>
    </row>
    <row r="38" spans="1:43" ht="15" thickBot="1">
      <c r="A38" s="212" t="s">
        <v>107</v>
      </c>
      <c r="B38" s="144"/>
      <c r="C38" s="145"/>
      <c r="D38" s="145"/>
      <c r="E38" s="145"/>
      <c r="F38" s="145"/>
      <c r="G38" s="145"/>
      <c r="H38" s="145"/>
      <c r="I38" s="145"/>
      <c r="J38" s="145"/>
      <c r="K38" s="145"/>
      <c r="L38" s="145"/>
      <c r="M38" s="211">
        <f>M42-M76-M82-M83-M84-M92-M93-M94-M95-M96-M97-M98-M99-M101-M102-M104-M105-M106-M107-M108-M109-M110-M111-M112</f>
        <v>118.10699999999997</v>
      </c>
      <c r="N38" s="211">
        <f>N42-N76-N82-N83-N84-N92-N93-N94-N95-N96-N97-N98-N99-N101-N102-N104-N105-N106-N107-N108-N109-N110-N111-N112</f>
        <v>139.47399999999999</v>
      </c>
      <c r="O38" s="211">
        <f>O42-O76-O82-O83-O84-O92-O93-O94-O95-O96-O97-O98-O99-O101-O102-O104-O105-O106-O107-O108-O109-O110-O111-O112</f>
        <v>140.74199999999999</v>
      </c>
      <c r="P38" s="211">
        <f>P42-P76-P82-P83-P84-P92-P93-P94-P95-P96-P97-P98-P99-P101-P102-P104-P105-P106-P107-P108-P109-P110-P111-P112</f>
        <v>89.700999999999979</v>
      </c>
      <c r="Q38" s="211">
        <f>Q42-Q76-Q82-Q83-Q84-Q92-Q93-Q94-Q95-Q96-Q97-Q98-Q99-Q101-Q102-Q104-Q105-Q106-Q107-Q108-Q109-Q110-Q111-Q112</f>
        <v>115.392</v>
      </c>
      <c r="R38" s="211">
        <f t="shared" ref="R38:AL38" si="15">R42-R76-R80-R82-R83-R84-R92-R93-R94-R95-R96-R97-R98-R99-R101-R102-R104-R105-R106-R107-R108-R109-R110-R111-R112</f>
        <v>90.575999999999993</v>
      </c>
      <c r="S38" s="211">
        <f t="shared" si="15"/>
        <v>104.07799999999997</v>
      </c>
      <c r="T38" s="211">
        <f t="shared" si="15"/>
        <v>105.9876373626374</v>
      </c>
      <c r="U38" s="211">
        <f>U42-U76-U80-U82-U83-U84-U92-U93-U94-U95-U96-U97-U98-U99-U101-U102-U104-U105-U106-U107-U108-U109-U110-U111-U112</f>
        <v>124.39</v>
      </c>
      <c r="V38" s="211">
        <f>V42-V76-V80-V82-V83-V84-V92-V93-V94-V95-V96-V97-V98-V99-V101-V102-V104-V105-V106-V107-V108-V109-V110-V111-V112</f>
        <v>118.44200000000002</v>
      </c>
      <c r="W38" s="211">
        <f t="shared" si="15"/>
        <v>108.9</v>
      </c>
      <c r="X38" s="211">
        <f t="shared" si="15"/>
        <v>106.32599999999999</v>
      </c>
      <c r="Y38" s="211">
        <f t="shared" si="15"/>
        <v>119.73485793868549</v>
      </c>
      <c r="Z38" s="211">
        <f t="shared" si="15"/>
        <v>86.734741530188259</v>
      </c>
      <c r="AA38" s="211">
        <f t="shared" si="15"/>
        <v>101.69844562872294</v>
      </c>
      <c r="AB38" s="211">
        <f t="shared" si="15"/>
        <v>63.67655842790537</v>
      </c>
      <c r="AC38" s="211">
        <f t="shared" si="15"/>
        <v>73.471212073816389</v>
      </c>
      <c r="AD38" s="211">
        <f t="shared" si="15"/>
        <v>72.740458931189579</v>
      </c>
      <c r="AE38" s="211">
        <f t="shared" si="15"/>
        <v>30.120099140662973</v>
      </c>
      <c r="AF38" s="211">
        <f t="shared" si="15"/>
        <v>123.95999999999998</v>
      </c>
      <c r="AG38" s="211">
        <f t="shared" si="15"/>
        <v>93.84999999999998</v>
      </c>
      <c r="AH38" s="211">
        <f t="shared" si="15"/>
        <v>92.936788401253921</v>
      </c>
      <c r="AI38" s="211">
        <f t="shared" si="15"/>
        <v>131.83956112852655</v>
      </c>
      <c r="AJ38" s="211">
        <f t="shared" si="15"/>
        <v>106.19368965517242</v>
      </c>
      <c r="AK38" s="211">
        <f t="shared" si="15"/>
        <v>103.27968965517238</v>
      </c>
      <c r="AL38" s="211">
        <f t="shared" si="15"/>
        <v>75.123655172413805</v>
      </c>
      <c r="AM38" s="145"/>
      <c r="AN38" s="145"/>
      <c r="AO38" s="145"/>
      <c r="AP38" s="145"/>
      <c r="AQ38" s="145"/>
    </row>
    <row r="39" spans="1:43" s="160" customFormat="1" ht="15" thickBot="1">
      <c r="A39" s="213" t="s">
        <v>74</v>
      </c>
      <c r="B39" s="214"/>
      <c r="C39" s="214" t="s">
        <v>97</v>
      </c>
      <c r="D39" s="214"/>
      <c r="E39" s="210">
        <f t="shared" ref="E39:AL39" si="16">E3</f>
        <v>43587</v>
      </c>
      <c r="F39" s="155">
        <f t="shared" si="16"/>
        <v>43618</v>
      </c>
      <c r="G39" s="155">
        <f t="shared" si="16"/>
        <v>43648</v>
      </c>
      <c r="H39" s="155">
        <f t="shared" si="16"/>
        <v>43679</v>
      </c>
      <c r="I39" s="155">
        <f t="shared" si="16"/>
        <v>43710</v>
      </c>
      <c r="J39" s="155">
        <f t="shared" si="16"/>
        <v>43740</v>
      </c>
      <c r="K39" s="155">
        <f t="shared" si="16"/>
        <v>43771</v>
      </c>
      <c r="L39" s="155">
        <f t="shared" si="16"/>
        <v>43801</v>
      </c>
      <c r="M39" s="155">
        <f t="shared" si="16"/>
        <v>43832</v>
      </c>
      <c r="N39" s="155">
        <f t="shared" si="16"/>
        <v>43863</v>
      </c>
      <c r="O39" s="155">
        <f t="shared" si="16"/>
        <v>43892</v>
      </c>
      <c r="P39" s="155">
        <f t="shared" si="16"/>
        <v>43923</v>
      </c>
      <c r="Q39" s="155">
        <f t="shared" si="16"/>
        <v>43953</v>
      </c>
      <c r="R39" s="155">
        <f t="shared" si="16"/>
        <v>43984</v>
      </c>
      <c r="S39" s="155">
        <f t="shared" si="16"/>
        <v>44014</v>
      </c>
      <c r="T39" s="155">
        <f t="shared" si="16"/>
        <v>44045</v>
      </c>
      <c r="U39" s="155">
        <f t="shared" si="16"/>
        <v>44076</v>
      </c>
      <c r="V39" s="155">
        <f t="shared" si="16"/>
        <v>44106</v>
      </c>
      <c r="W39" s="155">
        <f t="shared" si="16"/>
        <v>44137</v>
      </c>
      <c r="X39" s="155">
        <f t="shared" si="16"/>
        <v>44167</v>
      </c>
      <c r="Y39" s="155">
        <f t="shared" si="16"/>
        <v>44198</v>
      </c>
      <c r="Z39" s="155">
        <f t="shared" si="16"/>
        <v>44229</v>
      </c>
      <c r="AA39" s="155">
        <f t="shared" si="16"/>
        <v>44257</v>
      </c>
      <c r="AB39" s="155">
        <f t="shared" si="16"/>
        <v>44288</v>
      </c>
      <c r="AC39" s="155">
        <f t="shared" si="16"/>
        <v>44318</v>
      </c>
      <c r="AD39" s="155">
        <f t="shared" si="16"/>
        <v>44349</v>
      </c>
      <c r="AE39" s="155">
        <f t="shared" si="16"/>
        <v>44379</v>
      </c>
      <c r="AF39" s="155">
        <f t="shared" si="16"/>
        <v>44410</v>
      </c>
      <c r="AG39" s="155">
        <f t="shared" si="16"/>
        <v>44441</v>
      </c>
      <c r="AH39" s="155">
        <f t="shared" si="16"/>
        <v>44471</v>
      </c>
      <c r="AI39" s="155">
        <f t="shared" si="16"/>
        <v>44502</v>
      </c>
      <c r="AJ39" s="155">
        <f t="shared" si="16"/>
        <v>44532</v>
      </c>
      <c r="AK39" s="155">
        <f t="shared" si="16"/>
        <v>44563</v>
      </c>
      <c r="AL39" s="155">
        <f t="shared" si="16"/>
        <v>44594</v>
      </c>
      <c r="AM39" s="204"/>
      <c r="AN39" s="159"/>
      <c r="AO39" s="159"/>
      <c r="AP39" s="159"/>
      <c r="AQ39" s="159"/>
    </row>
    <row r="40" spans="1:43" s="160" customFormat="1">
      <c r="A40" s="216" t="s">
        <v>98</v>
      </c>
      <c r="B40" s="217"/>
      <c r="C40" s="218" t="s">
        <v>108</v>
      </c>
      <c r="D40" s="219"/>
      <c r="E40" s="220"/>
      <c r="F40" s="220"/>
      <c r="G40" s="220"/>
      <c r="H40" s="220"/>
      <c r="I40" s="220"/>
      <c r="J40" s="220"/>
      <c r="K40" s="220"/>
      <c r="L40" s="220"/>
      <c r="M40" s="220"/>
      <c r="N40" s="220"/>
      <c r="O40" s="220"/>
      <c r="P40" s="220"/>
      <c r="Q40" s="241"/>
      <c r="R40" s="241">
        <v>70</v>
      </c>
      <c r="S40" s="241">
        <v>74.078409090909062</v>
      </c>
      <c r="T40" s="241">
        <v>80.5</v>
      </c>
      <c r="U40" s="241">
        <v>75.221000000000004</v>
      </c>
      <c r="V40" s="241">
        <v>85.72</v>
      </c>
      <c r="W40" s="241">
        <v>83.730999999999995</v>
      </c>
      <c r="X40" s="241">
        <v>85</v>
      </c>
      <c r="Y40" s="241">
        <v>93.219380729154906</v>
      </c>
      <c r="Z40" s="241">
        <v>85.202584240604978</v>
      </c>
      <c r="AA40" s="241">
        <v>94.452516248184111</v>
      </c>
      <c r="AB40" s="241">
        <v>90.257579068736135</v>
      </c>
      <c r="AC40" s="241">
        <v>95.600279999999998</v>
      </c>
      <c r="AD40" s="241">
        <v>92.516400000000004</v>
      </c>
      <c r="AE40" s="241">
        <v>50.672280000000001</v>
      </c>
      <c r="AF40" s="241">
        <v>95.600279999999998</v>
      </c>
      <c r="AG40" s="241">
        <v>87.714960000000005</v>
      </c>
      <c r="AH40" s="241">
        <v>76.414880512016708</v>
      </c>
      <c r="AI40" s="241">
        <v>90.051199587124444</v>
      </c>
      <c r="AJ40" s="241">
        <v>91.793667894589277</v>
      </c>
      <c r="AK40" s="241">
        <v>91.793667894589277</v>
      </c>
      <c r="AL40" s="241">
        <v>82.91040971124194</v>
      </c>
      <c r="AM40" s="204"/>
      <c r="AN40" s="159"/>
      <c r="AO40" s="159"/>
      <c r="AP40" s="159"/>
      <c r="AQ40" s="159"/>
    </row>
    <row r="41" spans="1:43" s="160" customFormat="1">
      <c r="A41" s="223" t="s">
        <v>100</v>
      </c>
      <c r="B41" s="224"/>
      <c r="C41" s="225" t="s">
        <v>108</v>
      </c>
      <c r="D41" s="226"/>
      <c r="E41" s="220"/>
      <c r="F41" s="220"/>
      <c r="G41" s="220"/>
      <c r="H41" s="220"/>
      <c r="I41" s="220"/>
      <c r="J41" s="220"/>
      <c r="K41" s="220"/>
      <c r="L41" s="220"/>
      <c r="M41" s="220"/>
      <c r="N41" s="220"/>
      <c r="O41" s="220"/>
      <c r="P41" s="220"/>
      <c r="Q41" s="241"/>
      <c r="R41" s="241">
        <f t="shared" ref="R41:AL41" si="17">R42-R40</f>
        <v>168.5</v>
      </c>
      <c r="S41" s="241">
        <f t="shared" si="17"/>
        <v>176.52959090909093</v>
      </c>
      <c r="T41" s="241">
        <f t="shared" si="17"/>
        <v>189.8</v>
      </c>
      <c r="U41" s="241">
        <f t="shared" si="17"/>
        <v>200.779</v>
      </c>
      <c r="V41" s="241">
        <f t="shared" si="17"/>
        <v>194.08200000000002</v>
      </c>
      <c r="W41" s="241">
        <f t="shared" si="17"/>
        <v>171.96899999999999</v>
      </c>
      <c r="X41" s="241">
        <f t="shared" si="17"/>
        <v>182.7</v>
      </c>
      <c r="Y41" s="241">
        <f t="shared" si="17"/>
        <v>184.18247720953059</v>
      </c>
      <c r="Z41" s="241">
        <f t="shared" si="17"/>
        <v>166.42815728958331</v>
      </c>
      <c r="AA41" s="241">
        <f t="shared" si="17"/>
        <v>184.19192938053885</v>
      </c>
      <c r="AB41" s="241">
        <f t="shared" si="17"/>
        <v>175.52797935916922</v>
      </c>
      <c r="AC41" s="241">
        <f t="shared" si="17"/>
        <v>185.23993207381642</v>
      </c>
      <c r="AD41" s="241">
        <f t="shared" si="17"/>
        <v>184.72005893118958</v>
      </c>
      <c r="AE41" s="241">
        <f t="shared" si="17"/>
        <v>165.15771999999998</v>
      </c>
      <c r="AF41" s="241">
        <f t="shared" si="17"/>
        <v>198.89972</v>
      </c>
      <c r="AG41" s="241">
        <f t="shared" si="17"/>
        <v>184.23503999999997</v>
      </c>
      <c r="AH41" s="241">
        <f t="shared" si="17"/>
        <v>178.92990788923723</v>
      </c>
      <c r="AI41" s="241">
        <f t="shared" si="17"/>
        <v>190.18336154140209</v>
      </c>
      <c r="AJ41" s="241">
        <f t="shared" si="17"/>
        <v>199.15202176058315</v>
      </c>
      <c r="AK41" s="241">
        <f t="shared" si="17"/>
        <v>199.15202176058315</v>
      </c>
      <c r="AL41" s="241">
        <f t="shared" si="17"/>
        <v>179.87924546117193</v>
      </c>
      <c r="AM41" s="204"/>
      <c r="AN41" s="159"/>
      <c r="AO41" s="159"/>
      <c r="AP41" s="159"/>
      <c r="AQ41" s="159"/>
    </row>
    <row r="42" spans="1:43" s="6" customFormat="1">
      <c r="A42" s="223" t="s">
        <v>101</v>
      </c>
      <c r="B42" s="224"/>
      <c r="C42" s="225" t="s">
        <v>108</v>
      </c>
      <c r="D42" s="226"/>
      <c r="E42" s="242">
        <v>290.613</v>
      </c>
      <c r="F42" s="243">
        <v>302.52800000000002</v>
      </c>
      <c r="G42" s="243">
        <v>320.20999999999998</v>
      </c>
      <c r="H42" s="244">
        <v>318.428</v>
      </c>
      <c r="I42" s="244">
        <v>304.23599999999999</v>
      </c>
      <c r="J42" s="241">
        <v>311</v>
      </c>
      <c r="K42" s="241">
        <v>316.3</v>
      </c>
      <c r="L42" s="245">
        <v>308.76</v>
      </c>
      <c r="M42" s="241">
        <v>274.16699999999997</v>
      </c>
      <c r="N42" s="241">
        <v>269</v>
      </c>
      <c r="O42" s="241">
        <v>299.5</v>
      </c>
      <c r="P42" s="246">
        <v>248.80099999999999</v>
      </c>
      <c r="Q42" s="241">
        <v>225</v>
      </c>
      <c r="R42" s="241">
        <v>238.5</v>
      </c>
      <c r="S42" s="241">
        <f>251.608-1</f>
        <v>250.608</v>
      </c>
      <c r="T42" s="241">
        <v>270.3</v>
      </c>
      <c r="U42" s="241">
        <v>276</v>
      </c>
      <c r="V42" s="241">
        <v>279.80200000000002</v>
      </c>
      <c r="W42" s="241">
        <v>255.7</v>
      </c>
      <c r="X42" s="245">
        <v>267.7</v>
      </c>
      <c r="Y42" s="241">
        <v>277.40185793868551</v>
      </c>
      <c r="Z42" s="241">
        <v>251.63074153018829</v>
      </c>
      <c r="AA42" s="241">
        <v>278.64444562872296</v>
      </c>
      <c r="AB42" s="241">
        <v>265.78555842790536</v>
      </c>
      <c r="AC42" s="241">
        <v>280.84021207381642</v>
      </c>
      <c r="AD42" s="241">
        <v>277.23645893118959</v>
      </c>
      <c r="AE42" s="241">
        <v>215.82999999999998</v>
      </c>
      <c r="AF42" s="241">
        <v>294.5</v>
      </c>
      <c r="AG42" s="241">
        <v>271.95</v>
      </c>
      <c r="AH42" s="241">
        <v>255.34478840125394</v>
      </c>
      <c r="AI42" s="241">
        <v>280.23456112852654</v>
      </c>
      <c r="AJ42" s="241">
        <v>290.94568965517243</v>
      </c>
      <c r="AK42" s="241">
        <v>290.94568965517243</v>
      </c>
      <c r="AL42" s="241">
        <v>262.78965517241386</v>
      </c>
      <c r="AM42" s="167"/>
      <c r="AN42" s="191">
        <f>SUM(Y42:AJ42)</f>
        <v>3240.3443137154604</v>
      </c>
      <c r="AO42" s="145"/>
      <c r="AP42" s="145"/>
      <c r="AQ42" s="145"/>
    </row>
    <row r="43" spans="1:43" s="6" customFormat="1">
      <c r="A43" s="223" t="s">
        <v>102</v>
      </c>
      <c r="B43" s="224"/>
      <c r="C43" s="229">
        <v>44238</v>
      </c>
      <c r="D43" s="230"/>
      <c r="E43" s="242"/>
      <c r="F43" s="243"/>
      <c r="G43" s="243"/>
      <c r="H43" s="244"/>
      <c r="I43" s="244"/>
      <c r="J43" s="241"/>
      <c r="K43" s="241"/>
      <c r="L43" s="245"/>
      <c r="M43" s="241"/>
      <c r="N43" s="241"/>
      <c r="O43" s="247">
        <v>0.68</v>
      </c>
      <c r="P43" s="248">
        <v>0.7</v>
      </c>
      <c r="Q43" s="248">
        <v>0.6</v>
      </c>
      <c r="R43" s="248">
        <v>0</v>
      </c>
      <c r="S43" s="248">
        <v>0.6</v>
      </c>
      <c r="T43" s="247">
        <v>0.6</v>
      </c>
      <c r="U43" s="247">
        <v>1.2</v>
      </c>
      <c r="V43" s="249">
        <v>0</v>
      </c>
      <c r="W43" s="249">
        <v>0.6</v>
      </c>
      <c r="X43" s="248">
        <v>1.88</v>
      </c>
      <c r="Y43" s="250">
        <v>0</v>
      </c>
      <c r="Z43" s="251">
        <v>2.4</v>
      </c>
      <c r="AA43" s="252">
        <v>1.2</v>
      </c>
      <c r="AB43" s="252">
        <v>1.2</v>
      </c>
      <c r="AC43" s="252">
        <v>1.2</v>
      </c>
      <c r="AD43" s="252">
        <v>1.2</v>
      </c>
      <c r="AE43" s="252">
        <v>1.2</v>
      </c>
      <c r="AF43" s="252">
        <v>1.2</v>
      </c>
      <c r="AG43" s="252">
        <v>1.2</v>
      </c>
      <c r="AH43" s="252">
        <v>1.2</v>
      </c>
      <c r="AI43" s="252">
        <v>1.2</v>
      </c>
      <c r="AJ43" s="252">
        <v>1.2</v>
      </c>
      <c r="AK43" s="253">
        <v>0</v>
      </c>
      <c r="AL43" s="253">
        <v>0</v>
      </c>
      <c r="AM43" s="167"/>
      <c r="AN43" s="145"/>
      <c r="AO43" s="145"/>
      <c r="AP43" s="145"/>
      <c r="AQ43" s="145"/>
    </row>
    <row r="44" spans="1:43">
      <c r="A44" s="223" t="s">
        <v>10</v>
      </c>
      <c r="B44" s="224"/>
      <c r="C44" s="229">
        <v>44238</v>
      </c>
      <c r="D44" s="230"/>
      <c r="E44" s="254">
        <v>15.573</v>
      </c>
      <c r="F44" s="255">
        <v>16</v>
      </c>
      <c r="G44" s="254">
        <v>21</v>
      </c>
      <c r="H44" s="255">
        <v>25</v>
      </c>
      <c r="I44" s="255">
        <v>25</v>
      </c>
      <c r="J44" s="255">
        <v>22</v>
      </c>
      <c r="K44" s="256">
        <v>23</v>
      </c>
      <c r="L44" s="256">
        <v>25</v>
      </c>
      <c r="M44" s="241">
        <f>23-3</f>
        <v>20</v>
      </c>
      <c r="N44" s="257">
        <v>18</v>
      </c>
      <c r="O44" s="245">
        <v>7</v>
      </c>
      <c r="P44" s="245">
        <v>2</v>
      </c>
      <c r="Q44" s="258">
        <v>6</v>
      </c>
      <c r="R44" s="258">
        <v>0</v>
      </c>
      <c r="S44" s="259">
        <v>4</v>
      </c>
      <c r="T44" s="259">
        <v>1.2</v>
      </c>
      <c r="U44" s="259">
        <v>0</v>
      </c>
      <c r="V44" s="259">
        <v>0</v>
      </c>
      <c r="W44" s="260">
        <v>13</v>
      </c>
      <c r="X44" s="260">
        <v>11.6</v>
      </c>
      <c r="Y44" s="260">
        <v>19</v>
      </c>
      <c r="Z44" s="260">
        <f>3+12</f>
        <v>15</v>
      </c>
      <c r="AA44" s="259">
        <v>0</v>
      </c>
      <c r="AB44" s="259">
        <v>0</v>
      </c>
      <c r="AC44" s="259">
        <v>0</v>
      </c>
      <c r="AD44" s="259">
        <v>0</v>
      </c>
      <c r="AE44" s="259">
        <v>0</v>
      </c>
      <c r="AF44" s="259">
        <v>0</v>
      </c>
      <c r="AG44" s="259">
        <v>0</v>
      </c>
      <c r="AH44" s="259">
        <v>0</v>
      </c>
      <c r="AI44" s="259">
        <v>0</v>
      </c>
      <c r="AJ44" s="259">
        <v>0</v>
      </c>
      <c r="AK44" s="259">
        <v>0</v>
      </c>
      <c r="AL44" s="259">
        <v>0</v>
      </c>
      <c r="AM44" s="167"/>
      <c r="AN44" s="145"/>
      <c r="AO44" s="145"/>
      <c r="AP44" s="145"/>
      <c r="AQ44" s="145"/>
    </row>
    <row r="45" spans="1:43">
      <c r="A45" s="223" t="s">
        <v>103</v>
      </c>
      <c r="B45" s="224"/>
      <c r="C45" s="229">
        <v>44242</v>
      </c>
      <c r="D45" s="230"/>
      <c r="E45" s="254">
        <v>8.4</v>
      </c>
      <c r="F45" s="254">
        <v>6.2</v>
      </c>
      <c r="G45" s="255">
        <v>7.2</v>
      </c>
      <c r="H45" s="261">
        <v>7.2</v>
      </c>
      <c r="I45" s="255">
        <v>7.4</v>
      </c>
      <c r="J45" s="255">
        <v>6.7</v>
      </c>
      <c r="K45" s="259">
        <v>0</v>
      </c>
      <c r="L45" s="262">
        <v>3.96</v>
      </c>
      <c r="M45" s="259">
        <v>6.37</v>
      </c>
      <c r="N45" s="259">
        <v>6.1</v>
      </c>
      <c r="O45" s="259">
        <v>6.4799999999999995</v>
      </c>
      <c r="P45" s="259">
        <v>4.3</v>
      </c>
      <c r="Q45" s="259">
        <v>3</v>
      </c>
      <c r="R45" s="259">
        <v>3</v>
      </c>
      <c r="S45" s="259">
        <v>3.5</v>
      </c>
      <c r="T45" s="259">
        <v>3</v>
      </c>
      <c r="U45" s="260">
        <v>3.6</v>
      </c>
      <c r="V45" s="260">
        <f>8.06-2+0.7</f>
        <v>6.7600000000000007</v>
      </c>
      <c r="W45" s="260">
        <v>6.06</v>
      </c>
      <c r="X45" s="262">
        <v>6.67</v>
      </c>
      <c r="Y45" s="262">
        <v>8.3699999999999992</v>
      </c>
      <c r="Z45" s="262">
        <f>6.48+0.6</f>
        <v>7.08</v>
      </c>
      <c r="AA45" s="262">
        <v>6.63</v>
      </c>
      <c r="AB45" s="259">
        <v>6.63</v>
      </c>
      <c r="AC45" s="259">
        <v>5.78</v>
      </c>
      <c r="AD45" s="259">
        <v>5.9</v>
      </c>
      <c r="AE45" s="259">
        <v>6.12</v>
      </c>
      <c r="AF45" s="259">
        <v>6.12</v>
      </c>
      <c r="AG45" s="259">
        <v>5.47</v>
      </c>
      <c r="AH45" s="259">
        <v>5.47</v>
      </c>
      <c r="AI45" s="259">
        <v>5.47</v>
      </c>
      <c r="AJ45" s="259">
        <v>5.47</v>
      </c>
      <c r="AK45" s="259">
        <v>5.47</v>
      </c>
      <c r="AL45" s="259">
        <v>5.83</v>
      </c>
      <c r="AM45" s="167"/>
      <c r="AN45" s="145"/>
      <c r="AO45" s="145"/>
      <c r="AP45" s="145"/>
      <c r="AQ45" s="145"/>
    </row>
    <row r="46" spans="1:43">
      <c r="A46" s="223" t="s">
        <v>104</v>
      </c>
      <c r="B46" s="224"/>
      <c r="C46" s="229">
        <v>44238</v>
      </c>
      <c r="D46" s="230"/>
      <c r="E46" s="254">
        <v>5.89</v>
      </c>
      <c r="F46" s="254">
        <v>6.22</v>
      </c>
      <c r="G46" s="254">
        <v>5.89</v>
      </c>
      <c r="H46" s="254">
        <v>6.05</v>
      </c>
      <c r="I46" s="254">
        <v>5.85</v>
      </c>
      <c r="J46" s="254">
        <v>6.05</v>
      </c>
      <c r="K46" s="260">
        <v>6.7</v>
      </c>
      <c r="L46" s="259">
        <v>6.05</v>
      </c>
      <c r="M46" s="259">
        <v>6.2</v>
      </c>
      <c r="N46" s="259">
        <v>5.66</v>
      </c>
      <c r="O46" s="259">
        <v>6.0449999999999999</v>
      </c>
      <c r="P46" s="259">
        <v>5.85</v>
      </c>
      <c r="Q46" s="259">
        <v>4.5999999999999996</v>
      </c>
      <c r="R46" s="259">
        <v>5.7</v>
      </c>
      <c r="S46" s="259">
        <v>5.7</v>
      </c>
      <c r="T46" s="259">
        <v>5.68</v>
      </c>
      <c r="U46" s="259">
        <v>5.4</v>
      </c>
      <c r="V46" s="262">
        <v>5.8</v>
      </c>
      <c r="W46" s="262">
        <v>5.4</v>
      </c>
      <c r="X46" s="262">
        <v>5.58</v>
      </c>
      <c r="Y46" s="262">
        <v>5.4870000000000001</v>
      </c>
      <c r="Z46" s="262">
        <v>5.32</v>
      </c>
      <c r="AA46" s="262">
        <v>5.74</v>
      </c>
      <c r="AB46" s="259">
        <v>5.7</v>
      </c>
      <c r="AC46" s="259">
        <v>5.74</v>
      </c>
      <c r="AD46" s="259">
        <v>5.7</v>
      </c>
      <c r="AE46" s="259">
        <v>5.83</v>
      </c>
      <c r="AF46" s="259">
        <v>5.83</v>
      </c>
      <c r="AG46" s="259">
        <v>5.83</v>
      </c>
      <c r="AH46" s="259">
        <v>5.83</v>
      </c>
      <c r="AI46" s="259">
        <v>5.83</v>
      </c>
      <c r="AJ46" s="259">
        <v>5.83</v>
      </c>
      <c r="AK46" s="259">
        <v>5.7</v>
      </c>
      <c r="AL46" s="259">
        <v>5.7</v>
      </c>
      <c r="AM46" s="167"/>
      <c r="AN46" s="145"/>
      <c r="AO46" s="145"/>
      <c r="AP46" s="145"/>
      <c r="AQ46" s="145"/>
    </row>
    <row r="47" spans="1:43" ht="15" thickBot="1">
      <c r="A47" s="232" t="s">
        <v>105</v>
      </c>
      <c r="B47" s="263"/>
      <c r="C47" s="234">
        <v>44231</v>
      </c>
      <c r="D47" s="264"/>
      <c r="E47" s="254">
        <v>15.6</v>
      </c>
      <c r="F47" s="254">
        <v>16.100000000000001</v>
      </c>
      <c r="G47" s="254">
        <v>16.027000000000001</v>
      </c>
      <c r="H47" s="254">
        <v>14</v>
      </c>
      <c r="I47" s="254">
        <v>15.45</v>
      </c>
      <c r="J47" s="254">
        <v>10.85</v>
      </c>
      <c r="K47" s="258">
        <v>13.15</v>
      </c>
      <c r="L47" s="258">
        <v>13.26</v>
      </c>
      <c r="M47" s="258">
        <v>17</v>
      </c>
      <c r="N47" s="258">
        <v>17.5</v>
      </c>
      <c r="O47" s="258">
        <v>15</v>
      </c>
      <c r="P47" s="259">
        <v>16.5</v>
      </c>
      <c r="Q47" s="258">
        <v>15</v>
      </c>
      <c r="R47" s="259">
        <v>14.5</v>
      </c>
      <c r="S47" s="259">
        <v>15.5</v>
      </c>
      <c r="T47" s="259">
        <v>13.04</v>
      </c>
      <c r="U47" s="259">
        <v>17.2</v>
      </c>
      <c r="V47" s="260">
        <v>15.83</v>
      </c>
      <c r="W47" s="259">
        <v>16.2</v>
      </c>
      <c r="X47" s="262">
        <v>15.4</v>
      </c>
      <c r="Y47" s="260">
        <v>11</v>
      </c>
      <c r="Z47" s="262">
        <v>6.72</v>
      </c>
      <c r="AA47" s="262">
        <v>15.56</v>
      </c>
      <c r="AB47" s="262">
        <v>15</v>
      </c>
      <c r="AC47" s="262">
        <v>15.5</v>
      </c>
      <c r="AD47" s="262">
        <v>15</v>
      </c>
      <c r="AE47" s="262">
        <v>9.41</v>
      </c>
      <c r="AF47" s="262">
        <v>13.19</v>
      </c>
      <c r="AG47" s="262">
        <v>15</v>
      </c>
      <c r="AH47" s="262">
        <v>15.5</v>
      </c>
      <c r="AI47" s="262">
        <v>15</v>
      </c>
      <c r="AJ47" s="262">
        <v>15.08</v>
      </c>
      <c r="AK47" s="262">
        <v>14.87</v>
      </c>
      <c r="AL47" s="262">
        <v>14</v>
      </c>
      <c r="AM47" s="167"/>
      <c r="AN47" s="145"/>
      <c r="AO47" s="145"/>
      <c r="AP47" s="145"/>
      <c r="AQ47" s="145"/>
    </row>
    <row r="48" spans="1:43" ht="15" thickBot="1">
      <c r="A48" s="236" t="s">
        <v>106</v>
      </c>
      <c r="B48" s="237"/>
      <c r="C48" s="237"/>
      <c r="D48" s="237"/>
      <c r="E48" s="239">
        <f>SUM(E42:E47)</f>
        <v>336.07599999999996</v>
      </c>
      <c r="F48" s="240">
        <f t="shared" ref="F48:AL48" si="18">SUM(F42:F47)</f>
        <v>347.04800000000006</v>
      </c>
      <c r="G48" s="240">
        <f t="shared" si="18"/>
        <v>370.32699999999994</v>
      </c>
      <c r="H48" s="240">
        <f t="shared" si="18"/>
        <v>370.678</v>
      </c>
      <c r="I48" s="240">
        <f t="shared" si="18"/>
        <v>357.93599999999998</v>
      </c>
      <c r="J48" s="240">
        <f t="shared" si="18"/>
        <v>356.6</v>
      </c>
      <c r="K48" s="240">
        <f t="shared" si="18"/>
        <v>359.15</v>
      </c>
      <c r="L48" s="240">
        <f t="shared" si="18"/>
        <v>357.03</v>
      </c>
      <c r="M48" s="240">
        <f t="shared" si="18"/>
        <v>323.73699999999997</v>
      </c>
      <c r="N48" s="240">
        <f t="shared" si="18"/>
        <v>316.26000000000005</v>
      </c>
      <c r="O48" s="240">
        <f t="shared" si="18"/>
        <v>334.70500000000004</v>
      </c>
      <c r="P48" s="240">
        <f t="shared" si="18"/>
        <v>278.15100000000001</v>
      </c>
      <c r="Q48" s="240">
        <f t="shared" si="18"/>
        <v>254.2</v>
      </c>
      <c r="R48" s="240">
        <f t="shared" si="18"/>
        <v>261.7</v>
      </c>
      <c r="S48" s="240">
        <f>SUM(S42:S47)</f>
        <v>279.90799999999996</v>
      </c>
      <c r="T48" s="240">
        <f>SUM(T42:T47)</f>
        <v>293.82000000000005</v>
      </c>
      <c r="U48" s="240">
        <f>SUM(U42:U47)</f>
        <v>303.39999999999998</v>
      </c>
      <c r="V48" s="240">
        <f t="shared" si="18"/>
        <v>308.19200000000001</v>
      </c>
      <c r="W48" s="240">
        <f t="shared" si="18"/>
        <v>296.95999999999998</v>
      </c>
      <c r="X48" s="240">
        <f t="shared" si="18"/>
        <v>308.83</v>
      </c>
      <c r="Y48" s="240">
        <f t="shared" si="18"/>
        <v>321.25885793868554</v>
      </c>
      <c r="Z48" s="240">
        <f t="shared" si="18"/>
        <v>288.15074153018827</v>
      </c>
      <c r="AA48" s="240">
        <f t="shared" si="18"/>
        <v>307.77444562872296</v>
      </c>
      <c r="AB48" s="240">
        <f t="shared" si="18"/>
        <v>294.31555842790533</v>
      </c>
      <c r="AC48" s="240">
        <f t="shared" si="18"/>
        <v>309.06021207381639</v>
      </c>
      <c r="AD48" s="240">
        <f t="shared" si="18"/>
        <v>305.03645893118954</v>
      </c>
      <c r="AE48" s="240">
        <f t="shared" si="18"/>
        <v>238.39</v>
      </c>
      <c r="AF48" s="240">
        <f t="shared" si="18"/>
        <v>320.83999999999997</v>
      </c>
      <c r="AG48" s="240">
        <f t="shared" si="18"/>
        <v>299.45</v>
      </c>
      <c r="AH48" s="240">
        <f t="shared" si="18"/>
        <v>283.34478840125394</v>
      </c>
      <c r="AI48" s="240">
        <f t="shared" si="18"/>
        <v>307.73456112852654</v>
      </c>
      <c r="AJ48" s="240">
        <f t="shared" si="18"/>
        <v>318.52568965517241</v>
      </c>
      <c r="AK48" s="240">
        <f t="shared" si="18"/>
        <v>316.98568965517245</v>
      </c>
      <c r="AL48" s="240">
        <f t="shared" si="18"/>
        <v>288.31965517241383</v>
      </c>
      <c r="AM48" s="167"/>
      <c r="AN48" s="145"/>
      <c r="AO48" s="145"/>
      <c r="AP48" s="145"/>
      <c r="AQ48" s="145"/>
    </row>
    <row r="49" spans="1:43" ht="15" thickBot="1">
      <c r="A49" s="212" t="s">
        <v>109</v>
      </c>
      <c r="B49" s="144"/>
      <c r="C49" s="145"/>
      <c r="D49" s="145"/>
      <c r="E49" s="145"/>
      <c r="F49" s="145"/>
      <c r="G49" s="145"/>
      <c r="H49" s="145"/>
      <c r="I49" s="145"/>
      <c r="J49" s="145"/>
      <c r="K49" s="145"/>
      <c r="L49" s="145"/>
      <c r="M49" s="145"/>
      <c r="N49" s="145"/>
      <c r="O49" s="145"/>
      <c r="P49" s="265"/>
      <c r="Q49" s="265"/>
      <c r="R49" s="265"/>
      <c r="S49" s="265"/>
      <c r="T49" s="265"/>
      <c r="U49" s="265"/>
      <c r="V49" s="265"/>
      <c r="W49" s="265">
        <v>25</v>
      </c>
      <c r="X49" s="265">
        <v>9</v>
      </c>
      <c r="Y49" s="265"/>
      <c r="Z49" s="265"/>
      <c r="AA49" s="265"/>
      <c r="AB49" s="265"/>
      <c r="AC49" s="265"/>
      <c r="AD49" s="265"/>
      <c r="AE49" s="265"/>
      <c r="AF49" s="265"/>
      <c r="AG49" s="265"/>
      <c r="AH49" s="265"/>
      <c r="AI49" s="265"/>
      <c r="AJ49" s="265"/>
      <c r="AK49" s="265"/>
      <c r="AL49" s="265"/>
      <c r="AM49" s="145"/>
      <c r="AN49" s="145"/>
      <c r="AO49" s="145"/>
      <c r="AP49" s="145"/>
      <c r="AQ49" s="145"/>
    </row>
    <row r="50" spans="1:43" s="160" customFormat="1" ht="15" thickBot="1">
      <c r="A50" s="151" t="s">
        <v>74</v>
      </c>
      <c r="B50" s="152"/>
      <c r="C50" s="152" t="s">
        <v>97</v>
      </c>
      <c r="D50" s="152"/>
      <c r="E50" s="266">
        <f t="shared" ref="E50:AL50" si="19">E3</f>
        <v>43587</v>
      </c>
      <c r="F50" s="267">
        <f t="shared" si="19"/>
        <v>43618</v>
      </c>
      <c r="G50" s="267">
        <f t="shared" si="19"/>
        <v>43648</v>
      </c>
      <c r="H50" s="267">
        <f t="shared" si="19"/>
        <v>43679</v>
      </c>
      <c r="I50" s="267">
        <f t="shared" si="19"/>
        <v>43710</v>
      </c>
      <c r="J50" s="267">
        <f t="shared" si="19"/>
        <v>43740</v>
      </c>
      <c r="K50" s="267">
        <f t="shared" si="19"/>
        <v>43771</v>
      </c>
      <c r="L50" s="267">
        <f t="shared" si="19"/>
        <v>43801</v>
      </c>
      <c r="M50" s="267">
        <f t="shared" si="19"/>
        <v>43832</v>
      </c>
      <c r="N50" s="267">
        <f t="shared" si="19"/>
        <v>43863</v>
      </c>
      <c r="O50" s="267">
        <f t="shared" si="19"/>
        <v>43892</v>
      </c>
      <c r="P50" s="267">
        <f t="shared" si="19"/>
        <v>43923</v>
      </c>
      <c r="Q50" s="267">
        <f t="shared" si="19"/>
        <v>43953</v>
      </c>
      <c r="R50" s="267">
        <f t="shared" si="19"/>
        <v>43984</v>
      </c>
      <c r="S50" s="267">
        <f t="shared" si="19"/>
        <v>44014</v>
      </c>
      <c r="T50" s="267">
        <f t="shared" si="19"/>
        <v>44045</v>
      </c>
      <c r="U50" s="267">
        <f t="shared" si="19"/>
        <v>44076</v>
      </c>
      <c r="V50" s="267">
        <f t="shared" si="19"/>
        <v>44106</v>
      </c>
      <c r="W50" s="267">
        <f t="shared" si="19"/>
        <v>44137</v>
      </c>
      <c r="X50" s="267">
        <f t="shared" si="19"/>
        <v>44167</v>
      </c>
      <c r="Y50" s="267">
        <f t="shared" si="19"/>
        <v>44198</v>
      </c>
      <c r="Z50" s="267">
        <f t="shared" si="19"/>
        <v>44229</v>
      </c>
      <c r="AA50" s="267">
        <f t="shared" si="19"/>
        <v>44257</v>
      </c>
      <c r="AB50" s="267">
        <f t="shared" si="19"/>
        <v>44288</v>
      </c>
      <c r="AC50" s="267">
        <f t="shared" si="19"/>
        <v>44318</v>
      </c>
      <c r="AD50" s="267">
        <f t="shared" si="19"/>
        <v>44349</v>
      </c>
      <c r="AE50" s="267">
        <f t="shared" si="19"/>
        <v>44379</v>
      </c>
      <c r="AF50" s="267">
        <f t="shared" si="19"/>
        <v>44410</v>
      </c>
      <c r="AG50" s="267">
        <f t="shared" si="19"/>
        <v>44441</v>
      </c>
      <c r="AH50" s="267">
        <f t="shared" si="19"/>
        <v>44471</v>
      </c>
      <c r="AI50" s="267">
        <f t="shared" si="19"/>
        <v>44502</v>
      </c>
      <c r="AJ50" s="267">
        <f t="shared" si="19"/>
        <v>44532</v>
      </c>
      <c r="AK50" s="267">
        <f t="shared" si="19"/>
        <v>44563</v>
      </c>
      <c r="AL50" s="267">
        <f t="shared" si="19"/>
        <v>44594</v>
      </c>
      <c r="AM50" s="204"/>
      <c r="AN50" s="159"/>
      <c r="AO50" s="159"/>
      <c r="AP50" s="159"/>
      <c r="AQ50" s="159"/>
    </row>
    <row r="51" spans="1:43" s="160" customFormat="1" ht="15" thickBot="1">
      <c r="A51" s="216" t="s">
        <v>98</v>
      </c>
      <c r="B51" s="217"/>
      <c r="C51" s="218"/>
      <c r="D51" s="219"/>
      <c r="E51" s="266"/>
      <c r="F51" s="267"/>
      <c r="G51" s="267"/>
      <c r="H51" s="267"/>
      <c r="I51" s="267"/>
      <c r="J51" s="267"/>
      <c r="K51" s="267"/>
      <c r="L51" s="267"/>
      <c r="M51" s="267"/>
      <c r="N51" s="267"/>
      <c r="O51" s="267"/>
      <c r="P51" s="267"/>
      <c r="Q51" s="268">
        <f t="shared" ref="Q51:AL53" si="20">Q40-Q29</f>
        <v>0</v>
      </c>
      <c r="R51" s="268">
        <f t="shared" si="20"/>
        <v>-0.53409090909087809</v>
      </c>
      <c r="S51" s="268">
        <f t="shared" si="20"/>
        <v>0.35240909090906314</v>
      </c>
      <c r="T51" s="268">
        <f t="shared" si="20"/>
        <v>0.76000000000000512</v>
      </c>
      <c r="U51" s="268">
        <f t="shared" si="20"/>
        <v>0</v>
      </c>
      <c r="V51" s="268">
        <f t="shared" si="20"/>
        <v>0.8960000000000008</v>
      </c>
      <c r="W51" s="268">
        <f t="shared" si="20"/>
        <v>1.8689999999999998</v>
      </c>
      <c r="X51" s="268">
        <f t="shared" si="20"/>
        <v>5.5799999999999983</v>
      </c>
      <c r="Y51" s="268">
        <f t="shared" si="20"/>
        <v>-0.51461927084508829</v>
      </c>
      <c r="Z51" s="268">
        <f t="shared" si="20"/>
        <v>2.2344042903029759</v>
      </c>
      <c r="AA51" s="268">
        <f t="shared" si="20"/>
        <v>1.9986206896618341E-3</v>
      </c>
      <c r="AB51" s="268">
        <f t="shared" si="20"/>
        <v>0</v>
      </c>
      <c r="AC51" s="268">
        <f t="shared" si="20"/>
        <v>0</v>
      </c>
      <c r="AD51" s="268">
        <f t="shared" si="20"/>
        <v>0</v>
      </c>
      <c r="AE51" s="268">
        <f t="shared" si="20"/>
        <v>0</v>
      </c>
      <c r="AF51" s="268">
        <f t="shared" si="20"/>
        <v>0</v>
      </c>
      <c r="AG51" s="268">
        <f t="shared" si="20"/>
        <v>0</v>
      </c>
      <c r="AH51" s="268">
        <f t="shared" si="20"/>
        <v>0</v>
      </c>
      <c r="AI51" s="268">
        <f t="shared" si="20"/>
        <v>0</v>
      </c>
      <c r="AJ51" s="268">
        <f t="shared" si="20"/>
        <v>0</v>
      </c>
      <c r="AK51" s="268">
        <f t="shared" si="20"/>
        <v>0</v>
      </c>
      <c r="AL51" s="268">
        <f t="shared" si="20"/>
        <v>-8.883258183347337</v>
      </c>
      <c r="AM51" s="204"/>
      <c r="AN51" s="159"/>
      <c r="AO51" s="159"/>
      <c r="AP51" s="159"/>
      <c r="AQ51" s="159"/>
    </row>
    <row r="52" spans="1:43" s="160" customFormat="1" ht="15" thickBot="1">
      <c r="A52" s="223" t="s">
        <v>100</v>
      </c>
      <c r="B52" s="224"/>
      <c r="C52" s="225"/>
      <c r="D52" s="226"/>
      <c r="E52" s="266"/>
      <c r="F52" s="267"/>
      <c r="G52" s="267"/>
      <c r="H52" s="267"/>
      <c r="I52" s="267"/>
      <c r="J52" s="267"/>
      <c r="K52" s="267"/>
      <c r="L52" s="267"/>
      <c r="M52" s="267"/>
      <c r="N52" s="267"/>
      <c r="O52" s="267"/>
      <c r="P52" s="267"/>
      <c r="Q52" s="228">
        <f t="shared" si="20"/>
        <v>0</v>
      </c>
      <c r="R52" s="228">
        <f t="shared" si="20"/>
        <v>-1.0589090909091112</v>
      </c>
      <c r="S52" s="228">
        <f t="shared" si="20"/>
        <v>-1.0878876727270779</v>
      </c>
      <c r="T52" s="228">
        <f t="shared" si="20"/>
        <v>-1.3999999999999773</v>
      </c>
      <c r="U52" s="228">
        <f t="shared" si="20"/>
        <v>0</v>
      </c>
      <c r="V52" s="228">
        <f t="shared" si="20"/>
        <v>-9.4899999999999807</v>
      </c>
      <c r="W52" s="228">
        <f t="shared" si="20"/>
        <v>1.6589999999999918</v>
      </c>
      <c r="X52" s="228">
        <f t="shared" si="20"/>
        <v>23.974999999999966</v>
      </c>
      <c r="Y52" s="228">
        <f t="shared" si="20"/>
        <v>0.63147720953054431</v>
      </c>
      <c r="Z52" s="228">
        <f t="shared" si="20"/>
        <v>5.8118038823438098</v>
      </c>
      <c r="AA52" s="228">
        <f t="shared" si="20"/>
        <v>1.9369413875417081</v>
      </c>
      <c r="AB52" s="228">
        <f t="shared" si="20"/>
        <v>-4.4798092324351728</v>
      </c>
      <c r="AC52" s="228">
        <f t="shared" si="20"/>
        <v>-13.659787926183583</v>
      </c>
      <c r="AD52" s="228">
        <f t="shared" si="20"/>
        <v>-8.3635410688104344</v>
      </c>
      <c r="AE52" s="228">
        <f t="shared" si="20"/>
        <v>0</v>
      </c>
      <c r="AF52" s="228">
        <f t="shared" si="20"/>
        <v>0</v>
      </c>
      <c r="AG52" s="228">
        <f t="shared" si="20"/>
        <v>0</v>
      </c>
      <c r="AH52" s="228">
        <f t="shared" si="20"/>
        <v>0</v>
      </c>
      <c r="AI52" s="228">
        <f t="shared" si="20"/>
        <v>0</v>
      </c>
      <c r="AJ52" s="228">
        <f t="shared" si="20"/>
        <v>0</v>
      </c>
      <c r="AK52" s="228">
        <f t="shared" si="20"/>
        <v>0</v>
      </c>
      <c r="AL52" s="228">
        <f t="shared" si="20"/>
        <v>-19.27277629941122</v>
      </c>
      <c r="AM52" s="204"/>
      <c r="AN52" s="159"/>
      <c r="AO52" s="159"/>
      <c r="AP52" s="159"/>
      <c r="AQ52" s="159"/>
    </row>
    <row r="53" spans="1:43" s="6" customFormat="1">
      <c r="A53" s="223" t="s">
        <v>101</v>
      </c>
      <c r="B53" s="224"/>
      <c r="C53" s="225"/>
      <c r="D53" s="226"/>
      <c r="E53" s="269">
        <f t="shared" ref="E53:P53" si="21">E42-E31</f>
        <v>0</v>
      </c>
      <c r="F53" s="268">
        <f t="shared" si="21"/>
        <v>0</v>
      </c>
      <c r="G53" s="268">
        <f t="shared" si="21"/>
        <v>-10.29000000000002</v>
      </c>
      <c r="H53" s="268">
        <f t="shared" si="21"/>
        <v>0.47800000000000864</v>
      </c>
      <c r="I53" s="268">
        <f t="shared" si="21"/>
        <v>-15.26400000000001</v>
      </c>
      <c r="J53" s="268">
        <f t="shared" si="21"/>
        <v>-3</v>
      </c>
      <c r="K53" s="268">
        <f t="shared" si="21"/>
        <v>1.3000000000000114</v>
      </c>
      <c r="L53" s="268">
        <f t="shared" si="21"/>
        <v>-1.2400000000000091</v>
      </c>
      <c r="M53" s="268">
        <f t="shared" si="21"/>
        <v>-13.833000000000027</v>
      </c>
      <c r="N53" s="268">
        <f t="shared" si="21"/>
        <v>-1.4499999999999886</v>
      </c>
      <c r="O53" s="268">
        <f t="shared" si="21"/>
        <v>-13.600000000000023</v>
      </c>
      <c r="P53" s="268">
        <f t="shared" si="21"/>
        <v>-42.199000000000012</v>
      </c>
      <c r="Q53" s="228">
        <f t="shared" si="20"/>
        <v>0</v>
      </c>
      <c r="R53" s="228">
        <f t="shared" si="20"/>
        <v>-0.68258821384330304</v>
      </c>
      <c r="S53" s="228">
        <f t="shared" si="20"/>
        <v>-0.73547858181800052</v>
      </c>
      <c r="T53" s="228">
        <f t="shared" si="20"/>
        <v>-0.63999999999998636</v>
      </c>
      <c r="U53" s="228">
        <f t="shared" si="20"/>
        <v>0</v>
      </c>
      <c r="V53" s="228">
        <f t="shared" si="20"/>
        <v>-8.5939999999999941</v>
      </c>
      <c r="W53" s="228">
        <f t="shared" si="20"/>
        <v>3.5279999999999916</v>
      </c>
      <c r="X53" s="228">
        <f t="shared" si="20"/>
        <v>29.554999999999978</v>
      </c>
      <c r="Y53" s="228">
        <f t="shared" si="20"/>
        <v>0.11685793868548444</v>
      </c>
      <c r="Z53" s="228">
        <f t="shared" si="20"/>
        <v>5.6307415301882884</v>
      </c>
      <c r="AA53" s="228">
        <f t="shared" si="20"/>
        <v>1.9389400082313841</v>
      </c>
      <c r="AB53" s="228">
        <f t="shared" si="20"/>
        <v>-4.4798092324351728</v>
      </c>
      <c r="AC53" s="228">
        <f t="shared" si="20"/>
        <v>-13.659787926183583</v>
      </c>
      <c r="AD53" s="228">
        <f t="shared" si="20"/>
        <v>-8.3635410688104344</v>
      </c>
      <c r="AE53" s="228">
        <f t="shared" si="20"/>
        <v>0</v>
      </c>
      <c r="AF53" s="228">
        <f t="shared" si="20"/>
        <v>0</v>
      </c>
      <c r="AG53" s="228">
        <f t="shared" si="20"/>
        <v>0</v>
      </c>
      <c r="AH53" s="228">
        <f t="shared" si="20"/>
        <v>0</v>
      </c>
      <c r="AI53" s="228">
        <f t="shared" si="20"/>
        <v>0</v>
      </c>
      <c r="AJ53" s="228">
        <f t="shared" si="20"/>
        <v>0</v>
      </c>
      <c r="AK53" s="228">
        <f t="shared" si="20"/>
        <v>0</v>
      </c>
      <c r="AL53" s="228">
        <f t="shared" si="20"/>
        <v>-28.156034482758571</v>
      </c>
      <c r="AM53" s="167"/>
      <c r="AN53" s="145"/>
      <c r="AO53" s="145"/>
      <c r="AP53" s="145"/>
      <c r="AQ53" s="145"/>
    </row>
    <row r="54" spans="1:43">
      <c r="A54" s="223" t="s">
        <v>10</v>
      </c>
      <c r="B54" s="224"/>
      <c r="C54" s="229"/>
      <c r="D54" s="225"/>
      <c r="E54" s="270">
        <f t="shared" ref="E54:AL57" si="22">E44-E33</f>
        <v>0</v>
      </c>
      <c r="F54" s="228">
        <f t="shared" si="22"/>
        <v>-3</v>
      </c>
      <c r="G54" s="228">
        <f t="shared" si="22"/>
        <v>2</v>
      </c>
      <c r="H54" s="228">
        <f t="shared" si="22"/>
        <v>0</v>
      </c>
      <c r="I54" s="228">
        <f t="shared" si="22"/>
        <v>0</v>
      </c>
      <c r="J54" s="228">
        <f t="shared" si="22"/>
        <v>-3</v>
      </c>
      <c r="K54" s="228">
        <f t="shared" si="22"/>
        <v>2</v>
      </c>
      <c r="L54" s="228">
        <f t="shared" si="22"/>
        <v>1.5</v>
      </c>
      <c r="M54" s="228">
        <f t="shared" si="22"/>
        <v>-3</v>
      </c>
      <c r="N54" s="228">
        <f t="shared" si="22"/>
        <v>2</v>
      </c>
      <c r="O54" s="228">
        <f t="shared" si="22"/>
        <v>0</v>
      </c>
      <c r="P54" s="228">
        <f t="shared" si="22"/>
        <v>-12</v>
      </c>
      <c r="Q54" s="228">
        <f t="shared" si="22"/>
        <v>0</v>
      </c>
      <c r="R54" s="228">
        <f t="shared" si="22"/>
        <v>0</v>
      </c>
      <c r="S54" s="228">
        <f t="shared" si="22"/>
        <v>-4</v>
      </c>
      <c r="T54" s="228">
        <f t="shared" si="22"/>
        <v>1.2</v>
      </c>
      <c r="U54" s="228">
        <f t="shared" si="22"/>
        <v>-3</v>
      </c>
      <c r="V54" s="228">
        <f t="shared" si="22"/>
        <v>0</v>
      </c>
      <c r="W54" s="228">
        <f t="shared" si="22"/>
        <v>2</v>
      </c>
      <c r="X54" s="228">
        <f t="shared" si="22"/>
        <v>-2.4000000000000004</v>
      </c>
      <c r="Y54" s="228">
        <f t="shared" si="22"/>
        <v>16.5</v>
      </c>
      <c r="Z54" s="228">
        <f t="shared" si="22"/>
        <v>12</v>
      </c>
      <c r="AA54" s="228">
        <f t="shared" si="22"/>
        <v>0</v>
      </c>
      <c r="AB54" s="228">
        <f t="shared" si="22"/>
        <v>0</v>
      </c>
      <c r="AC54" s="228">
        <f t="shared" si="22"/>
        <v>0</v>
      </c>
      <c r="AD54" s="228">
        <f t="shared" si="22"/>
        <v>0</v>
      </c>
      <c r="AE54" s="228">
        <f t="shared" si="22"/>
        <v>0</v>
      </c>
      <c r="AF54" s="228">
        <f t="shared" si="22"/>
        <v>0</v>
      </c>
      <c r="AG54" s="228">
        <f t="shared" si="22"/>
        <v>0</v>
      </c>
      <c r="AH54" s="228">
        <f t="shared" si="22"/>
        <v>0</v>
      </c>
      <c r="AI54" s="228">
        <f t="shared" si="22"/>
        <v>0</v>
      </c>
      <c r="AJ54" s="228">
        <f t="shared" si="22"/>
        <v>0</v>
      </c>
      <c r="AK54" s="228">
        <f t="shared" si="22"/>
        <v>0</v>
      </c>
      <c r="AL54" s="228">
        <f t="shared" si="22"/>
        <v>0</v>
      </c>
      <c r="AM54" s="167"/>
      <c r="AN54" s="145"/>
      <c r="AO54" s="145"/>
      <c r="AP54" s="145"/>
      <c r="AQ54" s="145"/>
    </row>
    <row r="55" spans="1:43">
      <c r="A55" s="223" t="s">
        <v>103</v>
      </c>
      <c r="B55" s="224"/>
      <c r="C55" s="229"/>
      <c r="D55" s="225"/>
      <c r="E55" s="270">
        <f t="shared" si="22"/>
        <v>0</v>
      </c>
      <c r="F55" s="228">
        <f t="shared" si="22"/>
        <v>0</v>
      </c>
      <c r="G55" s="228">
        <f t="shared" si="22"/>
        <v>1.1000000000000005</v>
      </c>
      <c r="H55" s="228">
        <f t="shared" si="22"/>
        <v>0</v>
      </c>
      <c r="I55" s="228">
        <f t="shared" si="22"/>
        <v>0.70000000000000018</v>
      </c>
      <c r="J55" s="228">
        <f t="shared" si="22"/>
        <v>0</v>
      </c>
      <c r="K55" s="228">
        <f t="shared" si="22"/>
        <v>0</v>
      </c>
      <c r="L55" s="228">
        <f t="shared" si="22"/>
        <v>-1.4400000000000004</v>
      </c>
      <c r="M55" s="228">
        <f t="shared" si="22"/>
        <v>-0.83000000000000007</v>
      </c>
      <c r="N55" s="228">
        <f t="shared" si="22"/>
        <v>-0.40000000000000036</v>
      </c>
      <c r="O55" s="228">
        <f t="shared" si="22"/>
        <v>0</v>
      </c>
      <c r="P55" s="228">
        <f t="shared" si="22"/>
        <v>-2</v>
      </c>
      <c r="Q55" s="228">
        <f t="shared" si="22"/>
        <v>-3.5</v>
      </c>
      <c r="R55" s="228">
        <f t="shared" si="22"/>
        <v>-0.60000000000000009</v>
      </c>
      <c r="S55" s="228">
        <f t="shared" si="22"/>
        <v>-0.10000000000000009</v>
      </c>
      <c r="T55" s="228">
        <f t="shared" si="22"/>
        <v>-2</v>
      </c>
      <c r="U55" s="228">
        <f t="shared" si="22"/>
        <v>-0.64000000000000012</v>
      </c>
      <c r="V55" s="228">
        <f t="shared" si="22"/>
        <v>-0.59999999999999964</v>
      </c>
      <c r="W55" s="228">
        <f t="shared" si="22"/>
        <v>0.69999999999999929</v>
      </c>
      <c r="X55" s="228">
        <f t="shared" si="22"/>
        <v>1.2000000000000002</v>
      </c>
      <c r="Y55" s="228">
        <f t="shared" si="22"/>
        <v>2.169999999999999</v>
      </c>
      <c r="Z55" s="228">
        <f t="shared" si="22"/>
        <v>0</v>
      </c>
      <c r="AA55" s="228">
        <f t="shared" si="22"/>
        <v>-0.44000000000000039</v>
      </c>
      <c r="AB55" s="228">
        <f t="shared" si="22"/>
        <v>-0.44000000000000039</v>
      </c>
      <c r="AC55" s="228">
        <f t="shared" si="22"/>
        <v>0</v>
      </c>
      <c r="AD55" s="228">
        <f t="shared" si="22"/>
        <v>0.4300000000000006</v>
      </c>
      <c r="AE55" s="228">
        <f t="shared" si="22"/>
        <v>0.65000000000000036</v>
      </c>
      <c r="AF55" s="228">
        <f t="shared" si="22"/>
        <v>0.65000000000000036</v>
      </c>
      <c r="AG55" s="228">
        <f t="shared" si="22"/>
        <v>0</v>
      </c>
      <c r="AH55" s="228">
        <f t="shared" si="22"/>
        <v>0</v>
      </c>
      <c r="AI55" s="228">
        <f t="shared" si="22"/>
        <v>0</v>
      </c>
      <c r="AJ55" s="228">
        <f t="shared" si="22"/>
        <v>0</v>
      </c>
      <c r="AK55" s="228">
        <f t="shared" si="22"/>
        <v>0</v>
      </c>
      <c r="AL55" s="228">
        <f t="shared" si="22"/>
        <v>0.36000000000000032</v>
      </c>
      <c r="AM55" s="167"/>
      <c r="AN55" s="145"/>
      <c r="AO55" s="145"/>
      <c r="AP55" s="145"/>
      <c r="AQ55" s="145"/>
    </row>
    <row r="56" spans="1:43">
      <c r="A56" s="223" t="s">
        <v>104</v>
      </c>
      <c r="B56" s="224"/>
      <c r="C56" s="229"/>
      <c r="D56" s="225"/>
      <c r="E56" s="270">
        <f t="shared" si="22"/>
        <v>0</v>
      </c>
      <c r="F56" s="228">
        <f t="shared" si="22"/>
        <v>0.51999999999999957</v>
      </c>
      <c r="G56" s="228">
        <f t="shared" si="22"/>
        <v>0</v>
      </c>
      <c r="H56" s="228">
        <f t="shared" si="22"/>
        <v>0.16000000000000014</v>
      </c>
      <c r="I56" s="228">
        <f t="shared" si="22"/>
        <v>0</v>
      </c>
      <c r="J56" s="228">
        <f t="shared" si="22"/>
        <v>0</v>
      </c>
      <c r="K56" s="228">
        <f t="shared" si="22"/>
        <v>0.85000000000000053</v>
      </c>
      <c r="L56" s="228">
        <f t="shared" si="22"/>
        <v>0</v>
      </c>
      <c r="M56" s="228">
        <f t="shared" si="22"/>
        <v>0.15000000000000036</v>
      </c>
      <c r="N56" s="228">
        <f t="shared" si="22"/>
        <v>0</v>
      </c>
      <c r="O56" s="228">
        <f t="shared" si="22"/>
        <v>0</v>
      </c>
      <c r="P56" s="228">
        <f t="shared" si="22"/>
        <v>0</v>
      </c>
      <c r="Q56" s="228">
        <f t="shared" si="22"/>
        <v>-1.4500000000000002</v>
      </c>
      <c r="R56" s="228">
        <f t="shared" si="22"/>
        <v>0.29999999999999982</v>
      </c>
      <c r="S56" s="228">
        <f t="shared" si="22"/>
        <v>1.1400000000000006</v>
      </c>
      <c r="T56" s="228">
        <f t="shared" si="22"/>
        <v>9.9999999999999645E-2</v>
      </c>
      <c r="U56" s="228">
        <f t="shared" si="22"/>
        <v>-0.17999999999999972</v>
      </c>
      <c r="V56" s="228">
        <f t="shared" si="22"/>
        <v>0.21999999999999975</v>
      </c>
      <c r="W56" s="228">
        <f t="shared" si="22"/>
        <v>0</v>
      </c>
      <c r="X56" s="228">
        <f t="shared" si="22"/>
        <v>0</v>
      </c>
      <c r="Y56" s="228">
        <f t="shared" si="22"/>
        <v>-0.40299999999999958</v>
      </c>
      <c r="Z56" s="228">
        <f t="shared" si="22"/>
        <v>0</v>
      </c>
      <c r="AA56" s="228">
        <f t="shared" si="22"/>
        <v>-0.14999999999999947</v>
      </c>
      <c r="AB56" s="228">
        <f t="shared" si="22"/>
        <v>0</v>
      </c>
      <c r="AC56" s="228">
        <f t="shared" si="22"/>
        <v>-0.14999999999999947</v>
      </c>
      <c r="AD56" s="228">
        <f t="shared" si="22"/>
        <v>0</v>
      </c>
      <c r="AE56" s="228">
        <f t="shared" si="22"/>
        <v>0</v>
      </c>
      <c r="AF56" s="228">
        <f t="shared" si="22"/>
        <v>0</v>
      </c>
      <c r="AG56" s="228">
        <f t="shared" si="22"/>
        <v>0</v>
      </c>
      <c r="AH56" s="228">
        <f t="shared" si="22"/>
        <v>0</v>
      </c>
      <c r="AI56" s="228">
        <f t="shared" si="22"/>
        <v>0</v>
      </c>
      <c r="AJ56" s="228">
        <f t="shared" si="22"/>
        <v>0</v>
      </c>
      <c r="AK56" s="228">
        <f t="shared" si="22"/>
        <v>0</v>
      </c>
      <c r="AL56" s="228">
        <f t="shared" si="22"/>
        <v>0</v>
      </c>
      <c r="AM56" s="167"/>
      <c r="AN56" s="145"/>
      <c r="AO56" s="145"/>
      <c r="AP56" s="145"/>
      <c r="AQ56" s="145"/>
    </row>
    <row r="57" spans="1:43" ht="15" thickBot="1">
      <c r="A57" s="232" t="s">
        <v>105</v>
      </c>
      <c r="B57" s="263"/>
      <c r="C57" s="234"/>
      <c r="D57" s="271"/>
      <c r="E57" s="272">
        <f t="shared" si="22"/>
        <v>0</v>
      </c>
      <c r="F57" s="273">
        <f t="shared" si="22"/>
        <v>0.68000000000000149</v>
      </c>
      <c r="G57" s="273">
        <f t="shared" si="22"/>
        <v>0</v>
      </c>
      <c r="H57" s="273">
        <f t="shared" si="22"/>
        <v>-1.9299999999999997</v>
      </c>
      <c r="I57" s="273">
        <f t="shared" si="22"/>
        <v>0</v>
      </c>
      <c r="J57" s="273">
        <f t="shared" si="22"/>
        <v>0</v>
      </c>
      <c r="K57" s="273">
        <f t="shared" si="22"/>
        <v>2.6500000000000004</v>
      </c>
      <c r="L57" s="273">
        <f t="shared" si="22"/>
        <v>0</v>
      </c>
      <c r="M57" s="273">
        <f t="shared" si="22"/>
        <v>2.7189999999999994</v>
      </c>
      <c r="N57" s="273">
        <f t="shared" si="22"/>
        <v>1.5</v>
      </c>
      <c r="O57" s="273">
        <f t="shared" si="22"/>
        <v>-2</v>
      </c>
      <c r="P57" s="273">
        <f t="shared" si="22"/>
        <v>0.90000000000000036</v>
      </c>
      <c r="Q57" s="273">
        <f t="shared" si="22"/>
        <v>-2.0500000000000007</v>
      </c>
      <c r="R57" s="273">
        <f t="shared" si="22"/>
        <v>-1.0999999999999996</v>
      </c>
      <c r="S57" s="273">
        <f t="shared" si="22"/>
        <v>-1.2399999999999984</v>
      </c>
      <c r="T57" s="273">
        <f t="shared" si="22"/>
        <v>-1.5200000000000014</v>
      </c>
      <c r="U57" s="273">
        <f t="shared" si="22"/>
        <v>0</v>
      </c>
      <c r="V57" s="273">
        <f t="shared" si="22"/>
        <v>-0.90999999999999837</v>
      </c>
      <c r="W57" s="273">
        <f t="shared" si="22"/>
        <v>0</v>
      </c>
      <c r="X57" s="273">
        <f t="shared" si="22"/>
        <v>-0.72000000000000064</v>
      </c>
      <c r="Y57" s="273">
        <f t="shared" si="22"/>
        <v>-2.1199999999999992</v>
      </c>
      <c r="Z57" s="273">
        <f t="shared" si="22"/>
        <v>-2.1100000000000003</v>
      </c>
      <c r="AA57" s="273">
        <f t="shared" si="22"/>
        <v>0</v>
      </c>
      <c r="AB57" s="273">
        <f t="shared" si="22"/>
        <v>0</v>
      </c>
      <c r="AC57" s="273">
        <f t="shared" si="22"/>
        <v>0</v>
      </c>
      <c r="AD57" s="273">
        <f t="shared" si="22"/>
        <v>0</v>
      </c>
      <c r="AE57" s="273">
        <f t="shared" si="22"/>
        <v>0</v>
      </c>
      <c r="AF57" s="273">
        <f t="shared" si="22"/>
        <v>0</v>
      </c>
      <c r="AG57" s="273">
        <f t="shared" si="22"/>
        <v>0</v>
      </c>
      <c r="AH57" s="273">
        <f t="shared" si="22"/>
        <v>0</v>
      </c>
      <c r="AI57" s="273">
        <f t="shared" si="22"/>
        <v>0</v>
      </c>
      <c r="AJ57" s="273">
        <f t="shared" si="22"/>
        <v>0</v>
      </c>
      <c r="AK57" s="273">
        <f t="shared" si="22"/>
        <v>0</v>
      </c>
      <c r="AL57" s="273">
        <f t="shared" si="22"/>
        <v>-0.86999999999999922</v>
      </c>
      <c r="AM57" s="167"/>
      <c r="AN57" s="145"/>
      <c r="AO57" s="145"/>
      <c r="AP57" s="145"/>
      <c r="AQ57" s="145"/>
    </row>
    <row r="58" spans="1:43" ht="15" thickBot="1">
      <c r="A58" s="236" t="s">
        <v>106</v>
      </c>
      <c r="B58" s="237"/>
      <c r="C58" s="237"/>
      <c r="D58" s="237"/>
      <c r="E58" s="274">
        <f t="shared" ref="E58:AL58" si="23">SUM(E53:E57)</f>
        <v>0</v>
      </c>
      <c r="F58" s="275">
        <f t="shared" si="23"/>
        <v>-1.7999999999999989</v>
      </c>
      <c r="G58" s="275">
        <f t="shared" si="23"/>
        <v>-7.1900000000000199</v>
      </c>
      <c r="H58" s="275">
        <f t="shared" si="23"/>
        <v>-1.2919999999999909</v>
      </c>
      <c r="I58" s="275">
        <f t="shared" si="23"/>
        <v>-14.564000000000011</v>
      </c>
      <c r="J58" s="275">
        <f t="shared" si="23"/>
        <v>-6</v>
      </c>
      <c r="K58" s="275">
        <f t="shared" si="23"/>
        <v>6.8000000000000123</v>
      </c>
      <c r="L58" s="275">
        <f t="shared" si="23"/>
        <v>-1.1800000000000095</v>
      </c>
      <c r="M58" s="275">
        <f t="shared" si="23"/>
        <v>-14.794000000000027</v>
      </c>
      <c r="N58" s="275">
        <f t="shared" si="23"/>
        <v>1.650000000000011</v>
      </c>
      <c r="O58" s="275">
        <f t="shared" si="23"/>
        <v>-15.600000000000023</v>
      </c>
      <c r="P58" s="275">
        <f t="shared" si="23"/>
        <v>-55.299000000000014</v>
      </c>
      <c r="Q58" s="275">
        <f t="shared" si="23"/>
        <v>-7.0000000000000009</v>
      </c>
      <c r="R58" s="275">
        <f t="shared" si="23"/>
        <v>-2.0825882138433029</v>
      </c>
      <c r="S58" s="275">
        <f t="shared" si="23"/>
        <v>-4.935478581817998</v>
      </c>
      <c r="T58" s="275">
        <f t="shared" si="23"/>
        <v>-2.8599999999999879</v>
      </c>
      <c r="U58" s="275">
        <f t="shared" si="23"/>
        <v>-3.82</v>
      </c>
      <c r="V58" s="275">
        <f t="shared" si="23"/>
        <v>-9.8839999999999915</v>
      </c>
      <c r="W58" s="275">
        <f t="shared" si="23"/>
        <v>6.2279999999999909</v>
      </c>
      <c r="X58" s="275">
        <f t="shared" si="23"/>
        <v>27.634999999999977</v>
      </c>
      <c r="Y58" s="275">
        <f t="shared" si="23"/>
        <v>16.263857938685483</v>
      </c>
      <c r="Z58" s="275">
        <f t="shared" si="23"/>
        <v>15.520741530188289</v>
      </c>
      <c r="AA58" s="275">
        <f t="shared" si="23"/>
        <v>1.3489400082313843</v>
      </c>
      <c r="AB58" s="275">
        <f t="shared" si="23"/>
        <v>-4.9198092324351732</v>
      </c>
      <c r="AC58" s="275">
        <f t="shared" si="23"/>
        <v>-13.809787926183581</v>
      </c>
      <c r="AD58" s="275">
        <f t="shared" si="23"/>
        <v>-7.9335410688104337</v>
      </c>
      <c r="AE58" s="275">
        <f t="shared" si="23"/>
        <v>0.65000000000000036</v>
      </c>
      <c r="AF58" s="275">
        <f t="shared" si="23"/>
        <v>0.65000000000000036</v>
      </c>
      <c r="AG58" s="275">
        <f t="shared" si="23"/>
        <v>0</v>
      </c>
      <c r="AH58" s="275">
        <f t="shared" si="23"/>
        <v>0</v>
      </c>
      <c r="AI58" s="275">
        <f t="shared" si="23"/>
        <v>0</v>
      </c>
      <c r="AJ58" s="275">
        <f t="shared" si="23"/>
        <v>0</v>
      </c>
      <c r="AK58" s="275">
        <f t="shared" si="23"/>
        <v>0</v>
      </c>
      <c r="AL58" s="275">
        <f t="shared" si="23"/>
        <v>-28.666034482758569</v>
      </c>
      <c r="AM58" s="167"/>
      <c r="AN58" s="145"/>
      <c r="AO58" s="145"/>
      <c r="AP58" s="145"/>
      <c r="AQ58" s="145"/>
    </row>
    <row r="59" spans="1:43" ht="13.2" hidden="1" customHeight="1">
      <c r="A59" s="276" t="s">
        <v>110</v>
      </c>
      <c r="B59" s="277"/>
      <c r="C59" s="277" t="s">
        <v>111</v>
      </c>
      <c r="D59" s="277"/>
      <c r="E59" s="278"/>
      <c r="F59" s="278"/>
      <c r="G59" s="278"/>
      <c r="H59" s="278"/>
      <c r="I59" s="278"/>
      <c r="J59" s="278"/>
      <c r="K59" s="278"/>
      <c r="L59" s="278"/>
      <c r="M59" s="278"/>
      <c r="N59" s="278"/>
      <c r="O59" s="278"/>
      <c r="P59" s="278"/>
      <c r="Q59" s="278"/>
      <c r="R59" s="278"/>
      <c r="S59" s="278"/>
      <c r="T59" s="278"/>
      <c r="U59" s="278"/>
      <c r="V59" s="278"/>
      <c r="W59" s="278"/>
      <c r="X59" s="278"/>
      <c r="Y59" s="278"/>
      <c r="Z59" s="279">
        <f t="shared" ref="Z59:AA59" si="24">IF(Z88&gt;Z8,Z8,Z88)</f>
        <v>39</v>
      </c>
      <c r="AA59" s="279">
        <f t="shared" si="24"/>
        <v>16</v>
      </c>
      <c r="AB59" s="279">
        <f>IF(AB88&gt;AB8,AB8,AB88)</f>
        <v>54.233890709999997</v>
      </c>
      <c r="AC59" s="279">
        <f t="shared" ref="AC59:AL59" si="25">IF(AC88&gt;AC8,AC8,AC88)</f>
        <v>57.827865540000005</v>
      </c>
      <c r="AD59" s="279">
        <f t="shared" si="25"/>
        <v>56.375709260000008</v>
      </c>
      <c r="AE59" s="279">
        <f t="shared" si="25"/>
        <v>65.74157009000001</v>
      </c>
      <c r="AF59" s="279">
        <f t="shared" si="25"/>
        <v>22</v>
      </c>
      <c r="AG59" s="279">
        <f t="shared" si="25"/>
        <v>47</v>
      </c>
      <c r="AH59" s="279">
        <f t="shared" si="25"/>
        <v>47</v>
      </c>
      <c r="AI59" s="279">
        <f t="shared" si="25"/>
        <v>10</v>
      </c>
      <c r="AJ59" s="279">
        <f t="shared" si="25"/>
        <v>39</v>
      </c>
      <c r="AK59" s="279">
        <f t="shared" si="25"/>
        <v>33</v>
      </c>
      <c r="AL59" s="279">
        <f t="shared" si="25"/>
        <v>58.83829059</v>
      </c>
      <c r="AM59" s="167"/>
      <c r="AN59" s="145"/>
      <c r="AO59" s="145"/>
      <c r="AP59" s="145"/>
      <c r="AQ59" s="145"/>
    </row>
    <row r="60" spans="1:43" ht="13.2" hidden="1" customHeight="1">
      <c r="A60" s="280"/>
      <c r="B60" s="277"/>
      <c r="C60" s="277" t="s">
        <v>112</v>
      </c>
      <c r="D60" s="277"/>
      <c r="E60" s="278"/>
      <c r="F60" s="278"/>
      <c r="G60" s="278"/>
      <c r="H60" s="278"/>
      <c r="I60" s="278"/>
      <c r="J60" s="278"/>
      <c r="K60" s="278"/>
      <c r="L60" s="278"/>
      <c r="M60" s="278"/>
      <c r="N60" s="278"/>
      <c r="O60" s="278"/>
      <c r="P60" s="278"/>
      <c r="Q60" s="278"/>
      <c r="R60" s="278"/>
      <c r="S60" s="278"/>
      <c r="T60" s="278"/>
      <c r="U60" s="278"/>
      <c r="V60" s="278"/>
      <c r="W60" s="278"/>
      <c r="X60" s="278"/>
      <c r="Y60" s="278"/>
      <c r="Z60" s="279">
        <f t="shared" ref="Z60:AA60" si="26">IF(Z8=Z59,0,Z8-Z88)</f>
        <v>0</v>
      </c>
      <c r="AA60" s="279">
        <f t="shared" si="26"/>
        <v>0</v>
      </c>
      <c r="AB60" s="279">
        <f>IF(AB8=AB59,0,AB8-AB88)</f>
        <v>12.766109290000003</v>
      </c>
      <c r="AC60" s="279">
        <f t="shared" ref="AC60:AL60" si="27">IF(AC8=AC59,0,AC8-AC88)</f>
        <v>8.1721344599999952</v>
      </c>
      <c r="AD60" s="279">
        <f t="shared" si="27"/>
        <v>11.624290739999992</v>
      </c>
      <c r="AE60" s="279">
        <f t="shared" si="27"/>
        <v>43.25842990999999</v>
      </c>
      <c r="AF60" s="279">
        <f t="shared" si="27"/>
        <v>0</v>
      </c>
      <c r="AG60" s="279">
        <f t="shared" si="27"/>
        <v>0</v>
      </c>
      <c r="AH60" s="279">
        <f t="shared" si="27"/>
        <v>0</v>
      </c>
      <c r="AI60" s="279">
        <f t="shared" si="27"/>
        <v>0</v>
      </c>
      <c r="AJ60" s="279">
        <f t="shared" si="27"/>
        <v>0</v>
      </c>
      <c r="AK60" s="279">
        <f t="shared" si="27"/>
        <v>0</v>
      </c>
      <c r="AL60" s="279">
        <f t="shared" si="27"/>
        <v>2.1617094100000003</v>
      </c>
      <c r="AM60" s="167"/>
      <c r="AN60" s="145"/>
      <c r="AO60" s="145"/>
      <c r="AP60" s="145"/>
      <c r="AQ60" s="145"/>
    </row>
    <row r="61" spans="1:43" ht="13.2" hidden="1" customHeight="1">
      <c r="A61" s="280"/>
      <c r="B61" s="277"/>
      <c r="C61" s="277" t="s">
        <v>113</v>
      </c>
      <c r="D61" s="277"/>
      <c r="E61" s="278"/>
      <c r="F61" s="278"/>
      <c r="G61" s="278"/>
      <c r="H61" s="278"/>
      <c r="I61" s="278"/>
      <c r="J61" s="278"/>
      <c r="K61" s="278"/>
      <c r="L61" s="278"/>
      <c r="M61" s="278"/>
      <c r="N61" s="278"/>
      <c r="O61" s="278"/>
      <c r="P61" s="278"/>
      <c r="Q61" s="278"/>
      <c r="R61" s="278"/>
      <c r="S61" s="278"/>
      <c r="T61" s="278"/>
      <c r="U61" s="278"/>
      <c r="V61" s="278"/>
      <c r="W61" s="278"/>
      <c r="X61" s="278"/>
      <c r="Y61" s="278"/>
      <c r="Z61" s="279">
        <f t="shared" ref="Z61:AD61" si="28">IF(Z62+Z63&gt;Z8,0,Z8-(Z62+Z63))</f>
        <v>0</v>
      </c>
      <c r="AA61" s="279">
        <f t="shared" si="28"/>
        <v>0</v>
      </c>
      <c r="AB61" s="279">
        <f t="shared" si="28"/>
        <v>0</v>
      </c>
      <c r="AC61" s="279">
        <f t="shared" si="28"/>
        <v>0</v>
      </c>
      <c r="AD61" s="279">
        <f t="shared" si="28"/>
        <v>0</v>
      </c>
      <c r="AE61" s="279">
        <f>IF(AE62+AE63&gt;AE8,0,AE8-(AE62+AE63))</f>
        <v>16.25842990999999</v>
      </c>
      <c r="AF61" s="279">
        <f t="shared" ref="AF61:AL61" si="29">IF(AF62+AF63&gt;AF8,0,AF8-(AF62+AF63))</f>
        <v>0</v>
      </c>
      <c r="AG61" s="279">
        <f t="shared" si="29"/>
        <v>0</v>
      </c>
      <c r="AH61" s="279">
        <f t="shared" si="29"/>
        <v>0</v>
      </c>
      <c r="AI61" s="279">
        <f t="shared" si="29"/>
        <v>0</v>
      </c>
      <c r="AJ61" s="279">
        <f t="shared" si="29"/>
        <v>0</v>
      </c>
      <c r="AK61" s="279">
        <f t="shared" si="29"/>
        <v>0</v>
      </c>
      <c r="AL61" s="279">
        <f t="shared" si="29"/>
        <v>0</v>
      </c>
      <c r="AM61" s="167"/>
      <c r="AN61" s="145"/>
      <c r="AO61" s="145"/>
      <c r="AP61" s="145"/>
      <c r="AQ61" s="145"/>
    </row>
    <row r="62" spans="1:43" ht="13.2" customHeight="1">
      <c r="A62" s="276" t="s">
        <v>110</v>
      </c>
      <c r="B62" s="281" t="s">
        <v>39</v>
      </c>
      <c r="C62" s="281" t="s">
        <v>111</v>
      </c>
      <c r="D62" s="281" t="s">
        <v>114</v>
      </c>
      <c r="E62" s="278"/>
      <c r="F62" s="278"/>
      <c r="G62" s="278"/>
      <c r="H62" s="278"/>
      <c r="I62" s="278"/>
      <c r="J62" s="278"/>
      <c r="K62" s="278"/>
      <c r="L62" s="278"/>
      <c r="M62" s="278"/>
      <c r="N62" s="278"/>
      <c r="O62" s="278"/>
      <c r="P62" s="278"/>
      <c r="Q62" s="278"/>
      <c r="R62" s="278"/>
      <c r="S62" s="278"/>
      <c r="T62" s="278"/>
      <c r="U62" s="278"/>
      <c r="V62" s="278"/>
      <c r="W62" s="278"/>
      <c r="X62" s="278"/>
      <c r="Y62" s="282">
        <v>6</v>
      </c>
      <c r="Z62" s="282">
        <f>Z59</f>
        <v>39</v>
      </c>
      <c r="AA62" s="282">
        <f t="shared" ref="AA62:AL62" si="30">AA59</f>
        <v>16</v>
      </c>
      <c r="AB62" s="282">
        <f t="shared" si="30"/>
        <v>54.233890709999997</v>
      </c>
      <c r="AC62" s="282">
        <f t="shared" si="30"/>
        <v>57.827865540000005</v>
      </c>
      <c r="AD62" s="282">
        <f t="shared" si="30"/>
        <v>56.375709260000008</v>
      </c>
      <c r="AE62" s="282">
        <f t="shared" si="30"/>
        <v>65.74157009000001</v>
      </c>
      <c r="AF62" s="282">
        <f t="shared" si="30"/>
        <v>22</v>
      </c>
      <c r="AG62" s="282">
        <f t="shared" si="30"/>
        <v>47</v>
      </c>
      <c r="AH62" s="282">
        <f t="shared" si="30"/>
        <v>47</v>
      </c>
      <c r="AI62" s="282">
        <f t="shared" si="30"/>
        <v>10</v>
      </c>
      <c r="AJ62" s="282">
        <f t="shared" si="30"/>
        <v>39</v>
      </c>
      <c r="AK62" s="282">
        <f t="shared" si="30"/>
        <v>33</v>
      </c>
      <c r="AL62" s="282">
        <f t="shared" si="30"/>
        <v>58.83829059</v>
      </c>
      <c r="AM62" s="167"/>
      <c r="AN62" s="145"/>
      <c r="AO62" s="145"/>
      <c r="AP62" s="145"/>
      <c r="AQ62" s="145"/>
    </row>
    <row r="63" spans="1:43" ht="13.2" customHeight="1">
      <c r="A63" s="280"/>
      <c r="B63" s="281" t="s">
        <v>39</v>
      </c>
      <c r="C63" s="281" t="s">
        <v>112</v>
      </c>
      <c r="D63" s="281" t="s">
        <v>114</v>
      </c>
      <c r="E63" s="278"/>
      <c r="F63" s="278"/>
      <c r="G63" s="278"/>
      <c r="H63" s="278"/>
      <c r="I63" s="278"/>
      <c r="J63" s="278"/>
      <c r="K63" s="278"/>
      <c r="L63" s="278"/>
      <c r="M63" s="278"/>
      <c r="N63" s="278"/>
      <c r="O63" s="278"/>
      <c r="P63" s="278"/>
      <c r="Q63" s="278"/>
      <c r="R63" s="278"/>
      <c r="S63" s="278"/>
      <c r="T63" s="278"/>
      <c r="U63" s="278"/>
      <c r="V63" s="278"/>
      <c r="W63" s="278"/>
      <c r="X63" s="278"/>
      <c r="Y63" s="278"/>
      <c r="Z63" s="282">
        <f t="shared" ref="Z63:AD63" si="31">IF(Z60&lt;Z92,Z60,Z92)</f>
        <v>0</v>
      </c>
      <c r="AA63" s="282">
        <f t="shared" si="31"/>
        <v>0</v>
      </c>
      <c r="AB63" s="282">
        <f t="shared" si="31"/>
        <v>12.766109290000003</v>
      </c>
      <c r="AC63" s="282">
        <f t="shared" si="31"/>
        <v>8.1721344599999952</v>
      </c>
      <c r="AD63" s="282">
        <f t="shared" si="31"/>
        <v>11.624290739999992</v>
      </c>
      <c r="AE63" s="282">
        <f>IF(AE60&lt;AE92,AE60,AE92)</f>
        <v>27</v>
      </c>
      <c r="AF63" s="282">
        <f t="shared" ref="AF63:AL63" si="32">IF(AF60&lt;AF92,AF60,AF92)</f>
        <v>0</v>
      </c>
      <c r="AG63" s="282">
        <f t="shared" si="32"/>
        <v>0</v>
      </c>
      <c r="AH63" s="282">
        <f t="shared" si="32"/>
        <v>0</v>
      </c>
      <c r="AI63" s="282">
        <f t="shared" si="32"/>
        <v>0</v>
      </c>
      <c r="AJ63" s="282">
        <f t="shared" si="32"/>
        <v>0</v>
      </c>
      <c r="AK63" s="282">
        <f t="shared" si="32"/>
        <v>0</v>
      </c>
      <c r="AL63" s="282">
        <f t="shared" si="32"/>
        <v>2.1617094100000003</v>
      </c>
      <c r="AM63" s="167"/>
      <c r="AN63" s="145"/>
      <c r="AO63" s="145"/>
      <c r="AP63" s="145"/>
      <c r="AQ63" s="145"/>
    </row>
    <row r="64" spans="1:43" ht="13.2" customHeight="1">
      <c r="A64" s="280"/>
      <c r="B64" s="281" t="s">
        <v>39</v>
      </c>
      <c r="C64" s="281" t="s">
        <v>113</v>
      </c>
      <c r="D64" s="281" t="s">
        <v>114</v>
      </c>
      <c r="E64" s="278"/>
      <c r="F64" s="278"/>
      <c r="G64" s="278"/>
      <c r="H64" s="278"/>
      <c r="I64" s="278"/>
      <c r="J64" s="278"/>
      <c r="K64" s="278"/>
      <c r="L64" s="278"/>
      <c r="M64" s="278"/>
      <c r="N64" s="278"/>
      <c r="O64" s="278"/>
      <c r="P64" s="278"/>
      <c r="Q64" s="278"/>
      <c r="R64" s="278"/>
      <c r="S64" s="278"/>
      <c r="T64" s="278"/>
      <c r="U64" s="278"/>
      <c r="V64" s="278"/>
      <c r="W64" s="278"/>
      <c r="X64" s="278"/>
      <c r="Y64" s="278"/>
      <c r="Z64" s="282">
        <f>Z61</f>
        <v>0</v>
      </c>
      <c r="AA64" s="282">
        <f t="shared" ref="AA64:AL64" si="33">AA61</f>
        <v>0</v>
      </c>
      <c r="AB64" s="282">
        <f t="shared" si="33"/>
        <v>0</v>
      </c>
      <c r="AC64" s="282">
        <f t="shared" si="33"/>
        <v>0</v>
      </c>
      <c r="AD64" s="282">
        <f t="shared" si="33"/>
        <v>0</v>
      </c>
      <c r="AE64" s="282">
        <f t="shared" si="33"/>
        <v>16.25842990999999</v>
      </c>
      <c r="AF64" s="282">
        <f t="shared" si="33"/>
        <v>0</v>
      </c>
      <c r="AG64" s="282">
        <f t="shared" si="33"/>
        <v>0</v>
      </c>
      <c r="AH64" s="282">
        <f t="shared" si="33"/>
        <v>0</v>
      </c>
      <c r="AI64" s="282">
        <f t="shared" si="33"/>
        <v>0</v>
      </c>
      <c r="AJ64" s="282">
        <f t="shared" si="33"/>
        <v>0</v>
      </c>
      <c r="AK64" s="282">
        <f t="shared" si="33"/>
        <v>0</v>
      </c>
      <c r="AL64" s="282">
        <f t="shared" si="33"/>
        <v>0</v>
      </c>
      <c r="AM64" s="167"/>
      <c r="AN64" s="145"/>
      <c r="AO64" s="145"/>
      <c r="AP64" s="145"/>
      <c r="AQ64" s="145"/>
    </row>
    <row r="65" spans="1:43" ht="13.2" hidden="1" customHeight="1">
      <c r="A65" s="280"/>
      <c r="B65" s="144"/>
      <c r="C65" s="283" t="s">
        <v>111</v>
      </c>
      <c r="D65" s="145"/>
      <c r="E65" s="278"/>
      <c r="F65" s="278"/>
      <c r="G65" s="278"/>
      <c r="H65" s="278"/>
      <c r="I65" s="278"/>
      <c r="J65" s="278"/>
      <c r="K65" s="284">
        <f t="shared" ref="K65:Q65" si="34">K88-K8</f>
        <v>53.24</v>
      </c>
      <c r="L65" s="284">
        <f t="shared" si="34"/>
        <v>59.77</v>
      </c>
      <c r="M65" s="284">
        <f t="shared" si="34"/>
        <v>70.308482029999993</v>
      </c>
      <c r="N65" s="284">
        <f t="shared" si="34"/>
        <v>62.170128779999992</v>
      </c>
      <c r="O65" s="284">
        <f t="shared" si="34"/>
        <v>67.39</v>
      </c>
      <c r="P65" s="284">
        <f t="shared" si="34"/>
        <v>52.08</v>
      </c>
      <c r="Q65" s="284">
        <f t="shared" si="34"/>
        <v>45.18</v>
      </c>
      <c r="R65" s="284">
        <f>R88-R8-R10</f>
        <v>47.39</v>
      </c>
      <c r="S65" s="284">
        <f t="shared" ref="S65:AL65" si="35">S88-S8-S10</f>
        <v>32.54</v>
      </c>
      <c r="T65" s="284">
        <f t="shared" si="35"/>
        <v>32.6</v>
      </c>
      <c r="U65" s="284">
        <f t="shared" si="35"/>
        <v>43.42</v>
      </c>
      <c r="V65" s="284">
        <f t="shared" si="35"/>
        <v>55.54</v>
      </c>
      <c r="W65" s="284">
        <f t="shared" si="35"/>
        <v>27.382407709999995</v>
      </c>
      <c r="X65" s="284">
        <f t="shared" si="35"/>
        <v>35.423000000000002</v>
      </c>
      <c r="Y65" s="284">
        <f t="shared" si="35"/>
        <v>48.21</v>
      </c>
      <c r="Z65" s="285">
        <f t="shared" si="35"/>
        <v>13.948116450000001</v>
      </c>
      <c r="AA65" s="285">
        <f t="shared" si="35"/>
        <v>38.627490120000004</v>
      </c>
      <c r="AB65" s="285">
        <f t="shared" si="35"/>
        <v>-12.766109290000003</v>
      </c>
      <c r="AC65" s="285">
        <f t="shared" si="35"/>
        <v>-8.1721344599999952</v>
      </c>
      <c r="AD65" s="285">
        <f t="shared" si="35"/>
        <v>-11.624290739999992</v>
      </c>
      <c r="AE65" s="285">
        <f t="shared" si="35"/>
        <v>-43.25842990999999</v>
      </c>
      <c r="AF65" s="285">
        <f t="shared" si="35"/>
        <v>40.130839930000008</v>
      </c>
      <c r="AG65" s="285">
        <f t="shared" si="35"/>
        <v>11.90145376000001</v>
      </c>
      <c r="AH65" s="285">
        <f t="shared" si="35"/>
        <v>11.899874459999992</v>
      </c>
      <c r="AI65" s="285">
        <f t="shared" si="35"/>
        <v>49.800127540000005</v>
      </c>
      <c r="AJ65" s="285">
        <f t="shared" si="35"/>
        <v>21.055908079999995</v>
      </c>
      <c r="AK65" s="285">
        <f t="shared" si="35"/>
        <v>25.83829059</v>
      </c>
      <c r="AL65" s="285">
        <f t="shared" si="35"/>
        <v>-2.1617094100000003</v>
      </c>
      <c r="AM65" s="167"/>
      <c r="AN65" s="145"/>
      <c r="AO65" s="145"/>
      <c r="AP65" s="145"/>
      <c r="AQ65" s="145"/>
    </row>
    <row r="66" spans="1:43" ht="13.2" hidden="1" customHeight="1">
      <c r="A66" s="276"/>
      <c r="B66" s="144"/>
      <c r="C66" s="283" t="s">
        <v>112</v>
      </c>
      <c r="D66" s="145"/>
      <c r="E66" s="278"/>
      <c r="F66" s="278"/>
      <c r="G66" s="278"/>
      <c r="H66" s="278"/>
      <c r="I66" s="278"/>
      <c r="J66" s="278"/>
      <c r="K66" s="284"/>
      <c r="L66" s="284"/>
      <c r="M66" s="284"/>
      <c r="N66" s="284"/>
      <c r="O66" s="284"/>
      <c r="P66" s="284"/>
      <c r="Q66" s="284"/>
      <c r="R66" s="284"/>
      <c r="S66" s="284"/>
      <c r="T66" s="284"/>
      <c r="U66" s="284"/>
      <c r="V66" s="284"/>
      <c r="W66" s="284"/>
      <c r="X66" s="284"/>
      <c r="Y66" s="284"/>
      <c r="Z66" s="285">
        <f>IF(Z65&gt;0,Z92,Z92+Z65)</f>
        <v>24.4</v>
      </c>
      <c r="AA66" s="285">
        <f t="shared" ref="AA66:AF66" si="36">IF(AA65&gt;0,AA92,AA92+AA65)</f>
        <v>26</v>
      </c>
      <c r="AB66" s="285">
        <f t="shared" si="36"/>
        <v>13.233890709999997</v>
      </c>
      <c r="AC66" s="285">
        <f t="shared" si="36"/>
        <v>18.827865540000005</v>
      </c>
      <c r="AD66" s="285">
        <f t="shared" si="36"/>
        <v>15.375709260000008</v>
      </c>
      <c r="AE66" s="285">
        <f t="shared" si="36"/>
        <v>-16.25842990999999</v>
      </c>
      <c r="AF66" s="285">
        <f t="shared" si="36"/>
        <v>27</v>
      </c>
      <c r="AG66" s="285">
        <f>IF(AG65&gt;0,AG92,AG92+AG65)</f>
        <v>27</v>
      </c>
      <c r="AH66" s="285">
        <f t="shared" ref="AH66:AL66" si="37">IF(AH65&gt;0,AH92,AH92+AH65)</f>
        <v>27</v>
      </c>
      <c r="AI66" s="285">
        <f t="shared" si="37"/>
        <v>27</v>
      </c>
      <c r="AJ66" s="285">
        <f t="shared" si="37"/>
        <v>27</v>
      </c>
      <c r="AK66" s="285">
        <f t="shared" si="37"/>
        <v>27</v>
      </c>
      <c r="AL66" s="285">
        <f t="shared" si="37"/>
        <v>24.83829059</v>
      </c>
      <c r="AM66" s="167"/>
      <c r="AN66" s="145"/>
      <c r="AO66" s="145"/>
      <c r="AP66" s="145"/>
      <c r="AQ66" s="145"/>
    </row>
    <row r="67" spans="1:43" ht="13.2" hidden="1" customHeight="1">
      <c r="A67" s="276"/>
      <c r="B67" s="144"/>
      <c r="C67" s="283" t="s">
        <v>113</v>
      </c>
      <c r="D67" s="145"/>
      <c r="E67" s="278"/>
      <c r="F67" s="278"/>
      <c r="G67" s="278"/>
      <c r="H67" s="278"/>
      <c r="I67" s="278"/>
      <c r="J67" s="278"/>
      <c r="K67" s="284"/>
      <c r="L67" s="284"/>
      <c r="M67" s="284"/>
      <c r="N67" s="284"/>
      <c r="O67" s="284"/>
      <c r="P67" s="284"/>
      <c r="Q67" s="284"/>
      <c r="R67" s="284"/>
      <c r="S67" s="284"/>
      <c r="T67" s="284"/>
      <c r="U67" s="284"/>
      <c r="V67" s="284"/>
      <c r="W67" s="284"/>
      <c r="X67" s="284"/>
      <c r="Y67" s="284"/>
      <c r="Z67" s="285">
        <f t="shared" ref="Z67:AD67" si="38">IF(Z66&gt;=0,Z93,Z93+Z66)</f>
        <v>15</v>
      </c>
      <c r="AA67" s="285">
        <f t="shared" si="38"/>
        <v>17</v>
      </c>
      <c r="AB67" s="285">
        <f t="shared" si="38"/>
        <v>16</v>
      </c>
      <c r="AC67" s="285">
        <f t="shared" si="38"/>
        <v>17</v>
      </c>
      <c r="AD67" s="285">
        <f t="shared" si="38"/>
        <v>17</v>
      </c>
      <c r="AE67" s="285">
        <f>IF(AE66&gt;=0,AE93,AE93+AE66)</f>
        <v>0.7415700900000104</v>
      </c>
      <c r="AF67" s="285">
        <f t="shared" ref="AF67:AL67" si="39">IF(AF66&gt;=0,AF93,AF93+AF66)</f>
        <v>17</v>
      </c>
      <c r="AG67" s="285">
        <f t="shared" si="39"/>
        <v>17</v>
      </c>
      <c r="AH67" s="285">
        <f t="shared" si="39"/>
        <v>17</v>
      </c>
      <c r="AI67" s="285">
        <f t="shared" si="39"/>
        <v>17</v>
      </c>
      <c r="AJ67" s="285">
        <f t="shared" si="39"/>
        <v>17</v>
      </c>
      <c r="AK67" s="285">
        <f t="shared" si="39"/>
        <v>17</v>
      </c>
      <c r="AL67" s="285">
        <f t="shared" si="39"/>
        <v>17</v>
      </c>
      <c r="AM67" s="167"/>
      <c r="AN67" s="145"/>
      <c r="AO67" s="145"/>
      <c r="AP67" s="145"/>
      <c r="AQ67" s="145"/>
    </row>
    <row r="68" spans="1:43" ht="13.2" customHeight="1">
      <c r="A68" s="280"/>
      <c r="B68" s="286" t="s">
        <v>35</v>
      </c>
      <c r="C68" s="286" t="s">
        <v>111</v>
      </c>
      <c r="D68" s="286" t="s">
        <v>115</v>
      </c>
      <c r="E68" s="278"/>
      <c r="F68" s="278"/>
      <c r="G68" s="278"/>
      <c r="H68" s="278"/>
      <c r="I68" s="278"/>
      <c r="J68" s="278"/>
      <c r="K68" s="284"/>
      <c r="L68" s="284"/>
      <c r="M68" s="284"/>
      <c r="N68" s="284"/>
      <c r="O68" s="284"/>
      <c r="P68" s="284"/>
      <c r="Q68" s="284"/>
      <c r="R68" s="284"/>
      <c r="S68" s="284"/>
      <c r="T68" s="284"/>
      <c r="U68" s="284"/>
      <c r="V68" s="284"/>
      <c r="W68" s="284"/>
      <c r="X68" s="284"/>
      <c r="Y68" s="284">
        <f t="shared" ref="Y68:AL70" si="40">IF(Y65&lt;0,0,Y65)</f>
        <v>48.21</v>
      </c>
      <c r="Z68" s="284">
        <f t="shared" si="40"/>
        <v>13.948116450000001</v>
      </c>
      <c r="AA68" s="284">
        <f t="shared" si="40"/>
        <v>38.627490120000004</v>
      </c>
      <c r="AB68" s="284">
        <f t="shared" si="40"/>
        <v>0</v>
      </c>
      <c r="AC68" s="284">
        <f t="shared" si="40"/>
        <v>0</v>
      </c>
      <c r="AD68" s="284">
        <f t="shared" si="40"/>
        <v>0</v>
      </c>
      <c r="AE68" s="284">
        <f t="shared" si="40"/>
        <v>0</v>
      </c>
      <c r="AF68" s="284">
        <f t="shared" si="40"/>
        <v>40.130839930000008</v>
      </c>
      <c r="AG68" s="284">
        <f t="shared" si="40"/>
        <v>11.90145376000001</v>
      </c>
      <c r="AH68" s="284">
        <f t="shared" si="40"/>
        <v>11.899874459999992</v>
      </c>
      <c r="AI68" s="284">
        <f t="shared" si="40"/>
        <v>49.800127540000005</v>
      </c>
      <c r="AJ68" s="284">
        <f t="shared" si="40"/>
        <v>21.055908079999995</v>
      </c>
      <c r="AK68" s="284">
        <f t="shared" si="40"/>
        <v>25.83829059</v>
      </c>
      <c r="AL68" s="284">
        <f t="shared" si="40"/>
        <v>0</v>
      </c>
      <c r="AM68" s="167"/>
      <c r="AN68" s="145"/>
      <c r="AO68" s="145"/>
      <c r="AP68" s="145"/>
      <c r="AQ68" s="145"/>
    </row>
    <row r="69" spans="1:43" ht="13.2" customHeight="1">
      <c r="A69" s="280"/>
      <c r="B69" s="286" t="s">
        <v>35</v>
      </c>
      <c r="C69" s="286" t="s">
        <v>112</v>
      </c>
      <c r="D69" s="286" t="s">
        <v>115</v>
      </c>
      <c r="E69" s="278"/>
      <c r="F69" s="278"/>
      <c r="G69" s="278"/>
      <c r="H69" s="278"/>
      <c r="I69" s="278"/>
      <c r="J69" s="278"/>
      <c r="K69" s="284"/>
      <c r="L69" s="284"/>
      <c r="M69" s="284"/>
      <c r="N69" s="284"/>
      <c r="O69" s="284"/>
      <c r="P69" s="284"/>
      <c r="Q69" s="284"/>
      <c r="R69" s="284"/>
      <c r="S69" s="284"/>
      <c r="T69" s="284"/>
      <c r="U69" s="284"/>
      <c r="V69" s="284"/>
      <c r="W69" s="284"/>
      <c r="X69" s="284"/>
      <c r="Y69" s="284"/>
      <c r="Z69" s="284">
        <f t="shared" si="40"/>
        <v>24.4</v>
      </c>
      <c r="AA69" s="284">
        <f t="shared" si="40"/>
        <v>26</v>
      </c>
      <c r="AB69" s="284">
        <f t="shared" si="40"/>
        <v>13.233890709999997</v>
      </c>
      <c r="AC69" s="284">
        <f t="shared" si="40"/>
        <v>18.827865540000005</v>
      </c>
      <c r="AD69" s="284">
        <f t="shared" si="40"/>
        <v>15.375709260000008</v>
      </c>
      <c r="AE69" s="284">
        <f t="shared" si="40"/>
        <v>0</v>
      </c>
      <c r="AF69" s="284">
        <f t="shared" si="40"/>
        <v>27</v>
      </c>
      <c r="AG69" s="284">
        <f t="shared" si="40"/>
        <v>27</v>
      </c>
      <c r="AH69" s="284">
        <f t="shared" si="40"/>
        <v>27</v>
      </c>
      <c r="AI69" s="284">
        <f t="shared" si="40"/>
        <v>27</v>
      </c>
      <c r="AJ69" s="284">
        <f t="shared" si="40"/>
        <v>27</v>
      </c>
      <c r="AK69" s="284">
        <f t="shared" si="40"/>
        <v>27</v>
      </c>
      <c r="AL69" s="284">
        <f t="shared" si="40"/>
        <v>24.83829059</v>
      </c>
      <c r="AM69" s="167"/>
      <c r="AN69" s="145"/>
      <c r="AO69" s="145"/>
      <c r="AP69" s="145"/>
      <c r="AQ69" s="145"/>
    </row>
    <row r="70" spans="1:43" ht="13.2" customHeight="1">
      <c r="A70" s="280"/>
      <c r="B70" s="286" t="s">
        <v>35</v>
      </c>
      <c r="C70" s="286" t="s">
        <v>113</v>
      </c>
      <c r="D70" s="286" t="s">
        <v>115</v>
      </c>
      <c r="E70" s="278"/>
      <c r="F70" s="278"/>
      <c r="G70" s="278"/>
      <c r="H70" s="278"/>
      <c r="I70" s="278"/>
      <c r="J70" s="278"/>
      <c r="K70" s="284"/>
      <c r="L70" s="284"/>
      <c r="M70" s="284"/>
      <c r="N70" s="284"/>
      <c r="O70" s="284"/>
      <c r="P70" s="284"/>
      <c r="Q70" s="284"/>
      <c r="R70" s="284"/>
      <c r="S70" s="284"/>
      <c r="T70" s="284"/>
      <c r="U70" s="284"/>
      <c r="V70" s="284"/>
      <c r="W70" s="284"/>
      <c r="X70" s="284"/>
      <c r="Y70" s="284"/>
      <c r="Z70" s="284">
        <f>IF(Z67&lt;0,0,Z67)</f>
        <v>15</v>
      </c>
      <c r="AA70" s="284">
        <f t="shared" si="40"/>
        <v>17</v>
      </c>
      <c r="AB70" s="284">
        <f t="shared" si="40"/>
        <v>16</v>
      </c>
      <c r="AC70" s="284">
        <f>IF(AC67&lt;0,0,AC67)</f>
        <v>17</v>
      </c>
      <c r="AD70" s="284">
        <f t="shared" si="40"/>
        <v>17</v>
      </c>
      <c r="AE70" s="284">
        <f>IF(AE67&lt;0,0,AE67)</f>
        <v>0.7415700900000104</v>
      </c>
      <c r="AF70" s="284">
        <f t="shared" si="40"/>
        <v>17</v>
      </c>
      <c r="AG70" s="284">
        <f t="shared" si="40"/>
        <v>17</v>
      </c>
      <c r="AH70" s="284">
        <f t="shared" si="40"/>
        <v>17</v>
      </c>
      <c r="AI70" s="284">
        <f t="shared" si="40"/>
        <v>17</v>
      </c>
      <c r="AJ70" s="284">
        <f t="shared" si="40"/>
        <v>17</v>
      </c>
      <c r="AK70" s="284">
        <f t="shared" si="40"/>
        <v>17</v>
      </c>
      <c r="AL70" s="284">
        <f t="shared" si="40"/>
        <v>17</v>
      </c>
      <c r="AM70" s="167"/>
      <c r="AN70" s="145"/>
      <c r="AO70" s="145"/>
      <c r="AP70" s="145"/>
      <c r="AQ70" s="145"/>
    </row>
    <row r="71" spans="1:43">
      <c r="A71" s="287"/>
      <c r="B71" s="288" t="s">
        <v>116</v>
      </c>
      <c r="C71" s="287"/>
      <c r="D71" s="288" t="s">
        <v>117</v>
      </c>
      <c r="E71" s="278"/>
      <c r="F71" s="278"/>
      <c r="G71" s="278"/>
      <c r="H71" s="278"/>
      <c r="I71" s="278"/>
      <c r="J71" s="278"/>
      <c r="K71" s="289">
        <f>SUM(K88:K131)-K8-K44</f>
        <v>186.98999999999998</v>
      </c>
      <c r="L71" s="289">
        <f>SUM(L88:L131)-L8-L44</f>
        <v>176.72567744999995</v>
      </c>
      <c r="M71" s="289">
        <f>SUM(M88:M132)-M8-M44</f>
        <v>184.30329082000003</v>
      </c>
      <c r="N71" s="289">
        <f>SUM(N88:N132)-N8-N44</f>
        <v>172.28545953</v>
      </c>
      <c r="O71" s="289">
        <f>SUM(O88:O132)-O8-O44</f>
        <v>172.38000000000002</v>
      </c>
      <c r="P71" s="289">
        <f>SUM(P88:P132)-P8-P44</f>
        <v>142.44</v>
      </c>
      <c r="Q71" s="289">
        <f>SUM(Q88:Q132)-Q8-Q44</f>
        <v>138.16</v>
      </c>
      <c r="R71" s="289">
        <f t="shared" ref="R71:AJ71" si="41">SUM(R88:R132)-R8-R44-R10</f>
        <v>154.13999999999999</v>
      </c>
      <c r="S71" s="289">
        <f t="shared" si="41"/>
        <v>152.03</v>
      </c>
      <c r="T71" s="289">
        <f t="shared" si="41"/>
        <v>164.28000000000006</v>
      </c>
      <c r="U71" s="289">
        <f t="shared" si="41"/>
        <v>174.54000000000002</v>
      </c>
      <c r="V71" s="289">
        <f t="shared" si="41"/>
        <v>191.40999999999997</v>
      </c>
      <c r="W71" s="289">
        <f t="shared" si="41"/>
        <v>148.50240770999997</v>
      </c>
      <c r="X71" s="289">
        <f t="shared" si="41"/>
        <v>163.09299999999999</v>
      </c>
      <c r="Y71" s="289">
        <f t="shared" si="41"/>
        <v>157.68</v>
      </c>
      <c r="Z71" s="289">
        <f t="shared" si="41"/>
        <v>128.64555590000001</v>
      </c>
      <c r="AA71" s="289">
        <f t="shared" si="41"/>
        <v>171.3344281</v>
      </c>
      <c r="AB71" s="289">
        <f t="shared" si="41"/>
        <v>119.59420606999998</v>
      </c>
      <c r="AC71" s="289">
        <f t="shared" si="41"/>
        <v>128.46170779999997</v>
      </c>
      <c r="AD71" s="289">
        <f t="shared" si="41"/>
        <v>123.16335404999998</v>
      </c>
      <c r="AE71" s="289">
        <f t="shared" si="41"/>
        <v>95.132597409999988</v>
      </c>
      <c r="AF71" s="289">
        <f t="shared" si="41"/>
        <v>179.43864503999998</v>
      </c>
      <c r="AG71" s="289">
        <f t="shared" si="41"/>
        <v>150.10345454</v>
      </c>
      <c r="AH71" s="289">
        <f t="shared" si="41"/>
        <v>153.24817172999997</v>
      </c>
      <c r="AI71" s="289">
        <f t="shared" si="41"/>
        <v>190.55678416999999</v>
      </c>
      <c r="AJ71" s="289">
        <f t="shared" si="41"/>
        <v>163.31178730999997</v>
      </c>
      <c r="AK71" s="289">
        <f>SUM(AK88:AK132)-AK8-AK44-AK10</f>
        <v>166.19011479</v>
      </c>
      <c r="AL71" s="289">
        <f>SUM(AL88:AL132)-AL8-AL44-AL10</f>
        <v>138.19011479</v>
      </c>
      <c r="AM71" s="167" t="s">
        <v>118</v>
      </c>
      <c r="AN71" s="145">
        <v>5</v>
      </c>
      <c r="AO71" s="145">
        <v>60</v>
      </c>
      <c r="AP71" s="145"/>
      <c r="AQ71" s="145"/>
    </row>
    <row r="72" spans="1:43">
      <c r="A72" s="287"/>
      <c r="B72" s="288" t="s">
        <v>119</v>
      </c>
      <c r="C72" s="287"/>
      <c r="D72" s="288" t="s">
        <v>120</v>
      </c>
      <c r="E72" s="278"/>
      <c r="F72" s="278"/>
      <c r="G72" s="278"/>
      <c r="H72" s="278"/>
      <c r="I72" s="278"/>
      <c r="J72" s="278"/>
      <c r="K72" s="289">
        <f t="shared" ref="K72:T72" si="42">K88+K89+K92+K93+K94+K96+K98+K101+K104+K106+K108+K109+K116+K119+K121+K124+K126+K128+K130-K8-K10</f>
        <v>171.64</v>
      </c>
      <c r="L72" s="289">
        <f t="shared" si="42"/>
        <v>177.10567744999997</v>
      </c>
      <c r="M72" s="289">
        <f t="shared" si="42"/>
        <v>181.64329082</v>
      </c>
      <c r="N72" s="289">
        <f t="shared" si="42"/>
        <v>172.19545952999999</v>
      </c>
      <c r="O72" s="289">
        <f t="shared" si="42"/>
        <v>161.47</v>
      </c>
      <c r="P72" s="289">
        <f t="shared" si="42"/>
        <v>132.49</v>
      </c>
      <c r="Q72" s="289">
        <f t="shared" si="42"/>
        <v>131.46</v>
      </c>
      <c r="R72" s="289">
        <f t="shared" si="42"/>
        <v>136.26</v>
      </c>
      <c r="S72" s="289">
        <f t="shared" si="42"/>
        <v>132.22999999999999</v>
      </c>
      <c r="T72" s="289">
        <f t="shared" si="42"/>
        <v>133.78</v>
      </c>
      <c r="U72" s="289">
        <f>U88+U89+U92+U93+U94+U96+U98+U101+U104+U106+U108+U109+U116+U119+U121+U124+U126+U128+U130-U8-U10</f>
        <v>144.84</v>
      </c>
      <c r="V72" s="289">
        <f t="shared" ref="V72:AJ72" si="43">V88+V89+V92+V93+V94+V96+V98+V101+V104+V106+V108+V109+V116+V119+V121+V124+V126+V128+V130-V8-V10</f>
        <v>159.91</v>
      </c>
      <c r="W72" s="289">
        <f t="shared" si="43"/>
        <v>128.70240770999999</v>
      </c>
      <c r="X72" s="289">
        <f t="shared" si="43"/>
        <v>142.04300000000001</v>
      </c>
      <c r="Y72" s="289">
        <f t="shared" si="43"/>
        <v>150.13</v>
      </c>
      <c r="Z72" s="289">
        <f t="shared" si="43"/>
        <v>110.12555589999999</v>
      </c>
      <c r="AA72" s="289">
        <f t="shared" si="43"/>
        <v>140.50442809999998</v>
      </c>
      <c r="AB72" s="289">
        <f t="shared" si="43"/>
        <v>86.76420607</v>
      </c>
      <c r="AC72" s="289">
        <f t="shared" si="43"/>
        <v>94.2417078</v>
      </c>
      <c r="AD72" s="289">
        <f t="shared" si="43"/>
        <v>89.333354049999997</v>
      </c>
      <c r="AE72" s="289">
        <f t="shared" si="43"/>
        <v>60.602597410000016</v>
      </c>
      <c r="AF72" s="289">
        <f t="shared" si="43"/>
        <v>144.90864504000001</v>
      </c>
      <c r="AG72" s="289">
        <f t="shared" si="43"/>
        <v>114.87345454000001</v>
      </c>
      <c r="AH72" s="289">
        <f t="shared" si="43"/>
        <v>115.91817172999998</v>
      </c>
      <c r="AI72" s="289">
        <f t="shared" si="43"/>
        <v>153.12678417000001</v>
      </c>
      <c r="AJ72" s="289">
        <f t="shared" si="43"/>
        <v>125.88178730999999</v>
      </c>
      <c r="AK72" s="289">
        <f>AK88+AK89+AK92+AK93+AK94+AK96+AK98+AK101+AK104+AK106+AK108+AK109+AK116+AK119+AK121+AK124+AK126+AK128+AK130-AK8-AK10</f>
        <v>129.96011479000001</v>
      </c>
      <c r="AL72" s="289">
        <f>AL88+AL89+AL92+AL93+AL94+AL96+AL98+AL101+AL104+AL106+AL108+AL109+AL116+AL119+AL121+AL124+AL126+AL128+AL130-AL8-AL10</f>
        <v>101.96011479000001</v>
      </c>
      <c r="AM72" s="167" t="s">
        <v>121</v>
      </c>
      <c r="AN72" s="145"/>
      <c r="AO72" s="145">
        <f>150-60</f>
        <v>90</v>
      </c>
      <c r="AP72" s="145"/>
      <c r="AQ72" s="145"/>
    </row>
    <row r="73" spans="1:43">
      <c r="A73" s="290"/>
      <c r="B73" s="291" t="s">
        <v>122</v>
      </c>
      <c r="C73" s="290"/>
      <c r="D73" s="292" t="s">
        <v>123</v>
      </c>
      <c r="E73" s="278"/>
      <c r="F73" s="278"/>
      <c r="G73" s="278"/>
      <c r="H73" s="278"/>
      <c r="I73" s="278"/>
      <c r="J73" s="278"/>
      <c r="K73" s="278"/>
      <c r="L73" s="278"/>
      <c r="M73" s="293">
        <f t="shared" ref="M73:AJ73" si="44">M88+M89+M90+M139+M117+M116</f>
        <v>160.64329082</v>
      </c>
      <c r="N73" s="293">
        <f t="shared" si="44"/>
        <v>152.08545953000001</v>
      </c>
      <c r="O73" s="293">
        <f t="shared" si="44"/>
        <v>147.27000000000001</v>
      </c>
      <c r="P73" s="293">
        <f t="shared" si="44"/>
        <v>120.19</v>
      </c>
      <c r="Q73" s="293">
        <f t="shared" si="44"/>
        <v>121.35999999999999</v>
      </c>
      <c r="R73" s="293">
        <f t="shared" si="44"/>
        <v>125.03999999999999</v>
      </c>
      <c r="S73" s="293">
        <f t="shared" si="44"/>
        <v>142.72999999999999</v>
      </c>
      <c r="T73" s="293">
        <f t="shared" si="44"/>
        <v>149.02000000000001</v>
      </c>
      <c r="U73" s="293">
        <f t="shared" si="44"/>
        <v>147.04</v>
      </c>
      <c r="V73" s="293">
        <f t="shared" si="44"/>
        <v>149.34</v>
      </c>
      <c r="W73" s="293">
        <f t="shared" si="44"/>
        <v>148.90240770999998</v>
      </c>
      <c r="X73" s="293">
        <f t="shared" si="44"/>
        <v>148.19</v>
      </c>
      <c r="Y73" s="293">
        <f t="shared" si="44"/>
        <v>142.56</v>
      </c>
      <c r="Z73" s="293">
        <f t="shared" si="44"/>
        <v>137.14555590000001</v>
      </c>
      <c r="AA73" s="293">
        <f t="shared" si="44"/>
        <v>144.06442809999999</v>
      </c>
      <c r="AB73" s="293">
        <f t="shared" si="44"/>
        <v>141.76420607</v>
      </c>
      <c r="AC73" s="293">
        <f t="shared" si="44"/>
        <v>146.7417078</v>
      </c>
      <c r="AD73" s="293">
        <f t="shared" si="44"/>
        <v>143.33335405</v>
      </c>
      <c r="AE73" s="293">
        <f t="shared" si="44"/>
        <v>150.01259741000001</v>
      </c>
      <c r="AF73" s="293">
        <f t="shared" si="44"/>
        <v>151.09864504000001</v>
      </c>
      <c r="AG73" s="293">
        <f t="shared" si="44"/>
        <v>147.87345454000001</v>
      </c>
      <c r="AH73" s="293">
        <f t="shared" si="44"/>
        <v>149.41817172999998</v>
      </c>
      <c r="AI73" s="293">
        <f t="shared" si="44"/>
        <v>149.12678417000001</v>
      </c>
      <c r="AJ73" s="293">
        <f t="shared" si="44"/>
        <v>150.96178731000001</v>
      </c>
      <c r="AK73" s="293">
        <f>AK88+AK89+AK90+AK139+AK117+AK116</f>
        <v>148.83011479000001</v>
      </c>
      <c r="AL73" s="293">
        <f>AL88+AL89+AL90+AL139+AL117+AL116</f>
        <v>147.96011479000001</v>
      </c>
      <c r="AM73" s="167"/>
      <c r="AN73" s="145"/>
      <c r="AO73" s="145"/>
      <c r="AP73" s="145"/>
      <c r="AQ73" s="145"/>
    </row>
    <row r="74" spans="1:43" s="6" customFormat="1">
      <c r="A74" s="294"/>
      <c r="B74" s="295" t="s">
        <v>124</v>
      </c>
      <c r="C74" s="295" t="s">
        <v>11</v>
      </c>
      <c r="D74" s="296" t="s">
        <v>11</v>
      </c>
      <c r="E74" s="297"/>
      <c r="F74" s="297"/>
      <c r="G74" s="297"/>
      <c r="H74" s="297"/>
      <c r="I74" s="297"/>
      <c r="J74" s="297"/>
      <c r="K74" s="297"/>
      <c r="L74" s="297"/>
      <c r="M74" s="297"/>
      <c r="N74" s="297"/>
      <c r="O74" s="297"/>
      <c r="P74" s="297"/>
      <c r="Q74" s="297"/>
      <c r="R74" s="297"/>
      <c r="S74" s="297"/>
      <c r="T74" s="297"/>
      <c r="U74" s="297"/>
      <c r="V74" s="297"/>
      <c r="W74" s="297"/>
      <c r="X74" s="278"/>
      <c r="Y74" s="278"/>
      <c r="Z74" s="278"/>
      <c r="AA74" s="278"/>
      <c r="AB74" s="298">
        <v>11</v>
      </c>
      <c r="AC74" s="278"/>
      <c r="AD74" s="299"/>
      <c r="AE74" s="298">
        <f>12.326+5.573</f>
        <v>17.899000000000001</v>
      </c>
      <c r="AF74" s="278"/>
      <c r="AG74" s="278"/>
      <c r="AH74" s="298">
        <v>11.026</v>
      </c>
      <c r="AI74" s="278"/>
      <c r="AJ74" s="278"/>
      <c r="AK74" s="278"/>
      <c r="AL74" s="278"/>
      <c r="AM74" s="300"/>
    </row>
    <row r="75" spans="1:43">
      <c r="A75" s="294"/>
      <c r="B75" s="138" t="s">
        <v>35</v>
      </c>
      <c r="C75" s="138" t="s">
        <v>125</v>
      </c>
      <c r="D75" s="301" t="s">
        <v>35</v>
      </c>
      <c r="E75" s="278"/>
      <c r="F75" s="278"/>
      <c r="G75" s="278"/>
      <c r="H75" s="278"/>
      <c r="I75" s="278"/>
      <c r="J75" s="278"/>
      <c r="K75" s="278"/>
      <c r="L75" s="278"/>
      <c r="M75" s="278"/>
      <c r="N75" s="278"/>
      <c r="O75" s="278"/>
      <c r="P75" s="278"/>
      <c r="Q75" s="278"/>
      <c r="R75" s="278"/>
      <c r="S75" s="278"/>
      <c r="T75" s="278"/>
      <c r="U75" s="278"/>
      <c r="V75" s="278"/>
      <c r="W75" s="278"/>
      <c r="X75" s="278"/>
      <c r="Y75" s="231">
        <f>Y80+Y81+Y74</f>
        <v>0</v>
      </c>
      <c r="Z75" s="231">
        <f>Z80+Z81+Z74</f>
        <v>9</v>
      </c>
      <c r="AA75" s="231">
        <f>AA80+AA81+AA74</f>
        <v>10.8</v>
      </c>
      <c r="AB75" s="231">
        <f>AB80+AB81+AB74</f>
        <v>19.795999999999999</v>
      </c>
      <c r="AC75" s="231">
        <f t="shared" ref="AC75:AJ75" si="45">AC80+AC81+AC74</f>
        <v>10.007999999999999</v>
      </c>
      <c r="AD75" s="231">
        <f t="shared" si="45"/>
        <v>17.539000000000001</v>
      </c>
      <c r="AE75" s="231">
        <f t="shared" si="45"/>
        <v>17.899000000000001</v>
      </c>
      <c r="AF75" s="231">
        <f t="shared" si="45"/>
        <v>12.539000000000001</v>
      </c>
      <c r="AG75" s="231">
        <f t="shared" si="45"/>
        <v>12.399000000000001</v>
      </c>
      <c r="AH75" s="231">
        <f t="shared" si="45"/>
        <v>16.599</v>
      </c>
      <c r="AI75" s="231">
        <f t="shared" si="45"/>
        <v>12.679</v>
      </c>
      <c r="AJ75" s="231">
        <f t="shared" si="45"/>
        <v>13.459</v>
      </c>
      <c r="AK75" s="231">
        <f>AK80+AK81+AK74</f>
        <v>10.8</v>
      </c>
      <c r="AL75" s="231">
        <f>AL80+AL81+AL74</f>
        <v>10.8</v>
      </c>
      <c r="AM75" s="167"/>
      <c r="AN75" s="145"/>
      <c r="AO75" s="145"/>
      <c r="AP75" s="145"/>
      <c r="AQ75" s="145"/>
    </row>
    <row r="76" spans="1:43" s="167" customFormat="1" ht="24" thickBot="1">
      <c r="A76" s="302" t="s">
        <v>40</v>
      </c>
      <c r="B76" s="138" t="s">
        <v>35</v>
      </c>
      <c r="C76" s="301" t="s">
        <v>126</v>
      </c>
      <c r="D76" s="301" t="s">
        <v>35</v>
      </c>
      <c r="E76" s="303">
        <v>97.96</v>
      </c>
      <c r="F76" s="303">
        <f>79+2</f>
        <v>81</v>
      </c>
      <c r="G76" s="303">
        <v>71</v>
      </c>
      <c r="H76" s="303">
        <f>67.5-0.5</f>
        <v>67</v>
      </c>
      <c r="I76" s="304">
        <f>61.5+0.5</f>
        <v>62</v>
      </c>
      <c r="J76" s="303">
        <v>63</v>
      </c>
      <c r="K76" s="303">
        <f>57+4+2+2</f>
        <v>65</v>
      </c>
      <c r="L76" s="305">
        <f>(59.5+5.5+1.5+2)-3</f>
        <v>65.5</v>
      </c>
      <c r="M76" s="303">
        <v>47</v>
      </c>
      <c r="N76" s="303">
        <v>22</v>
      </c>
      <c r="O76" s="305">
        <v>39</v>
      </c>
      <c r="P76" s="305">
        <f t="shared" ref="P76:AL76" si="46">P78+P79</f>
        <v>44.5</v>
      </c>
      <c r="Q76" s="305">
        <f t="shared" si="46"/>
        <v>43.5</v>
      </c>
      <c r="R76" s="304">
        <f t="shared" si="46"/>
        <v>55.5</v>
      </c>
      <c r="S76" s="304">
        <f t="shared" si="46"/>
        <v>47.93</v>
      </c>
      <c r="T76" s="304">
        <f t="shared" si="46"/>
        <v>56.379999999999995</v>
      </c>
      <c r="U76" s="304">
        <f t="shared" si="46"/>
        <v>42.91</v>
      </c>
      <c r="V76" s="304">
        <f t="shared" si="46"/>
        <v>43</v>
      </c>
      <c r="W76" s="304">
        <f t="shared" si="46"/>
        <v>48.4</v>
      </c>
      <c r="X76" s="304">
        <f t="shared" si="46"/>
        <v>58.5</v>
      </c>
      <c r="Y76" s="304">
        <f t="shared" si="46"/>
        <v>56.42</v>
      </c>
      <c r="Z76" s="304">
        <f t="shared" si="46"/>
        <v>40.159999999999997</v>
      </c>
      <c r="AA76" s="304">
        <f t="shared" si="46"/>
        <v>53.82</v>
      </c>
      <c r="AB76" s="304">
        <f t="shared" si="46"/>
        <v>81.687000000000012</v>
      </c>
      <c r="AC76" s="304">
        <f t="shared" si="46"/>
        <v>85.597999999999999</v>
      </c>
      <c r="AD76" s="304">
        <f t="shared" si="46"/>
        <v>78.164000000000001</v>
      </c>
      <c r="AE76" s="304">
        <f t="shared" si="46"/>
        <v>96.88300000000001</v>
      </c>
      <c r="AF76" s="304">
        <f t="shared" si="46"/>
        <v>56.42</v>
      </c>
      <c r="AG76" s="304">
        <f t="shared" si="46"/>
        <v>54.6</v>
      </c>
      <c r="AH76" s="304">
        <f t="shared" si="46"/>
        <v>56.42</v>
      </c>
      <c r="AI76" s="304">
        <f t="shared" si="46"/>
        <v>54.6</v>
      </c>
      <c r="AJ76" s="304">
        <f t="shared" si="46"/>
        <v>56.42</v>
      </c>
      <c r="AK76" s="304">
        <f t="shared" si="46"/>
        <v>56.42</v>
      </c>
      <c r="AL76" s="304">
        <f t="shared" si="46"/>
        <v>56.42</v>
      </c>
    </row>
    <row r="77" spans="1:43" s="160" customFormat="1" ht="15" thickBot="1">
      <c r="A77" s="306" t="s">
        <v>127</v>
      </c>
      <c r="B77" s="307" t="s">
        <v>128</v>
      </c>
      <c r="C77" s="153" t="s">
        <v>40</v>
      </c>
      <c r="D77" s="154" t="s">
        <v>129</v>
      </c>
      <c r="E77" s="308">
        <f t="shared" ref="E77:AL77" si="47">E3</f>
        <v>43587</v>
      </c>
      <c r="F77" s="308">
        <f t="shared" si="47"/>
        <v>43618</v>
      </c>
      <c r="G77" s="308">
        <f t="shared" si="47"/>
        <v>43648</v>
      </c>
      <c r="H77" s="308">
        <f t="shared" si="47"/>
        <v>43679</v>
      </c>
      <c r="I77" s="308">
        <f t="shared" si="47"/>
        <v>43710</v>
      </c>
      <c r="J77" s="308">
        <f t="shared" si="47"/>
        <v>43740</v>
      </c>
      <c r="K77" s="308">
        <f t="shared" si="47"/>
        <v>43771</v>
      </c>
      <c r="L77" s="308">
        <f t="shared" si="47"/>
        <v>43801</v>
      </c>
      <c r="M77" s="308">
        <f t="shared" si="47"/>
        <v>43832</v>
      </c>
      <c r="N77" s="308">
        <f t="shared" si="47"/>
        <v>43863</v>
      </c>
      <c r="O77" s="308">
        <f t="shared" si="47"/>
        <v>43892</v>
      </c>
      <c r="P77" s="308">
        <f t="shared" si="47"/>
        <v>43923</v>
      </c>
      <c r="Q77" s="308">
        <f t="shared" si="47"/>
        <v>43953</v>
      </c>
      <c r="R77" s="210">
        <f t="shared" si="47"/>
        <v>43984</v>
      </c>
      <c r="S77" s="155">
        <f t="shared" si="47"/>
        <v>44014</v>
      </c>
      <c r="T77" s="155">
        <f t="shared" si="47"/>
        <v>44045</v>
      </c>
      <c r="U77" s="155">
        <f t="shared" si="47"/>
        <v>44076</v>
      </c>
      <c r="V77" s="155">
        <f t="shared" si="47"/>
        <v>44106</v>
      </c>
      <c r="W77" s="155">
        <f t="shared" si="47"/>
        <v>44137</v>
      </c>
      <c r="X77" s="155">
        <f t="shared" si="47"/>
        <v>44167</v>
      </c>
      <c r="Y77" s="266">
        <f t="shared" si="47"/>
        <v>44198</v>
      </c>
      <c r="Z77" s="267">
        <f t="shared" si="47"/>
        <v>44229</v>
      </c>
      <c r="AA77" s="267">
        <f t="shared" si="47"/>
        <v>44257</v>
      </c>
      <c r="AB77" s="267">
        <f t="shared" si="47"/>
        <v>44288</v>
      </c>
      <c r="AC77" s="267">
        <f t="shared" si="47"/>
        <v>44318</v>
      </c>
      <c r="AD77" s="267">
        <f t="shared" si="47"/>
        <v>44349</v>
      </c>
      <c r="AE77" s="267">
        <f t="shared" si="47"/>
        <v>44379</v>
      </c>
      <c r="AF77" s="267">
        <f t="shared" si="47"/>
        <v>44410</v>
      </c>
      <c r="AG77" s="267">
        <f t="shared" si="47"/>
        <v>44441</v>
      </c>
      <c r="AH77" s="267">
        <f t="shared" si="47"/>
        <v>44471</v>
      </c>
      <c r="AI77" s="267">
        <f t="shared" si="47"/>
        <v>44502</v>
      </c>
      <c r="AJ77" s="267">
        <f t="shared" si="47"/>
        <v>44532</v>
      </c>
      <c r="AK77" s="210">
        <f t="shared" si="47"/>
        <v>44563</v>
      </c>
      <c r="AL77" s="155">
        <f t="shared" si="47"/>
        <v>44594</v>
      </c>
      <c r="AM77" s="204"/>
      <c r="AN77" s="183" t="s">
        <v>80</v>
      </c>
      <c r="AO77" s="159"/>
      <c r="AP77" s="159"/>
      <c r="AQ77" s="159"/>
    </row>
    <row r="78" spans="1:43" ht="14.7" customHeight="1">
      <c r="A78" s="309" t="s">
        <v>130</v>
      </c>
      <c r="B78" s="310" t="s">
        <v>35</v>
      </c>
      <c r="C78" s="311" t="s">
        <v>131</v>
      </c>
      <c r="D78" s="312" t="s">
        <v>35</v>
      </c>
      <c r="E78" s="278"/>
      <c r="F78" s="278"/>
      <c r="G78" s="278"/>
      <c r="H78" s="278"/>
      <c r="I78" s="278"/>
      <c r="J78" s="278"/>
      <c r="K78" s="278"/>
      <c r="L78" s="278"/>
      <c r="M78" s="278"/>
      <c r="N78" s="278"/>
      <c r="O78" s="278"/>
      <c r="P78" s="313">
        <v>29</v>
      </c>
      <c r="Q78" s="313">
        <v>26</v>
      </c>
      <c r="R78" s="313">
        <v>26</v>
      </c>
      <c r="S78" s="314">
        <v>20.72</v>
      </c>
      <c r="T78" s="314">
        <v>20.38</v>
      </c>
      <c r="U78" s="314">
        <v>22.41</v>
      </c>
      <c r="V78" s="314">
        <v>27</v>
      </c>
      <c r="W78" s="315">
        <f>23+1.4</f>
        <v>24.4</v>
      </c>
      <c r="X78" s="315">
        <v>29</v>
      </c>
      <c r="Y78" s="316">
        <f>720*Y1/1000</f>
        <v>22.32</v>
      </c>
      <c r="Z78" s="317">
        <f t="shared" ref="Z78:AJ78" si="48">720*Z1/1000</f>
        <v>20.16</v>
      </c>
      <c r="AA78" s="317">
        <f t="shared" si="48"/>
        <v>22.32</v>
      </c>
      <c r="AB78" s="317">
        <f t="shared" si="48"/>
        <v>21.6</v>
      </c>
      <c r="AC78" s="317">
        <f t="shared" si="48"/>
        <v>22.32</v>
      </c>
      <c r="AD78" s="317">
        <f t="shared" si="48"/>
        <v>21.6</v>
      </c>
      <c r="AE78" s="317">
        <f t="shared" si="48"/>
        <v>22.32</v>
      </c>
      <c r="AF78" s="318">
        <f t="shared" si="48"/>
        <v>22.32</v>
      </c>
      <c r="AG78" s="318">
        <f t="shared" si="48"/>
        <v>21.6</v>
      </c>
      <c r="AH78" s="318">
        <f t="shared" si="48"/>
        <v>22.32</v>
      </c>
      <c r="AI78" s="318">
        <f t="shared" si="48"/>
        <v>21.6</v>
      </c>
      <c r="AJ78" s="318">
        <f t="shared" si="48"/>
        <v>22.32</v>
      </c>
      <c r="AK78" s="319">
        <f>720*AK1/1000</f>
        <v>22.32</v>
      </c>
      <c r="AL78" s="318">
        <f>720*AL1/1000</f>
        <v>22.32</v>
      </c>
      <c r="AM78" s="167"/>
      <c r="AN78" s="191">
        <f>SUM(Y78:AJ78)</f>
        <v>262.79999999999995</v>
      </c>
      <c r="AO78" s="145"/>
      <c r="AP78" s="145"/>
      <c r="AQ78" s="145"/>
    </row>
    <row r="79" spans="1:43" s="145" customFormat="1">
      <c r="A79" s="294"/>
      <c r="B79" s="310" t="s">
        <v>35</v>
      </c>
      <c r="C79" s="138" t="s">
        <v>132</v>
      </c>
      <c r="D79" s="312" t="s">
        <v>35</v>
      </c>
      <c r="E79" s="320"/>
      <c r="F79" s="320"/>
      <c r="G79" s="320"/>
      <c r="H79" s="320"/>
      <c r="I79" s="320"/>
      <c r="J79" s="320"/>
      <c r="K79" s="320"/>
      <c r="L79" s="320"/>
      <c r="M79" s="320"/>
      <c r="N79" s="320"/>
      <c r="O79" s="320"/>
      <c r="P79" s="279">
        <v>15.5</v>
      </c>
      <c r="Q79" s="321">
        <v>17.5</v>
      </c>
      <c r="R79" s="322">
        <v>29.5</v>
      </c>
      <c r="S79" s="299">
        <f>31.21-4</f>
        <v>27.21</v>
      </c>
      <c r="T79" s="279">
        <f>31.25+7.5-2.75</f>
        <v>36</v>
      </c>
      <c r="U79" s="299">
        <v>20.5</v>
      </c>
      <c r="V79" s="279">
        <v>16</v>
      </c>
      <c r="W79" s="299">
        <v>24</v>
      </c>
      <c r="X79" s="323">
        <v>29.5</v>
      </c>
      <c r="Y79" s="324">
        <f>34.1</f>
        <v>34.1</v>
      </c>
      <c r="Z79" s="304">
        <f>25-5</f>
        <v>20</v>
      </c>
      <c r="AA79" s="304">
        <f>31.5</f>
        <v>31.5</v>
      </c>
      <c r="AB79" s="304">
        <v>60.087000000000003</v>
      </c>
      <c r="AC79" s="304">
        <v>63.277999999999999</v>
      </c>
      <c r="AD79" s="304">
        <v>56.564</v>
      </c>
      <c r="AE79" s="304">
        <v>74.563000000000002</v>
      </c>
      <c r="AF79" s="325">
        <v>34.1</v>
      </c>
      <c r="AG79" s="325">
        <v>33</v>
      </c>
      <c r="AH79" s="325">
        <v>34.1</v>
      </c>
      <c r="AI79" s="325">
        <v>33</v>
      </c>
      <c r="AJ79" s="325">
        <v>34.1</v>
      </c>
      <c r="AK79" s="326">
        <v>34.1</v>
      </c>
      <c r="AL79" s="325">
        <v>34.1</v>
      </c>
      <c r="AM79" s="167"/>
      <c r="AN79" s="191">
        <f t="shared" ref="AN79:AN84" si="49">SUM(Y79:AJ79)</f>
        <v>508.39200000000005</v>
      </c>
    </row>
    <row r="80" spans="1:43">
      <c r="A80" s="327"/>
      <c r="B80" s="310" t="s">
        <v>35</v>
      </c>
      <c r="C80" s="301" t="s">
        <v>30</v>
      </c>
      <c r="D80" s="312" t="s">
        <v>35</v>
      </c>
      <c r="E80" s="303"/>
      <c r="F80" s="303"/>
      <c r="G80" s="303"/>
      <c r="H80" s="303"/>
      <c r="I80" s="304"/>
      <c r="J80" s="303"/>
      <c r="K80" s="303"/>
      <c r="L80" s="328"/>
      <c r="M80" s="303"/>
      <c r="N80" s="303"/>
      <c r="O80" s="305"/>
      <c r="P80" s="305"/>
      <c r="Q80" s="305"/>
      <c r="R80" s="305"/>
      <c r="S80" s="305"/>
      <c r="T80" s="305"/>
      <c r="U80" s="305"/>
      <c r="V80" s="305"/>
      <c r="W80" s="305"/>
      <c r="X80" s="305"/>
      <c r="Y80" s="329">
        <v>0</v>
      </c>
      <c r="Z80" s="330">
        <f>10.8-1.8</f>
        <v>9</v>
      </c>
      <c r="AA80" s="331">
        <v>10.8</v>
      </c>
      <c r="AB80" s="332">
        <f>19.796-11</f>
        <v>8.7959999999999994</v>
      </c>
      <c r="AC80" s="333">
        <v>4.4349999999999996</v>
      </c>
      <c r="AD80" s="333">
        <v>11.965999999999999</v>
      </c>
      <c r="AE80" s="332"/>
      <c r="AF80" s="333">
        <v>6.9660000000000002</v>
      </c>
      <c r="AG80" s="333">
        <v>6.8259999999999996</v>
      </c>
      <c r="AH80" s="332"/>
      <c r="AI80" s="333">
        <v>7.1059999999999999</v>
      </c>
      <c r="AJ80" s="333">
        <v>7.8860000000000001</v>
      </c>
      <c r="AK80" s="329">
        <v>10.8</v>
      </c>
      <c r="AL80" s="333">
        <v>10.8</v>
      </c>
      <c r="AM80" s="167"/>
      <c r="AN80" s="191">
        <v>140</v>
      </c>
      <c r="AO80" s="145"/>
      <c r="AP80" s="145"/>
      <c r="AQ80" s="145"/>
    </row>
    <row r="81" spans="1:43">
      <c r="A81" s="327"/>
      <c r="B81" s="310" t="s">
        <v>35</v>
      </c>
      <c r="C81" s="301" t="s">
        <v>133</v>
      </c>
      <c r="D81" s="312" t="s">
        <v>35</v>
      </c>
      <c r="E81" s="303"/>
      <c r="F81" s="303"/>
      <c r="G81" s="303"/>
      <c r="H81" s="303"/>
      <c r="I81" s="304"/>
      <c r="J81" s="303"/>
      <c r="K81" s="303"/>
      <c r="L81" s="328"/>
      <c r="M81" s="303"/>
      <c r="N81" s="303"/>
      <c r="O81" s="305"/>
      <c r="P81" s="305"/>
      <c r="Q81" s="305"/>
      <c r="R81" s="305"/>
      <c r="S81" s="305"/>
      <c r="T81" s="305"/>
      <c r="U81" s="305"/>
      <c r="V81" s="305"/>
      <c r="W81" s="305"/>
      <c r="X81" s="305"/>
      <c r="Y81" s="329"/>
      <c r="Z81" s="331"/>
      <c r="AA81" s="331">
        <v>0</v>
      </c>
      <c r="AB81" s="333">
        <v>0</v>
      </c>
      <c r="AC81" s="333">
        <v>5.5730000000000004</v>
      </c>
      <c r="AD81" s="333">
        <v>5.5730000000000004</v>
      </c>
      <c r="AE81" s="332"/>
      <c r="AF81" s="333">
        <v>5.5730000000000004</v>
      </c>
      <c r="AG81" s="333">
        <v>5.5730000000000004</v>
      </c>
      <c r="AH81" s="333">
        <v>5.5730000000000004</v>
      </c>
      <c r="AI81" s="333">
        <v>5.5730000000000004</v>
      </c>
      <c r="AJ81" s="333">
        <v>5.5730000000000004</v>
      </c>
      <c r="AK81" s="329"/>
      <c r="AL81" s="333"/>
      <c r="AM81" s="167"/>
      <c r="AN81" s="191"/>
      <c r="AO81" s="145"/>
      <c r="AP81" s="145"/>
      <c r="AQ81" s="145"/>
    </row>
    <row r="82" spans="1:43">
      <c r="A82" s="327"/>
      <c r="B82" s="310" t="s">
        <v>35</v>
      </c>
      <c r="C82" s="301" t="s">
        <v>134</v>
      </c>
      <c r="D82" s="312" t="s">
        <v>35</v>
      </c>
      <c r="E82" s="303">
        <v>22.7</v>
      </c>
      <c r="F82" s="303">
        <v>32</v>
      </c>
      <c r="G82" s="334">
        <f>15+1</f>
        <v>16</v>
      </c>
      <c r="H82" s="334">
        <f>13+1</f>
        <v>14</v>
      </c>
      <c r="I82" s="304">
        <f>6+2</f>
        <v>8</v>
      </c>
      <c r="J82" s="304">
        <v>6</v>
      </c>
      <c r="K82" s="304">
        <v>6</v>
      </c>
      <c r="L82" s="304">
        <v>13</v>
      </c>
      <c r="M82" s="304">
        <v>12</v>
      </c>
      <c r="N82" s="304">
        <v>12</v>
      </c>
      <c r="O82" s="304">
        <f>12+25</f>
        <v>37</v>
      </c>
      <c r="P82" s="304">
        <f>12+9+5+6</f>
        <v>32</v>
      </c>
      <c r="Q82" s="335">
        <v>0</v>
      </c>
      <c r="R82" s="305"/>
      <c r="S82" s="304"/>
      <c r="T82" s="304"/>
      <c r="U82" s="304"/>
      <c r="V82" s="336"/>
      <c r="W82" s="304"/>
      <c r="X82" s="337"/>
      <c r="Y82" s="338"/>
      <c r="Z82" s="304">
        <f>15+2.5</f>
        <v>17.5</v>
      </c>
      <c r="AA82" s="305"/>
      <c r="AB82" s="305"/>
      <c r="AC82" s="339"/>
      <c r="AD82" s="339"/>
      <c r="AE82" s="339">
        <v>0</v>
      </c>
      <c r="AF82" s="339">
        <v>0</v>
      </c>
      <c r="AG82" s="339">
        <v>0</v>
      </c>
      <c r="AH82" s="339">
        <v>0</v>
      </c>
      <c r="AI82" s="339">
        <v>0</v>
      </c>
      <c r="AJ82" s="339">
        <v>0</v>
      </c>
      <c r="AK82" s="338">
        <v>0</v>
      </c>
      <c r="AL82" s="339">
        <v>0</v>
      </c>
      <c r="AM82" s="167"/>
      <c r="AN82" s="191">
        <f t="shared" si="49"/>
        <v>17.5</v>
      </c>
      <c r="AO82" s="159"/>
      <c r="AP82" s="159"/>
      <c r="AQ82" s="145"/>
    </row>
    <row r="83" spans="1:43">
      <c r="A83" s="327"/>
      <c r="B83" s="310" t="s">
        <v>35</v>
      </c>
      <c r="C83" s="301" t="s">
        <v>135</v>
      </c>
      <c r="D83" s="312" t="s">
        <v>35</v>
      </c>
      <c r="E83" s="303">
        <v>25.201000000000001</v>
      </c>
      <c r="F83" s="303">
        <v>1.85</v>
      </c>
      <c r="G83" s="303">
        <v>24.5</v>
      </c>
      <c r="H83" s="304">
        <v>25</v>
      </c>
      <c r="I83" s="337">
        <v>26.736999999999998</v>
      </c>
      <c r="J83" s="337">
        <v>33.479999999999997</v>
      </c>
      <c r="K83" s="337">
        <v>31.632000000000001</v>
      </c>
      <c r="L83" s="328">
        <v>25</v>
      </c>
      <c r="M83" s="303">
        <v>32.86</v>
      </c>
      <c r="N83" s="330">
        <v>25.4</v>
      </c>
      <c r="O83" s="330">
        <v>16.645</v>
      </c>
      <c r="P83" s="305">
        <v>24</v>
      </c>
      <c r="Q83" s="340">
        <v>21.957999999999998</v>
      </c>
      <c r="R83" s="305">
        <v>23.643999999999998</v>
      </c>
      <c r="S83" s="341">
        <v>25.8</v>
      </c>
      <c r="T83" s="304">
        <v>31.132362637362636</v>
      </c>
      <c r="U83" s="341">
        <v>30.3</v>
      </c>
      <c r="V83" s="304">
        <f>1060*31/1000</f>
        <v>32.86</v>
      </c>
      <c r="W83" s="304">
        <f>1040*30/1000</f>
        <v>31.2</v>
      </c>
      <c r="X83" s="305">
        <v>25.673999999999999</v>
      </c>
      <c r="Y83" s="342">
        <f>1040*Y1/1000</f>
        <v>32.24</v>
      </c>
      <c r="Z83" s="330">
        <v>28.24</v>
      </c>
      <c r="AA83" s="331">
        <f>1040*AA1/1000</f>
        <v>32.24</v>
      </c>
      <c r="AB83" s="331">
        <f>1040*AB1/1000</f>
        <v>31.2</v>
      </c>
      <c r="AC83" s="333">
        <f>1060*31/1000</f>
        <v>32.86</v>
      </c>
      <c r="AD83" s="333">
        <f>1060*30/1000</f>
        <v>31.8</v>
      </c>
      <c r="AE83" s="330">
        <v>19.551900859337</v>
      </c>
      <c r="AF83" s="333">
        <f>1060*31/1000</f>
        <v>32.86</v>
      </c>
      <c r="AG83" s="333">
        <f>1060*31/1000</f>
        <v>32.86</v>
      </c>
      <c r="AH83" s="330">
        <v>21.7</v>
      </c>
      <c r="AI83" s="330">
        <v>0</v>
      </c>
      <c r="AJ83" s="333">
        <f>1060*31/1000</f>
        <v>32.86</v>
      </c>
      <c r="AK83" s="329">
        <f>1060*31/1000</f>
        <v>32.86</v>
      </c>
      <c r="AL83" s="333">
        <f>1060*31/1000</f>
        <v>32.86</v>
      </c>
      <c r="AM83" s="167"/>
      <c r="AN83" s="191">
        <f t="shared" si="49"/>
        <v>328.41190085933704</v>
      </c>
      <c r="AO83" s="159"/>
      <c r="AP83" s="159"/>
      <c r="AQ83" s="145"/>
    </row>
    <row r="84" spans="1:43" ht="15" thickBot="1">
      <c r="A84" s="327"/>
      <c r="B84" s="310" t="s">
        <v>35</v>
      </c>
      <c r="C84" s="301" t="s">
        <v>136</v>
      </c>
      <c r="D84" s="312" t="s">
        <v>35</v>
      </c>
      <c r="E84" s="303">
        <v>8.1080000000000005</v>
      </c>
      <c r="F84" s="305">
        <v>11.057</v>
      </c>
      <c r="G84" s="303">
        <f>30.837+1</f>
        <v>31.837</v>
      </c>
      <c r="H84" s="303">
        <v>31.837</v>
      </c>
      <c r="I84" s="303">
        <v>30.81</v>
      </c>
      <c r="J84" s="303">
        <v>31.837</v>
      </c>
      <c r="K84" s="303">
        <v>30.81</v>
      </c>
      <c r="L84" s="328">
        <v>23.632999999999999</v>
      </c>
      <c r="M84" s="328">
        <v>17.95</v>
      </c>
      <c r="N84" s="303">
        <f>26.179-0.873</f>
        <v>25.305999999999997</v>
      </c>
      <c r="O84" s="305">
        <f>28.022-0.417-0.922</f>
        <v>26.682999999999996</v>
      </c>
      <c r="P84" s="328">
        <v>20.55</v>
      </c>
      <c r="Q84" s="343">
        <v>8</v>
      </c>
      <c r="R84" s="303">
        <v>20</v>
      </c>
      <c r="S84" s="341">
        <v>22</v>
      </c>
      <c r="T84" s="23">
        <v>21.2</v>
      </c>
      <c r="U84" s="344">
        <v>21.2</v>
      </c>
      <c r="V84" s="344">
        <v>21.2</v>
      </c>
      <c r="W84" s="345">
        <v>21.2</v>
      </c>
      <c r="X84" s="29">
        <f>21.2+7.5</f>
        <v>28.7</v>
      </c>
      <c r="Y84" s="346">
        <f>21.672+1.635+2.9</f>
        <v>26.207000000000001</v>
      </c>
      <c r="Z84" s="304">
        <f>21.276</f>
        <v>21.276</v>
      </c>
      <c r="AA84" s="339">
        <v>23.556000000000001</v>
      </c>
      <c r="AB84" s="339">
        <v>22.795999999999999</v>
      </c>
      <c r="AC84" s="339">
        <v>23.556000000000001</v>
      </c>
      <c r="AD84" s="339">
        <v>22.036000000000001</v>
      </c>
      <c r="AE84" s="305">
        <v>8.0449999999999999</v>
      </c>
      <c r="AF84" s="305">
        <v>13.064</v>
      </c>
      <c r="AG84" s="339">
        <v>21.884</v>
      </c>
      <c r="AH84" s="339">
        <v>20.257999999999999</v>
      </c>
      <c r="AI84" s="339">
        <v>22.658999999999999</v>
      </c>
      <c r="AJ84" s="339">
        <v>23.556000000000001</v>
      </c>
      <c r="AK84" s="338">
        <v>23.556000000000001</v>
      </c>
      <c r="AL84" s="339">
        <v>23.556000000000001</v>
      </c>
      <c r="AM84" s="167"/>
      <c r="AN84" s="191">
        <f t="shared" si="49"/>
        <v>248.89300000000003</v>
      </c>
      <c r="AO84" s="159"/>
      <c r="AP84" s="159"/>
      <c r="AQ84" s="145"/>
    </row>
    <row r="85" spans="1:43" ht="15" thickBot="1">
      <c r="A85" s="347"/>
      <c r="B85" s="310" t="s">
        <v>35</v>
      </c>
      <c r="C85" s="301" t="s">
        <v>137</v>
      </c>
      <c r="D85" s="312" t="s">
        <v>35</v>
      </c>
      <c r="E85" s="303"/>
      <c r="F85" s="305"/>
      <c r="G85" s="303"/>
      <c r="H85" s="303"/>
      <c r="I85" s="303"/>
      <c r="J85" s="303"/>
      <c r="K85" s="303"/>
      <c r="L85" s="328"/>
      <c r="M85" s="328"/>
      <c r="N85" s="303"/>
      <c r="O85" s="305"/>
      <c r="P85" s="328"/>
      <c r="Q85" s="343"/>
      <c r="R85" s="303"/>
      <c r="S85" s="341"/>
      <c r="T85" s="23"/>
      <c r="U85" s="344"/>
      <c r="V85" s="344"/>
      <c r="W85" s="345"/>
      <c r="X85" s="29"/>
      <c r="Y85" s="348"/>
      <c r="Z85" s="305">
        <v>4.5</v>
      </c>
      <c r="AA85" s="339">
        <v>3</v>
      </c>
      <c r="AB85" s="339">
        <v>2.5</v>
      </c>
      <c r="AC85" s="339"/>
      <c r="AD85" s="339"/>
      <c r="AE85" s="305"/>
      <c r="AF85" s="305"/>
      <c r="AG85" s="339"/>
      <c r="AH85" s="339"/>
      <c r="AI85" s="339"/>
      <c r="AJ85" s="339"/>
      <c r="AK85" s="349"/>
      <c r="AL85" s="350"/>
      <c r="AM85" s="167"/>
      <c r="AN85" s="191"/>
      <c r="AO85" s="159"/>
      <c r="AP85" s="159"/>
      <c r="AQ85" s="145"/>
    </row>
    <row r="86" spans="1:43">
      <c r="A86" s="351" t="s">
        <v>138</v>
      </c>
      <c r="B86" s="352" t="s">
        <v>35</v>
      </c>
      <c r="C86" s="353" t="s">
        <v>139</v>
      </c>
      <c r="D86" s="354" t="s">
        <v>35</v>
      </c>
      <c r="E86" s="355"/>
      <c r="F86" s="355">
        <v>0.3</v>
      </c>
      <c r="G86" s="355">
        <v>0.6</v>
      </c>
      <c r="H86" s="355">
        <v>0.65355300000000005</v>
      </c>
      <c r="I86" s="355">
        <v>0.8</v>
      </c>
      <c r="J86" s="355">
        <v>0.64030200000000004</v>
      </c>
      <c r="K86" s="355">
        <v>0.60816493999999999</v>
      </c>
      <c r="L86" s="355">
        <v>0.60244565000000005</v>
      </c>
      <c r="M86" s="355">
        <v>0.8</v>
      </c>
      <c r="N86" s="355">
        <v>0.94</v>
      </c>
      <c r="O86" s="355">
        <v>0.65</v>
      </c>
      <c r="P86" s="356">
        <v>0.7</v>
      </c>
      <c r="Q86" s="355">
        <v>0.60859381000000001</v>
      </c>
      <c r="R86" s="355">
        <v>0.37617381999999999</v>
      </c>
      <c r="S86" s="356">
        <v>0.5</v>
      </c>
      <c r="T86" s="355">
        <v>0.27</v>
      </c>
      <c r="U86" s="356">
        <v>0.7</v>
      </c>
      <c r="V86" s="356">
        <v>0.65</v>
      </c>
      <c r="W86" s="355">
        <v>0.6</v>
      </c>
      <c r="X86" s="355">
        <v>0.6</v>
      </c>
      <c r="Y86" s="357">
        <v>0.6</v>
      </c>
      <c r="Z86" s="358">
        <v>0.6</v>
      </c>
      <c r="AA86" s="358">
        <v>0.37273200000000001</v>
      </c>
      <c r="AB86" s="358">
        <v>0.40701700000000002</v>
      </c>
      <c r="AC86" s="358">
        <v>0.312448</v>
      </c>
      <c r="AD86" s="358">
        <v>0.381882</v>
      </c>
      <c r="AE86" s="358">
        <v>0.34215099999999998</v>
      </c>
      <c r="AF86" s="358">
        <v>0.402171</v>
      </c>
      <c r="AG86" s="358">
        <v>0.37921100000000002</v>
      </c>
      <c r="AH86" s="358">
        <v>0.37288300000000002</v>
      </c>
      <c r="AI86" s="358">
        <v>0.35544199999999998</v>
      </c>
      <c r="AJ86" s="358">
        <v>0.35544199999999998</v>
      </c>
      <c r="AK86" s="359">
        <v>0.35544199999999998</v>
      </c>
      <c r="AL86" s="360">
        <v>0.35544199999999998</v>
      </c>
      <c r="AM86" s="167"/>
      <c r="AN86" s="145"/>
      <c r="AO86" s="159"/>
      <c r="AP86" s="159"/>
      <c r="AQ86" s="145"/>
    </row>
    <row r="87" spans="1:43">
      <c r="A87" s="347"/>
      <c r="B87" s="352" t="s">
        <v>35</v>
      </c>
      <c r="C87" s="361" t="s">
        <v>140</v>
      </c>
      <c r="D87" s="354" t="s">
        <v>35</v>
      </c>
      <c r="E87" s="355"/>
      <c r="F87" s="355"/>
      <c r="G87" s="355"/>
      <c r="H87" s="355"/>
      <c r="I87" s="355"/>
      <c r="J87" s="355"/>
      <c r="K87" s="355"/>
      <c r="L87" s="355">
        <v>0.5</v>
      </c>
      <c r="M87" s="355">
        <v>0.5</v>
      </c>
      <c r="N87" s="355">
        <v>0.62</v>
      </c>
      <c r="O87" s="355">
        <v>0.65</v>
      </c>
      <c r="P87" s="362">
        <v>0.75</v>
      </c>
      <c r="Q87" s="355">
        <v>0.75</v>
      </c>
      <c r="R87" s="355">
        <v>0.75</v>
      </c>
      <c r="S87" s="356">
        <v>0.9</v>
      </c>
      <c r="T87" s="355">
        <v>0.75</v>
      </c>
      <c r="U87" s="356">
        <v>0.75</v>
      </c>
      <c r="V87" s="355">
        <v>0.8</v>
      </c>
      <c r="W87" s="355">
        <v>0.8</v>
      </c>
      <c r="X87" s="355">
        <v>0.6</v>
      </c>
      <c r="Y87" s="363">
        <v>0.8</v>
      </c>
      <c r="Z87" s="355">
        <v>0.7</v>
      </c>
      <c r="AA87" s="355">
        <v>0.7</v>
      </c>
      <c r="AB87" s="355">
        <v>0.7</v>
      </c>
      <c r="AC87" s="355">
        <v>0.7</v>
      </c>
      <c r="AD87" s="355">
        <v>0.7</v>
      </c>
      <c r="AE87" s="355">
        <v>0.7</v>
      </c>
      <c r="AF87" s="355">
        <v>0.7</v>
      </c>
      <c r="AG87" s="355">
        <v>0.7</v>
      </c>
      <c r="AH87" s="355">
        <v>0.7</v>
      </c>
      <c r="AI87" s="355">
        <v>0.7</v>
      </c>
      <c r="AJ87" s="355">
        <v>0.7</v>
      </c>
      <c r="AK87" s="363">
        <v>0.7</v>
      </c>
      <c r="AL87" s="355">
        <v>0.7</v>
      </c>
      <c r="AM87" s="167"/>
      <c r="AN87" s="145"/>
      <c r="AO87" s="159"/>
      <c r="AP87" s="159"/>
      <c r="AQ87" s="145"/>
    </row>
    <row r="88" spans="1:43">
      <c r="A88" s="327"/>
      <c r="B88" s="310" t="s">
        <v>35</v>
      </c>
      <c r="C88" s="364" t="s">
        <v>111</v>
      </c>
      <c r="D88" s="365" t="s">
        <v>141</v>
      </c>
      <c r="E88" s="366">
        <v>64.069999999999993</v>
      </c>
      <c r="F88" s="367">
        <f>66.43791165-3</f>
        <v>63.437911650000004</v>
      </c>
      <c r="G88" s="368">
        <f>67.84931687-2</f>
        <v>65.849316869999996</v>
      </c>
      <c r="H88" s="366">
        <v>62.71</v>
      </c>
      <c r="I88" s="366">
        <v>69.459999999999994</v>
      </c>
      <c r="J88" s="366">
        <v>74.149546740000005</v>
      </c>
      <c r="K88" s="369">
        <v>64.84</v>
      </c>
      <c r="L88" s="369">
        <v>73.87</v>
      </c>
      <c r="M88" s="369">
        <v>70.308482029999993</v>
      </c>
      <c r="N88" s="369">
        <f>66.30012878+1.27-2</f>
        <v>65.57012877999999</v>
      </c>
      <c r="O88" s="367">
        <v>67.39</v>
      </c>
      <c r="P88" s="370">
        <v>52.08</v>
      </c>
      <c r="Q88" s="367">
        <v>47.18</v>
      </c>
      <c r="R88" s="367">
        <v>52.57</v>
      </c>
      <c r="S88" s="367">
        <v>56.54</v>
      </c>
      <c r="T88" s="367">
        <v>59.6</v>
      </c>
      <c r="U88" s="367">
        <v>57.42</v>
      </c>
      <c r="V88" s="367">
        <f>62.54</f>
        <v>62.54</v>
      </c>
      <c r="W88" s="369">
        <v>59.382407709999995</v>
      </c>
      <c r="X88" s="367">
        <v>56.1</v>
      </c>
      <c r="Y88" s="371">
        <f>51.21+3</f>
        <v>54.21</v>
      </c>
      <c r="Z88" s="305">
        <f>52.94811645</f>
        <v>52.948116450000001</v>
      </c>
      <c r="AA88" s="304">
        <v>54.627490120000004</v>
      </c>
      <c r="AB88" s="304">
        <v>54.233890709999997</v>
      </c>
      <c r="AC88" s="304">
        <v>57.827865540000005</v>
      </c>
      <c r="AD88" s="304">
        <v>56.375709260000008</v>
      </c>
      <c r="AE88" s="304">
        <v>65.74157009000001</v>
      </c>
      <c r="AF88" s="304">
        <v>62.130839930000008</v>
      </c>
      <c r="AG88" s="304">
        <v>58.90145376000001</v>
      </c>
      <c r="AH88" s="304">
        <v>58.899874459999992</v>
      </c>
      <c r="AI88" s="304">
        <v>59.800127540000005</v>
      </c>
      <c r="AJ88" s="304">
        <v>60.055908079999995</v>
      </c>
      <c r="AK88" s="372">
        <v>58.83829059</v>
      </c>
      <c r="AL88" s="373">
        <v>58.83829059</v>
      </c>
      <c r="AM88" s="167"/>
      <c r="AN88" s="145"/>
      <c r="AO88" s="159"/>
      <c r="AP88" s="159"/>
      <c r="AQ88" s="145"/>
    </row>
    <row r="89" spans="1:43">
      <c r="A89" s="327"/>
      <c r="B89" s="310" t="s">
        <v>35</v>
      </c>
      <c r="C89" s="364" t="s">
        <v>111</v>
      </c>
      <c r="D89" s="374" t="s">
        <v>142</v>
      </c>
      <c r="E89" s="148">
        <v>70.61</v>
      </c>
      <c r="F89" s="148">
        <v>67.131</v>
      </c>
      <c r="G89" s="148">
        <v>68.07940004999999</v>
      </c>
      <c r="H89" s="148">
        <f>67.46768497-1.17</f>
        <v>66.297684969999992</v>
      </c>
      <c r="I89" s="148">
        <v>68.81</v>
      </c>
      <c r="J89" s="148">
        <v>68.09418556</v>
      </c>
      <c r="K89" s="148">
        <v>70.55</v>
      </c>
      <c r="L89" s="148">
        <v>67.655677449999999</v>
      </c>
      <c r="M89" s="148">
        <v>67.334808789999997</v>
      </c>
      <c r="N89" s="148">
        <v>64.025330750000009</v>
      </c>
      <c r="O89" s="367">
        <v>61.08</v>
      </c>
      <c r="P89" s="367">
        <v>50.41</v>
      </c>
      <c r="Q89" s="367">
        <v>54.68</v>
      </c>
      <c r="R89" s="367">
        <v>53.87</v>
      </c>
      <c r="S89" s="367">
        <v>60.69</v>
      </c>
      <c r="T89" s="367">
        <v>61.18</v>
      </c>
      <c r="U89" s="367">
        <v>60.42</v>
      </c>
      <c r="V89" s="148">
        <v>61.37</v>
      </c>
      <c r="W89" s="367">
        <v>60.32</v>
      </c>
      <c r="X89" s="367">
        <v>64.62</v>
      </c>
      <c r="Y89" s="371">
        <v>61.92</v>
      </c>
      <c r="Z89" s="303">
        <v>56.777439450000003</v>
      </c>
      <c r="AA89" s="303">
        <v>58.876937979999994</v>
      </c>
      <c r="AB89" s="303">
        <v>57.530315359999996</v>
      </c>
      <c r="AC89" s="303">
        <v>58.413842259999996</v>
      </c>
      <c r="AD89" s="303">
        <v>56.957644789999996</v>
      </c>
      <c r="AE89" s="303">
        <v>59.861027320000005</v>
      </c>
      <c r="AF89" s="303">
        <v>60.777805110000003</v>
      </c>
      <c r="AG89" s="303">
        <v>58.972000780000002</v>
      </c>
      <c r="AH89" s="303">
        <v>60.018297270000005</v>
      </c>
      <c r="AI89" s="303">
        <v>59.326656630000009</v>
      </c>
      <c r="AJ89" s="303">
        <v>60.825879229999991</v>
      </c>
      <c r="AK89" s="375">
        <v>60.121824199999999</v>
      </c>
      <c r="AL89" s="303">
        <v>60.121824199999999</v>
      </c>
      <c r="AM89" s="167"/>
      <c r="AN89" s="211"/>
      <c r="AO89" s="159"/>
      <c r="AP89" s="159"/>
      <c r="AQ89" s="145"/>
    </row>
    <row r="90" spans="1:43">
      <c r="A90" s="327"/>
      <c r="B90" s="376" t="s">
        <v>35</v>
      </c>
      <c r="C90" s="377" t="s">
        <v>111</v>
      </c>
      <c r="D90" s="378" t="s">
        <v>143</v>
      </c>
      <c r="E90" s="148"/>
      <c r="F90" s="367"/>
      <c r="G90" s="148"/>
      <c r="H90" s="148">
        <v>2</v>
      </c>
      <c r="I90" s="148"/>
      <c r="J90" s="148"/>
      <c r="K90" s="379">
        <v>13.6</v>
      </c>
      <c r="L90" s="148"/>
      <c r="M90" s="148">
        <v>0.41</v>
      </c>
      <c r="N90" s="148">
        <v>1.27</v>
      </c>
      <c r="O90" s="148">
        <v>3.8000000000000003</v>
      </c>
      <c r="P90" s="148">
        <v>1.2</v>
      </c>
      <c r="Q90" s="148">
        <v>1.55</v>
      </c>
      <c r="R90" s="367">
        <v>4.0999999999999996</v>
      </c>
      <c r="S90" s="367">
        <v>7.4</v>
      </c>
      <c r="T90" s="367">
        <v>14.3</v>
      </c>
      <c r="U90" s="367">
        <v>12</v>
      </c>
      <c r="V90" s="367">
        <f>10.3-0.7</f>
        <v>9.6000000000000014</v>
      </c>
      <c r="W90" s="367">
        <v>13</v>
      </c>
      <c r="X90" s="367">
        <v>11.47</v>
      </c>
      <c r="Y90" s="371">
        <v>4.5</v>
      </c>
      <c r="Z90" s="305">
        <f>17-12+0.7</f>
        <v>5.7</v>
      </c>
      <c r="AA90" s="303">
        <v>15</v>
      </c>
      <c r="AB90" s="303">
        <v>15</v>
      </c>
      <c r="AC90" s="303">
        <v>15</v>
      </c>
      <c r="AD90" s="303">
        <v>15</v>
      </c>
      <c r="AE90" s="303">
        <v>15</v>
      </c>
      <c r="AF90" s="303">
        <v>15</v>
      </c>
      <c r="AG90" s="303">
        <v>15</v>
      </c>
      <c r="AH90" s="303">
        <v>15</v>
      </c>
      <c r="AI90" s="303">
        <v>15</v>
      </c>
      <c r="AJ90" s="303">
        <v>15</v>
      </c>
      <c r="AK90" s="375">
        <v>15</v>
      </c>
      <c r="AL90" s="303">
        <v>15</v>
      </c>
      <c r="AM90" s="167"/>
      <c r="AN90" s="145"/>
      <c r="AO90" s="159"/>
      <c r="AP90" s="159"/>
      <c r="AQ90" s="145"/>
    </row>
    <row r="91" spans="1:43">
      <c r="A91" s="327"/>
      <c r="B91" s="376" t="s">
        <v>35</v>
      </c>
      <c r="C91" s="377" t="s">
        <v>111</v>
      </c>
      <c r="D91" s="378" t="s">
        <v>144</v>
      </c>
      <c r="E91" s="148"/>
      <c r="F91" s="367"/>
      <c r="G91" s="148"/>
      <c r="H91" s="148"/>
      <c r="I91" s="148"/>
      <c r="J91" s="148"/>
      <c r="K91" s="379"/>
      <c r="L91" s="148"/>
      <c r="M91" s="148"/>
      <c r="N91" s="148"/>
      <c r="O91" s="148"/>
      <c r="P91" s="148"/>
      <c r="Q91" s="148"/>
      <c r="R91" s="367"/>
      <c r="S91" s="367"/>
      <c r="T91" s="367"/>
      <c r="U91" s="148">
        <v>0.3</v>
      </c>
      <c r="V91" s="367">
        <v>0.6</v>
      </c>
      <c r="W91" s="148">
        <v>0.6</v>
      </c>
      <c r="X91" s="148">
        <v>0.6</v>
      </c>
      <c r="Y91" s="371">
        <v>0.25</v>
      </c>
      <c r="Z91" s="305">
        <v>0.3</v>
      </c>
      <c r="AA91" s="303">
        <v>0.3</v>
      </c>
      <c r="AB91" s="303">
        <v>0.4</v>
      </c>
      <c r="AC91" s="303">
        <v>0.5</v>
      </c>
      <c r="AD91" s="303">
        <v>0.5</v>
      </c>
      <c r="AE91" s="303">
        <v>0.5</v>
      </c>
      <c r="AF91" s="303">
        <v>0.5</v>
      </c>
      <c r="AG91" s="303">
        <v>0.5</v>
      </c>
      <c r="AH91" s="303">
        <v>0.5</v>
      </c>
      <c r="AI91" s="303">
        <v>0.6</v>
      </c>
      <c r="AJ91" s="303">
        <v>0.6</v>
      </c>
      <c r="AK91" s="380">
        <v>0.6</v>
      </c>
      <c r="AL91" s="381">
        <v>0.6</v>
      </c>
      <c r="AM91" s="167"/>
      <c r="AN91" s="145"/>
      <c r="AO91" s="159"/>
      <c r="AP91" s="159"/>
      <c r="AQ91" s="145"/>
    </row>
    <row r="92" spans="1:43">
      <c r="A92" s="327"/>
      <c r="B92" s="382" t="s">
        <v>35</v>
      </c>
      <c r="C92" s="383" t="s">
        <v>112</v>
      </c>
      <c r="D92" s="384" t="s">
        <v>114</v>
      </c>
      <c r="E92" s="385">
        <v>22</v>
      </c>
      <c r="F92" s="385">
        <v>22</v>
      </c>
      <c r="G92" s="385">
        <v>32</v>
      </c>
      <c r="H92" s="385">
        <v>32</v>
      </c>
      <c r="I92" s="386">
        <v>33.28</v>
      </c>
      <c r="J92" s="373">
        <v>33.6</v>
      </c>
      <c r="K92" s="373">
        <v>33.6</v>
      </c>
      <c r="L92" s="373">
        <v>33.6</v>
      </c>
      <c r="M92" s="373">
        <v>32</v>
      </c>
      <c r="N92" s="373">
        <v>32</v>
      </c>
      <c r="O92" s="387">
        <v>22</v>
      </c>
      <c r="P92" s="387">
        <v>20</v>
      </c>
      <c r="Q92" s="373">
        <v>20</v>
      </c>
      <c r="R92" s="387">
        <v>23</v>
      </c>
      <c r="S92" s="387">
        <v>27</v>
      </c>
      <c r="T92" s="387">
        <v>26</v>
      </c>
      <c r="U92" s="373">
        <v>26</v>
      </c>
      <c r="V92" s="373">
        <v>26</v>
      </c>
      <c r="W92" s="387">
        <v>25</v>
      </c>
      <c r="X92" s="387">
        <v>26</v>
      </c>
      <c r="Y92" s="388">
        <v>25</v>
      </c>
      <c r="Z92" s="387">
        <f>25-0.6</f>
        <v>24.4</v>
      </c>
      <c r="AA92" s="373">
        <v>26</v>
      </c>
      <c r="AB92" s="373">
        <v>26</v>
      </c>
      <c r="AC92" s="373">
        <v>27</v>
      </c>
      <c r="AD92" s="373">
        <v>27</v>
      </c>
      <c r="AE92" s="373">
        <v>27</v>
      </c>
      <c r="AF92" s="373">
        <v>27</v>
      </c>
      <c r="AG92" s="373">
        <v>27</v>
      </c>
      <c r="AH92" s="373">
        <v>27</v>
      </c>
      <c r="AI92" s="373">
        <v>27</v>
      </c>
      <c r="AJ92" s="373">
        <v>27</v>
      </c>
      <c r="AK92" s="324">
        <v>27</v>
      </c>
      <c r="AL92" s="304">
        <v>27</v>
      </c>
      <c r="AM92" s="167"/>
      <c r="AN92" s="191">
        <f>SUM(Y92:AJ92)</f>
        <v>317.39999999999998</v>
      </c>
      <c r="AO92" s="389"/>
      <c r="AP92" s="159"/>
      <c r="AQ92" s="145"/>
    </row>
    <row r="93" spans="1:43">
      <c r="A93" s="327"/>
      <c r="B93" s="376" t="s">
        <v>35</v>
      </c>
      <c r="C93" s="390" t="s">
        <v>113</v>
      </c>
      <c r="D93" s="391" t="s">
        <v>114</v>
      </c>
      <c r="E93" s="381">
        <v>0</v>
      </c>
      <c r="F93" s="381">
        <v>14</v>
      </c>
      <c r="G93" s="381">
        <v>20</v>
      </c>
      <c r="H93" s="381">
        <v>14</v>
      </c>
      <c r="I93" s="392">
        <v>12.48</v>
      </c>
      <c r="J93" s="393">
        <v>12.6</v>
      </c>
      <c r="K93" s="393">
        <v>12.6</v>
      </c>
      <c r="L93" s="393">
        <v>12.6</v>
      </c>
      <c r="M93" s="393">
        <v>12</v>
      </c>
      <c r="N93" s="393">
        <v>12</v>
      </c>
      <c r="O93" s="394">
        <v>11</v>
      </c>
      <c r="P93" s="394">
        <v>10</v>
      </c>
      <c r="Q93" s="393">
        <v>11</v>
      </c>
      <c r="R93" s="394">
        <v>12</v>
      </c>
      <c r="S93" s="394">
        <v>12</v>
      </c>
      <c r="T93" s="394">
        <v>14</v>
      </c>
      <c r="U93" s="394">
        <v>15</v>
      </c>
      <c r="V93" s="393">
        <v>17</v>
      </c>
      <c r="W93" s="394">
        <v>16</v>
      </c>
      <c r="X93" s="394">
        <v>16</v>
      </c>
      <c r="Y93" s="394">
        <v>15</v>
      </c>
      <c r="Z93" s="394">
        <v>15</v>
      </c>
      <c r="AA93" s="393">
        <v>17</v>
      </c>
      <c r="AB93" s="393">
        <v>16</v>
      </c>
      <c r="AC93" s="393">
        <v>17</v>
      </c>
      <c r="AD93" s="393">
        <v>17</v>
      </c>
      <c r="AE93" s="393">
        <v>17</v>
      </c>
      <c r="AF93" s="393">
        <v>17</v>
      </c>
      <c r="AG93" s="393">
        <v>17</v>
      </c>
      <c r="AH93" s="393">
        <v>17</v>
      </c>
      <c r="AI93" s="393">
        <v>17</v>
      </c>
      <c r="AJ93" s="393">
        <v>17</v>
      </c>
      <c r="AK93" s="324">
        <v>17</v>
      </c>
      <c r="AL93" s="304">
        <v>17</v>
      </c>
      <c r="AM93" s="167"/>
      <c r="AN93" s="191">
        <f>SUM(Y93:AJ93)</f>
        <v>199</v>
      </c>
      <c r="AO93" s="389"/>
      <c r="AP93" s="159"/>
      <c r="AQ93" s="145"/>
    </row>
    <row r="94" spans="1:43">
      <c r="A94" s="327"/>
      <c r="B94" s="382" t="s">
        <v>35</v>
      </c>
      <c r="C94" s="395" t="s">
        <v>145</v>
      </c>
      <c r="D94" s="384" t="s">
        <v>114</v>
      </c>
      <c r="E94" s="385"/>
      <c r="F94" s="385"/>
      <c r="G94" s="385"/>
      <c r="H94" s="385"/>
      <c r="I94" s="385"/>
      <c r="J94" s="385"/>
      <c r="K94" s="385"/>
      <c r="L94" s="385"/>
      <c r="M94" s="385"/>
      <c r="N94" s="385"/>
      <c r="O94" s="385"/>
      <c r="P94" s="385"/>
      <c r="Q94" s="385"/>
      <c r="R94" s="385"/>
      <c r="S94" s="373"/>
      <c r="T94" s="385"/>
      <c r="U94" s="385"/>
      <c r="V94" s="385"/>
      <c r="W94" s="385"/>
      <c r="X94" s="396"/>
      <c r="Y94" s="397"/>
      <c r="Z94" s="385"/>
      <c r="AA94" s="385"/>
      <c r="AB94" s="385"/>
      <c r="AC94" s="385"/>
      <c r="AD94" s="385"/>
      <c r="AE94" s="385"/>
      <c r="AF94" s="385"/>
      <c r="AG94" s="385"/>
      <c r="AH94" s="385"/>
      <c r="AI94" s="385"/>
      <c r="AJ94" s="385"/>
      <c r="AK94" s="397"/>
      <c r="AL94" s="385"/>
      <c r="AM94" s="167"/>
      <c r="AN94" s="145"/>
      <c r="AO94" s="145"/>
      <c r="AP94" s="145"/>
      <c r="AQ94" s="145"/>
    </row>
    <row r="95" spans="1:43">
      <c r="A95" s="327"/>
      <c r="B95" s="376" t="s">
        <v>35</v>
      </c>
      <c r="C95" s="398" t="s">
        <v>145</v>
      </c>
      <c r="D95" s="378" t="s">
        <v>143</v>
      </c>
      <c r="E95" s="381"/>
      <c r="F95" s="381"/>
      <c r="G95" s="394"/>
      <c r="H95" s="381"/>
      <c r="I95" s="381"/>
      <c r="J95" s="381"/>
      <c r="K95" s="381"/>
      <c r="L95" s="381"/>
      <c r="M95" s="381"/>
      <c r="N95" s="381"/>
      <c r="O95" s="381"/>
      <c r="P95" s="381"/>
      <c r="Q95" s="381"/>
      <c r="R95" s="381"/>
      <c r="S95" s="381"/>
      <c r="T95" s="381"/>
      <c r="U95" s="381"/>
      <c r="V95" s="381"/>
      <c r="W95" s="381"/>
      <c r="X95" s="381">
        <v>0</v>
      </c>
      <c r="Y95" s="380">
        <v>0</v>
      </c>
      <c r="Z95" s="381"/>
      <c r="AA95" s="381"/>
      <c r="AB95" s="381">
        <v>0</v>
      </c>
      <c r="AC95" s="381">
        <v>0</v>
      </c>
      <c r="AD95" s="381">
        <v>0</v>
      </c>
      <c r="AE95" s="381">
        <v>0</v>
      </c>
      <c r="AF95" s="381">
        <v>0</v>
      </c>
      <c r="AG95" s="381">
        <v>0</v>
      </c>
      <c r="AH95" s="381">
        <v>0</v>
      </c>
      <c r="AI95" s="381">
        <v>0</v>
      </c>
      <c r="AJ95" s="381">
        <v>0</v>
      </c>
      <c r="AK95" s="380">
        <v>0</v>
      </c>
      <c r="AL95" s="381">
        <v>0</v>
      </c>
      <c r="AM95" s="167"/>
      <c r="AN95" s="145"/>
      <c r="AO95" s="145"/>
      <c r="AP95" s="145"/>
      <c r="AQ95" s="145"/>
    </row>
    <row r="96" spans="1:43">
      <c r="A96" s="327"/>
      <c r="B96" s="382" t="s">
        <v>35</v>
      </c>
      <c r="C96" s="399" t="s">
        <v>146</v>
      </c>
      <c r="D96" s="384" t="s">
        <v>114</v>
      </c>
      <c r="E96" s="148"/>
      <c r="F96" s="148"/>
      <c r="G96" s="148"/>
      <c r="H96" s="148"/>
      <c r="I96" s="148"/>
      <c r="J96" s="148"/>
      <c r="K96" s="148"/>
      <c r="L96" s="148"/>
      <c r="M96" s="148"/>
      <c r="N96" s="148"/>
      <c r="O96" s="148"/>
      <c r="P96" s="148"/>
      <c r="Q96" s="148"/>
      <c r="R96" s="148"/>
      <c r="S96" s="148"/>
      <c r="T96" s="148"/>
      <c r="U96" s="148"/>
      <c r="V96" s="148"/>
      <c r="W96" s="148"/>
      <c r="X96" s="148"/>
      <c r="Y96" s="375"/>
      <c r="Z96" s="303"/>
      <c r="AA96" s="303"/>
      <c r="AB96" s="303"/>
      <c r="AC96" s="303"/>
      <c r="AD96" s="303"/>
      <c r="AE96" s="303"/>
      <c r="AF96" s="303"/>
      <c r="AG96" s="303"/>
      <c r="AH96" s="303"/>
      <c r="AI96" s="303"/>
      <c r="AJ96" s="303"/>
      <c r="AK96" s="397"/>
      <c r="AL96" s="385"/>
      <c r="AM96" s="167"/>
      <c r="AN96" s="145"/>
      <c r="AO96" s="145"/>
      <c r="AP96" s="145"/>
      <c r="AQ96" s="145"/>
    </row>
    <row r="97" spans="1:43">
      <c r="A97" s="327"/>
      <c r="B97" s="310" t="s">
        <v>35</v>
      </c>
      <c r="C97" s="400" t="s">
        <v>146</v>
      </c>
      <c r="D97" s="401" t="s">
        <v>143</v>
      </c>
      <c r="E97" s="148"/>
      <c r="F97" s="148"/>
      <c r="G97" s="148"/>
      <c r="H97" s="148"/>
      <c r="I97" s="148"/>
      <c r="J97" s="148"/>
      <c r="K97" s="148"/>
      <c r="L97" s="148"/>
      <c r="M97" s="148"/>
      <c r="N97" s="148"/>
      <c r="O97" s="148"/>
      <c r="P97" s="148"/>
      <c r="Q97" s="148"/>
      <c r="R97" s="148"/>
      <c r="S97" s="148"/>
      <c r="T97" s="148"/>
      <c r="U97" s="148"/>
      <c r="V97" s="148"/>
      <c r="W97" s="148"/>
      <c r="X97" s="148"/>
      <c r="Y97" s="375"/>
      <c r="Z97" s="303"/>
      <c r="AA97" s="303"/>
      <c r="AB97" s="303"/>
      <c r="AC97" s="303"/>
      <c r="AD97" s="303"/>
      <c r="AE97" s="303"/>
      <c r="AF97" s="303"/>
      <c r="AG97" s="303"/>
      <c r="AH97" s="303"/>
      <c r="AI97" s="303"/>
      <c r="AJ97" s="303"/>
      <c r="AK97" s="380"/>
      <c r="AL97" s="381"/>
      <c r="AM97" s="167"/>
      <c r="AN97" s="145"/>
      <c r="AO97" s="145"/>
      <c r="AP97" s="145"/>
      <c r="AQ97" s="145"/>
    </row>
    <row r="98" spans="1:43">
      <c r="A98" s="327"/>
      <c r="B98" s="382" t="s">
        <v>35</v>
      </c>
      <c r="C98" s="402" t="s">
        <v>147</v>
      </c>
      <c r="D98" s="384" t="s">
        <v>114</v>
      </c>
      <c r="E98" s="385"/>
      <c r="F98" s="385"/>
      <c r="G98" s="385"/>
      <c r="H98" s="385"/>
      <c r="I98" s="385"/>
      <c r="J98" s="385"/>
      <c r="K98" s="385"/>
      <c r="L98" s="385"/>
      <c r="M98" s="385"/>
      <c r="N98" s="385"/>
      <c r="O98" s="385"/>
      <c r="P98" s="385"/>
      <c r="Q98" s="385"/>
      <c r="R98" s="385"/>
      <c r="S98" s="385"/>
      <c r="T98" s="385"/>
      <c r="U98" s="385"/>
      <c r="V98" s="385"/>
      <c r="W98" s="385"/>
      <c r="X98" s="385"/>
      <c r="Y98" s="397"/>
      <c r="Z98" s="385"/>
      <c r="AA98" s="385"/>
      <c r="AB98" s="385"/>
      <c r="AC98" s="385"/>
      <c r="AD98" s="385"/>
      <c r="AE98" s="385"/>
      <c r="AF98" s="385"/>
      <c r="AG98" s="385"/>
      <c r="AH98" s="385"/>
      <c r="AI98" s="385"/>
      <c r="AJ98" s="385"/>
      <c r="AK98" s="375"/>
      <c r="AL98" s="303"/>
      <c r="AM98" s="167"/>
      <c r="AN98" s="145"/>
      <c r="AO98" s="145"/>
      <c r="AP98" s="145"/>
      <c r="AQ98" s="145"/>
    </row>
    <row r="99" spans="1:43">
      <c r="A99" s="327"/>
      <c r="B99" s="310" t="s">
        <v>35</v>
      </c>
      <c r="C99" s="296" t="s">
        <v>147</v>
      </c>
      <c r="D99" s="401" t="s">
        <v>143</v>
      </c>
      <c r="E99" s="381"/>
      <c r="F99" s="381"/>
      <c r="G99" s="381"/>
      <c r="H99" s="381"/>
      <c r="I99" s="381"/>
      <c r="J99" s="381"/>
      <c r="K99" s="381"/>
      <c r="L99" s="381"/>
      <c r="M99" s="381"/>
      <c r="N99" s="381"/>
      <c r="O99" s="381"/>
      <c r="P99" s="381"/>
      <c r="Q99" s="381"/>
      <c r="R99" s="381">
        <v>1.8</v>
      </c>
      <c r="S99" s="381">
        <v>0.40000000000000013</v>
      </c>
      <c r="T99" s="381">
        <v>1.8</v>
      </c>
      <c r="U99" s="394">
        <v>2.4</v>
      </c>
      <c r="V99" s="381">
        <v>2.6</v>
      </c>
      <c r="W99" s="381">
        <v>3.6</v>
      </c>
      <c r="X99" s="381">
        <v>3.6</v>
      </c>
      <c r="Y99" s="380"/>
      <c r="Z99" s="381">
        <v>4.2</v>
      </c>
      <c r="AA99" s="381">
        <v>4.2</v>
      </c>
      <c r="AB99" s="381">
        <v>3.6</v>
      </c>
      <c r="AC99" s="381">
        <v>3.6</v>
      </c>
      <c r="AD99" s="381">
        <v>3.6</v>
      </c>
      <c r="AE99" s="381">
        <v>3.6</v>
      </c>
      <c r="AF99" s="381">
        <v>3.6</v>
      </c>
      <c r="AG99" s="381">
        <v>3.6</v>
      </c>
      <c r="AH99" s="381">
        <v>3.6</v>
      </c>
      <c r="AI99" s="381">
        <v>3.6</v>
      </c>
      <c r="AJ99" s="381">
        <v>3.6</v>
      </c>
      <c r="AK99" s="375">
        <v>3.6</v>
      </c>
      <c r="AL99" s="303">
        <v>3.6</v>
      </c>
      <c r="AM99" s="167"/>
      <c r="AN99" s="145"/>
      <c r="AO99" s="145"/>
      <c r="AP99" s="145"/>
      <c r="AQ99" s="145"/>
    </row>
    <row r="100" spans="1:43">
      <c r="A100" s="327"/>
      <c r="B100" s="376" t="s">
        <v>35</v>
      </c>
      <c r="C100" s="403" t="s">
        <v>147</v>
      </c>
      <c r="D100" s="378" t="s">
        <v>144</v>
      </c>
      <c r="E100" s="303"/>
      <c r="F100" s="303"/>
      <c r="G100" s="303"/>
      <c r="H100" s="303"/>
      <c r="I100" s="303"/>
      <c r="J100" s="303"/>
      <c r="K100" s="303"/>
      <c r="L100" s="303"/>
      <c r="M100" s="303"/>
      <c r="N100" s="303"/>
      <c r="O100" s="303"/>
      <c r="P100" s="303"/>
      <c r="Q100" s="303"/>
      <c r="R100" s="303"/>
      <c r="S100" s="303"/>
      <c r="T100" s="303"/>
      <c r="U100" s="305"/>
      <c r="V100" s="303"/>
      <c r="W100" s="303">
        <v>0.6</v>
      </c>
      <c r="X100" s="303">
        <v>0.6</v>
      </c>
      <c r="Y100" s="375"/>
      <c r="Z100" s="303">
        <v>0.8</v>
      </c>
      <c r="AA100" s="303">
        <v>0.8</v>
      </c>
      <c r="AB100" s="303">
        <v>0.6</v>
      </c>
      <c r="AC100" s="303">
        <v>0.6</v>
      </c>
      <c r="AD100" s="303">
        <v>0.6</v>
      </c>
      <c r="AE100" s="303">
        <v>0.6</v>
      </c>
      <c r="AF100" s="303">
        <v>0.6</v>
      </c>
      <c r="AG100" s="303">
        <v>0.6</v>
      </c>
      <c r="AH100" s="303">
        <v>0.6</v>
      </c>
      <c r="AI100" s="303">
        <v>0.6</v>
      </c>
      <c r="AJ100" s="303">
        <v>0.6</v>
      </c>
      <c r="AK100" s="397">
        <v>0.6</v>
      </c>
      <c r="AL100" s="385">
        <v>0.6</v>
      </c>
      <c r="AM100" s="167"/>
      <c r="AN100" s="145"/>
      <c r="AO100" s="145"/>
      <c r="AP100" s="145"/>
      <c r="AQ100" s="145"/>
    </row>
    <row r="101" spans="1:43">
      <c r="A101" s="327"/>
      <c r="B101" s="310" t="s">
        <v>35</v>
      </c>
      <c r="C101" s="404" t="s">
        <v>148</v>
      </c>
      <c r="D101" s="365" t="s">
        <v>114</v>
      </c>
      <c r="E101" s="148"/>
      <c r="F101" s="148"/>
      <c r="G101" s="148"/>
      <c r="H101" s="148"/>
      <c r="I101" s="148"/>
      <c r="J101" s="148"/>
      <c r="K101" s="148"/>
      <c r="L101" s="148"/>
      <c r="M101" s="148"/>
      <c r="N101" s="148"/>
      <c r="O101" s="148"/>
      <c r="P101" s="148"/>
      <c r="Q101" s="148"/>
      <c r="R101" s="148"/>
      <c r="S101" s="148"/>
      <c r="T101" s="148"/>
      <c r="U101" s="148"/>
      <c r="V101" s="148"/>
      <c r="W101" s="148"/>
      <c r="X101" s="148"/>
      <c r="Y101" s="375"/>
      <c r="Z101" s="303"/>
      <c r="AA101" s="303"/>
      <c r="AB101" s="303"/>
      <c r="AC101" s="303"/>
      <c r="AD101" s="303"/>
      <c r="AE101" s="303"/>
      <c r="AF101" s="303"/>
      <c r="AG101" s="303"/>
      <c r="AH101" s="303"/>
      <c r="AI101" s="303"/>
      <c r="AJ101" s="303"/>
      <c r="AK101" s="375"/>
      <c r="AL101" s="303"/>
      <c r="AM101" s="167"/>
      <c r="AN101" s="145"/>
      <c r="AO101" s="145"/>
      <c r="AP101" s="145"/>
      <c r="AQ101" s="145"/>
    </row>
    <row r="102" spans="1:43">
      <c r="A102" s="327"/>
      <c r="B102" s="310" t="s">
        <v>35</v>
      </c>
      <c r="C102" s="404" t="s">
        <v>148</v>
      </c>
      <c r="D102" s="401" t="s">
        <v>143</v>
      </c>
      <c r="E102" s="148"/>
      <c r="F102" s="148"/>
      <c r="G102" s="148"/>
      <c r="H102" s="148"/>
      <c r="I102" s="148"/>
      <c r="J102" s="148"/>
      <c r="K102" s="148"/>
      <c r="L102" s="148"/>
      <c r="M102" s="148">
        <f>0.22+0.83</f>
        <v>1.05</v>
      </c>
      <c r="N102" s="148">
        <v>0.82000000000000206</v>
      </c>
      <c r="O102" s="367">
        <v>6.43</v>
      </c>
      <c r="P102" s="367">
        <v>7.3999999999999995</v>
      </c>
      <c r="Q102" s="148">
        <v>5.15</v>
      </c>
      <c r="R102" s="367">
        <v>11.98</v>
      </c>
      <c r="S102" s="367">
        <v>11.4</v>
      </c>
      <c r="T102" s="367">
        <v>13.8</v>
      </c>
      <c r="U102" s="148">
        <v>13.8</v>
      </c>
      <c r="V102" s="367">
        <v>17.5</v>
      </c>
      <c r="W102" s="367">
        <f>3.4-2</f>
        <v>1.4</v>
      </c>
      <c r="X102" s="367">
        <f>0.4+3-1.2+0.6+0.7-0.6</f>
        <v>2.9</v>
      </c>
      <c r="Y102" s="371">
        <v>2.8</v>
      </c>
      <c r="Z102" s="305">
        <f>4.52+0.6</f>
        <v>5.1199999999999992</v>
      </c>
      <c r="AA102" s="303">
        <v>7.93</v>
      </c>
      <c r="AB102" s="303">
        <v>9.93</v>
      </c>
      <c r="AC102" s="303">
        <v>11.22</v>
      </c>
      <c r="AD102" s="303">
        <v>11.53</v>
      </c>
      <c r="AE102" s="303">
        <v>11.53</v>
      </c>
      <c r="AF102" s="303">
        <v>11.53</v>
      </c>
      <c r="AG102" s="303">
        <v>11.53</v>
      </c>
      <c r="AH102" s="303">
        <v>11.53</v>
      </c>
      <c r="AI102" s="303">
        <v>11.53</v>
      </c>
      <c r="AJ102" s="303">
        <v>11.53</v>
      </c>
      <c r="AK102" s="375">
        <v>11.53</v>
      </c>
      <c r="AL102" s="303">
        <v>11.53</v>
      </c>
      <c r="AM102" s="167"/>
      <c r="AN102" s="145"/>
      <c r="AO102" s="145"/>
      <c r="AP102" s="145"/>
      <c r="AQ102" s="145"/>
    </row>
    <row r="103" spans="1:43">
      <c r="A103" s="327"/>
      <c r="B103" s="352" t="s">
        <v>35</v>
      </c>
      <c r="C103" s="405" t="s">
        <v>149</v>
      </c>
      <c r="D103" s="406" t="s">
        <v>143</v>
      </c>
      <c r="E103" s="148"/>
      <c r="F103" s="148"/>
      <c r="G103" s="148"/>
      <c r="H103" s="148"/>
      <c r="I103" s="148"/>
      <c r="J103" s="148"/>
      <c r="K103" s="148"/>
      <c r="L103" s="148"/>
      <c r="M103" s="148"/>
      <c r="N103" s="148"/>
      <c r="O103" s="367"/>
      <c r="P103" s="367"/>
      <c r="Q103" s="148"/>
      <c r="R103" s="367"/>
      <c r="S103" s="367"/>
      <c r="T103" s="367"/>
      <c r="U103" s="148"/>
      <c r="V103" s="148"/>
      <c r="W103" s="148"/>
      <c r="X103" s="148"/>
      <c r="Y103" s="375"/>
      <c r="Z103" s="303"/>
      <c r="AA103" s="303"/>
      <c r="AB103" s="303"/>
      <c r="AC103" s="303"/>
      <c r="AD103" s="303"/>
      <c r="AE103" s="303"/>
      <c r="AF103" s="303"/>
      <c r="AG103" s="303"/>
      <c r="AH103" s="303"/>
      <c r="AI103" s="303"/>
      <c r="AJ103" s="303"/>
      <c r="AK103" s="380"/>
      <c r="AL103" s="381"/>
      <c r="AM103" s="167"/>
      <c r="AN103" s="145"/>
      <c r="AO103" s="145"/>
      <c r="AP103" s="145"/>
      <c r="AQ103" s="145"/>
    </row>
    <row r="104" spans="1:43">
      <c r="A104" s="327"/>
      <c r="B104" s="382" t="s">
        <v>35</v>
      </c>
      <c r="C104" s="407" t="s">
        <v>102</v>
      </c>
      <c r="D104" s="384" t="s">
        <v>114</v>
      </c>
      <c r="E104" s="385"/>
      <c r="F104" s="385"/>
      <c r="G104" s="385"/>
      <c r="H104" s="385"/>
      <c r="I104" s="385"/>
      <c r="J104" s="385"/>
      <c r="K104" s="385"/>
      <c r="L104" s="385"/>
      <c r="M104" s="385"/>
      <c r="N104" s="385"/>
      <c r="O104" s="385"/>
      <c r="P104" s="385"/>
      <c r="Q104" s="385"/>
      <c r="R104" s="385"/>
      <c r="S104" s="385"/>
      <c r="T104" s="385"/>
      <c r="U104" s="385"/>
      <c r="V104" s="385"/>
      <c r="W104" s="385"/>
      <c r="X104" s="385"/>
      <c r="Y104" s="397"/>
      <c r="Z104" s="385"/>
      <c r="AA104" s="385"/>
      <c r="AB104" s="385"/>
      <c r="AC104" s="385"/>
      <c r="AD104" s="385"/>
      <c r="AE104" s="385"/>
      <c r="AF104" s="385"/>
      <c r="AG104" s="385"/>
      <c r="AH104" s="385"/>
      <c r="AI104" s="385"/>
      <c r="AJ104" s="385"/>
      <c r="AK104" s="375"/>
      <c r="AL104" s="303"/>
      <c r="AM104" s="167"/>
      <c r="AN104" s="145"/>
      <c r="AO104" s="145"/>
      <c r="AP104" s="145"/>
      <c r="AQ104" s="145"/>
    </row>
    <row r="105" spans="1:43">
      <c r="A105" s="327"/>
      <c r="B105" s="376" t="s">
        <v>35</v>
      </c>
      <c r="C105" s="408" t="s">
        <v>102</v>
      </c>
      <c r="D105" s="378" t="s">
        <v>143</v>
      </c>
      <c r="E105" s="381"/>
      <c r="F105" s="381"/>
      <c r="G105" s="381"/>
      <c r="H105" s="381"/>
      <c r="I105" s="381"/>
      <c r="J105" s="409">
        <v>1.2</v>
      </c>
      <c r="K105" s="393">
        <v>3.4</v>
      </c>
      <c r="L105" s="393">
        <v>3.1</v>
      </c>
      <c r="M105" s="393">
        <v>1.2</v>
      </c>
      <c r="N105" s="381"/>
      <c r="O105" s="381"/>
      <c r="P105" s="381"/>
      <c r="Q105" s="381"/>
      <c r="R105" s="381"/>
      <c r="S105" s="381"/>
      <c r="T105" s="381"/>
      <c r="U105" s="381"/>
      <c r="V105" s="394">
        <v>1.2</v>
      </c>
      <c r="W105" s="381"/>
      <c r="X105" s="381"/>
      <c r="Y105" s="380"/>
      <c r="Z105" s="381"/>
      <c r="AA105" s="381"/>
      <c r="AB105" s="381"/>
      <c r="AC105" s="381"/>
      <c r="AD105" s="381"/>
      <c r="AE105" s="381"/>
      <c r="AF105" s="381"/>
      <c r="AG105" s="381"/>
      <c r="AH105" s="381"/>
      <c r="AI105" s="381"/>
      <c r="AJ105" s="381"/>
      <c r="AK105" s="375"/>
      <c r="AL105" s="303"/>
      <c r="AM105" s="167"/>
      <c r="AN105" s="145"/>
      <c r="AO105" s="145"/>
      <c r="AP105" s="145"/>
      <c r="AQ105" s="145"/>
    </row>
    <row r="106" spans="1:43">
      <c r="A106" s="327"/>
      <c r="B106" s="382" t="s">
        <v>35</v>
      </c>
      <c r="C106" s="407" t="s">
        <v>150</v>
      </c>
      <c r="D106" s="384" t="s">
        <v>114</v>
      </c>
      <c r="E106" s="148"/>
      <c r="F106" s="148"/>
      <c r="G106" s="148"/>
      <c r="H106" s="148"/>
      <c r="I106" s="148"/>
      <c r="J106" s="148"/>
      <c r="K106" s="148"/>
      <c r="L106" s="148"/>
      <c r="M106" s="148"/>
      <c r="N106" s="148"/>
      <c r="O106" s="148"/>
      <c r="P106" s="148"/>
      <c r="Q106" s="148"/>
      <c r="R106" s="148"/>
      <c r="S106" s="148"/>
      <c r="T106" s="148"/>
      <c r="U106" s="148"/>
      <c r="V106" s="148"/>
      <c r="W106" s="148"/>
      <c r="X106" s="148"/>
      <c r="Y106" s="375"/>
      <c r="Z106" s="303"/>
      <c r="AA106" s="303"/>
      <c r="AB106" s="303"/>
      <c r="AC106" s="303"/>
      <c r="AD106" s="303"/>
      <c r="AE106" s="303"/>
      <c r="AF106" s="303"/>
      <c r="AG106" s="303"/>
      <c r="AH106" s="303"/>
      <c r="AI106" s="303"/>
      <c r="AJ106" s="303"/>
      <c r="AK106" s="397"/>
      <c r="AL106" s="385"/>
      <c r="AM106" s="167"/>
      <c r="AN106" s="145"/>
      <c r="AO106" s="145"/>
      <c r="AP106" s="145"/>
      <c r="AQ106" s="145"/>
    </row>
    <row r="107" spans="1:43">
      <c r="A107" s="327"/>
      <c r="B107" s="376" t="s">
        <v>35</v>
      </c>
      <c r="C107" s="408" t="s">
        <v>150</v>
      </c>
      <c r="D107" s="378" t="s">
        <v>143</v>
      </c>
      <c r="E107" s="148"/>
      <c r="F107" s="148"/>
      <c r="G107" s="148"/>
      <c r="H107" s="148"/>
      <c r="I107" s="148"/>
      <c r="J107" s="148"/>
      <c r="K107" s="148"/>
      <c r="L107" s="148"/>
      <c r="M107" s="148"/>
      <c r="N107" s="148"/>
      <c r="O107" s="148"/>
      <c r="P107" s="148">
        <v>0.65</v>
      </c>
      <c r="Q107" s="148"/>
      <c r="R107" s="148"/>
      <c r="S107" s="148"/>
      <c r="T107" s="148"/>
      <c r="U107" s="148"/>
      <c r="V107" s="148"/>
      <c r="W107" s="148"/>
      <c r="X107" s="148"/>
      <c r="Y107" s="375">
        <v>0</v>
      </c>
      <c r="Z107" s="303">
        <v>0</v>
      </c>
      <c r="AA107" s="303">
        <v>1.4</v>
      </c>
      <c r="AB107" s="303">
        <v>2.1</v>
      </c>
      <c r="AC107" s="303">
        <v>2.1</v>
      </c>
      <c r="AD107" s="303">
        <v>1.4</v>
      </c>
      <c r="AE107" s="303">
        <v>2.1</v>
      </c>
      <c r="AF107" s="303">
        <v>2.1</v>
      </c>
      <c r="AG107" s="303">
        <v>2.8</v>
      </c>
      <c r="AH107" s="303">
        <v>4.9000000000000004</v>
      </c>
      <c r="AI107" s="303">
        <v>4.9000000000000004</v>
      </c>
      <c r="AJ107" s="303">
        <v>4.9000000000000004</v>
      </c>
      <c r="AK107" s="380">
        <v>4.9000000000000004</v>
      </c>
      <c r="AL107" s="381">
        <v>4.9000000000000004</v>
      </c>
      <c r="AM107" s="167"/>
      <c r="AN107" s="145"/>
      <c r="AO107" s="145"/>
      <c r="AP107" s="145"/>
      <c r="AQ107" s="145"/>
    </row>
    <row r="108" spans="1:43">
      <c r="A108" s="327"/>
      <c r="B108" s="310" t="s">
        <v>35</v>
      </c>
      <c r="C108" s="410" t="s">
        <v>151</v>
      </c>
      <c r="D108" s="365" t="s">
        <v>114</v>
      </c>
      <c r="E108" s="385"/>
      <c r="F108" s="385"/>
      <c r="G108" s="385"/>
      <c r="H108" s="385"/>
      <c r="I108" s="385"/>
      <c r="J108" s="385"/>
      <c r="K108" s="385"/>
      <c r="L108" s="385"/>
      <c r="M108" s="385"/>
      <c r="N108" s="385"/>
      <c r="O108" s="385"/>
      <c r="P108" s="385"/>
      <c r="Q108" s="385"/>
      <c r="R108" s="385"/>
      <c r="S108" s="385"/>
      <c r="T108" s="385"/>
      <c r="U108" s="385"/>
      <c r="V108" s="385"/>
      <c r="W108" s="385"/>
      <c r="X108" s="385"/>
      <c r="Y108" s="397"/>
      <c r="Z108" s="385"/>
      <c r="AA108" s="385"/>
      <c r="AB108" s="385"/>
      <c r="AC108" s="385"/>
      <c r="AD108" s="385"/>
      <c r="AE108" s="385"/>
      <c r="AF108" s="385"/>
      <c r="AG108" s="385"/>
      <c r="AH108" s="385"/>
      <c r="AI108" s="385"/>
      <c r="AJ108" s="385"/>
      <c r="AK108" s="375"/>
      <c r="AL108" s="303"/>
      <c r="AM108" s="167"/>
      <c r="AN108" s="145"/>
      <c r="AO108" s="145"/>
      <c r="AP108" s="145"/>
      <c r="AQ108" s="145"/>
    </row>
    <row r="109" spans="1:43">
      <c r="A109" s="327"/>
      <c r="B109" s="310" t="s">
        <v>35</v>
      </c>
      <c r="C109" s="410" t="s">
        <v>151</v>
      </c>
      <c r="D109" s="374" t="s">
        <v>142</v>
      </c>
      <c r="E109" s="303"/>
      <c r="F109" s="303"/>
      <c r="G109" s="303"/>
      <c r="H109" s="305"/>
      <c r="I109" s="305"/>
      <c r="J109" s="305"/>
      <c r="K109" s="305"/>
      <c r="L109" s="303"/>
      <c r="M109" s="303"/>
      <c r="N109" s="303"/>
      <c r="O109" s="303"/>
      <c r="P109" s="303"/>
      <c r="Q109" s="303"/>
      <c r="R109" s="303"/>
      <c r="S109" s="303"/>
      <c r="T109" s="303"/>
      <c r="U109" s="303"/>
      <c r="V109" s="303"/>
      <c r="W109" s="303"/>
      <c r="X109" s="303"/>
      <c r="Y109" s="375"/>
      <c r="Z109" s="303"/>
      <c r="AA109" s="303"/>
      <c r="AB109" s="303"/>
      <c r="AC109" s="303"/>
      <c r="AD109" s="303"/>
      <c r="AE109" s="303"/>
      <c r="AF109" s="303"/>
      <c r="AG109" s="303"/>
      <c r="AH109" s="303"/>
      <c r="AI109" s="303"/>
      <c r="AJ109" s="303"/>
      <c r="AK109" s="375"/>
      <c r="AL109" s="303"/>
      <c r="AM109" s="167"/>
      <c r="AN109" s="145"/>
      <c r="AO109" s="145"/>
      <c r="AP109" s="145"/>
      <c r="AQ109" s="145"/>
    </row>
    <row r="110" spans="1:43">
      <c r="A110" s="327"/>
      <c r="B110" s="376" t="s">
        <v>35</v>
      </c>
      <c r="C110" s="410" t="s">
        <v>151</v>
      </c>
      <c r="D110" s="401" t="s">
        <v>143</v>
      </c>
      <c r="E110" s="381"/>
      <c r="F110" s="381"/>
      <c r="G110" s="381"/>
      <c r="H110" s="381"/>
      <c r="I110" s="394">
        <v>3.9</v>
      </c>
      <c r="J110" s="392">
        <v>4.2</v>
      </c>
      <c r="K110" s="381"/>
      <c r="L110" s="381"/>
      <c r="M110" s="381"/>
      <c r="N110" s="381"/>
      <c r="O110" s="381"/>
      <c r="P110" s="381"/>
      <c r="Q110" s="381"/>
      <c r="R110" s="381"/>
      <c r="S110" s="381"/>
      <c r="T110" s="381"/>
      <c r="U110" s="381"/>
      <c r="V110" s="381"/>
      <c r="W110" s="381"/>
      <c r="X110" s="381"/>
      <c r="Y110" s="380"/>
      <c r="Z110" s="381"/>
      <c r="AA110" s="381"/>
      <c r="AB110" s="381"/>
      <c r="AC110" s="381"/>
      <c r="AD110" s="381"/>
      <c r="AE110" s="381"/>
      <c r="AF110" s="381"/>
      <c r="AG110" s="381"/>
      <c r="AH110" s="381"/>
      <c r="AI110" s="381"/>
      <c r="AJ110" s="381"/>
      <c r="AK110" s="375"/>
      <c r="AL110" s="303"/>
      <c r="AM110" s="167"/>
      <c r="AN110" s="145"/>
      <c r="AO110" s="145"/>
      <c r="AP110" s="145"/>
      <c r="AQ110" s="145"/>
    </row>
    <row r="111" spans="1:43">
      <c r="A111" s="327"/>
      <c r="B111" s="376" t="s">
        <v>35</v>
      </c>
      <c r="C111" s="411" t="s">
        <v>152</v>
      </c>
      <c r="D111" s="406" t="s">
        <v>143</v>
      </c>
      <c r="E111" s="303"/>
      <c r="F111" s="303"/>
      <c r="G111" s="303"/>
      <c r="H111" s="303"/>
      <c r="I111" s="303"/>
      <c r="J111" s="303"/>
      <c r="K111" s="303"/>
      <c r="L111" s="303"/>
      <c r="M111" s="303"/>
      <c r="N111" s="303"/>
      <c r="O111" s="303"/>
      <c r="P111" s="303"/>
      <c r="Q111" s="303"/>
      <c r="R111" s="303"/>
      <c r="S111" s="303"/>
      <c r="T111" s="303"/>
      <c r="U111" s="303"/>
      <c r="V111" s="303"/>
      <c r="W111" s="303"/>
      <c r="X111" s="303"/>
      <c r="Y111" s="375"/>
      <c r="Z111" s="303"/>
      <c r="AA111" s="303"/>
      <c r="AB111" s="303"/>
      <c r="AC111" s="303"/>
      <c r="AD111" s="303"/>
      <c r="AE111" s="303"/>
      <c r="AF111" s="303"/>
      <c r="AG111" s="303"/>
      <c r="AH111" s="303"/>
      <c r="AI111" s="303"/>
      <c r="AJ111" s="303"/>
      <c r="AK111" s="363"/>
      <c r="AL111" s="355"/>
      <c r="AM111" s="167"/>
      <c r="AN111" s="145"/>
      <c r="AO111" s="145"/>
      <c r="AP111" s="145"/>
      <c r="AQ111" s="145"/>
    </row>
    <row r="112" spans="1:43" ht="15" thickBot="1">
      <c r="A112" s="327"/>
      <c r="B112" s="310" t="s">
        <v>35</v>
      </c>
      <c r="C112" s="407" t="s">
        <v>153</v>
      </c>
      <c r="D112" s="412" t="s">
        <v>143</v>
      </c>
      <c r="E112" s="303"/>
      <c r="F112" s="303"/>
      <c r="G112" s="303"/>
      <c r="H112" s="303"/>
      <c r="I112" s="303"/>
      <c r="J112" s="303"/>
      <c r="K112" s="355"/>
      <c r="L112" s="355"/>
      <c r="M112" s="356"/>
      <c r="N112" s="356"/>
      <c r="O112" s="356"/>
      <c r="P112" s="356"/>
      <c r="Q112" s="387"/>
      <c r="R112" s="387"/>
      <c r="S112" s="387"/>
      <c r="T112" s="387"/>
      <c r="U112" s="387"/>
      <c r="V112" s="387"/>
      <c r="W112" s="387"/>
      <c r="X112" s="387"/>
      <c r="Y112" s="388"/>
      <c r="Z112" s="387"/>
      <c r="AA112" s="387"/>
      <c r="AB112" s="387"/>
      <c r="AC112" s="387"/>
      <c r="AD112" s="387"/>
      <c r="AE112" s="387"/>
      <c r="AF112" s="387"/>
      <c r="AG112" s="387"/>
      <c r="AH112" s="387"/>
      <c r="AI112" s="387"/>
      <c r="AJ112" s="387"/>
      <c r="AK112" s="388"/>
      <c r="AL112" s="387"/>
      <c r="AM112" s="167"/>
      <c r="AN112" s="145"/>
      <c r="AO112" s="145"/>
      <c r="AP112" s="145"/>
      <c r="AQ112" s="145"/>
    </row>
    <row r="113" spans="1:43">
      <c r="A113" s="327"/>
      <c r="B113" s="413" t="s">
        <v>102</v>
      </c>
      <c r="C113" s="414" t="s">
        <v>111</v>
      </c>
      <c r="D113" s="415" t="s">
        <v>102</v>
      </c>
      <c r="E113" s="303"/>
      <c r="F113" s="303"/>
      <c r="G113" s="303"/>
      <c r="H113" s="303"/>
      <c r="I113" s="303"/>
      <c r="J113" s="303"/>
      <c r="K113" s="385"/>
      <c r="L113" s="385"/>
      <c r="M113" s="387"/>
      <c r="N113" s="387"/>
      <c r="O113" s="416">
        <f>O43</f>
        <v>0.68</v>
      </c>
      <c r="P113" s="373">
        <v>0.7</v>
      </c>
      <c r="Q113" s="373">
        <v>0</v>
      </c>
      <c r="R113" s="373"/>
      <c r="S113" s="373">
        <v>0</v>
      </c>
      <c r="T113" s="373"/>
      <c r="U113" s="373"/>
      <c r="V113" s="387">
        <v>0</v>
      </c>
      <c r="W113" s="373"/>
      <c r="X113" s="387">
        <v>0.68</v>
      </c>
      <c r="Y113" s="417"/>
      <c r="Z113" s="418"/>
      <c r="AA113" s="418"/>
      <c r="AB113" s="418"/>
      <c r="AC113" s="418"/>
      <c r="AD113" s="418"/>
      <c r="AE113" s="418"/>
      <c r="AF113" s="418"/>
      <c r="AG113" s="418"/>
      <c r="AH113" s="418"/>
      <c r="AI113" s="418"/>
      <c r="AJ113" s="360"/>
      <c r="AK113" s="359"/>
      <c r="AL113" s="360"/>
      <c r="AM113" s="167"/>
      <c r="AN113" s="167"/>
      <c r="AO113" s="145"/>
      <c r="AP113" s="145"/>
      <c r="AQ113" s="145"/>
    </row>
    <row r="114" spans="1:43">
      <c r="A114" s="327"/>
      <c r="B114" s="419" t="s">
        <v>102</v>
      </c>
      <c r="C114" s="404" t="s">
        <v>148</v>
      </c>
      <c r="D114" s="420" t="s">
        <v>102</v>
      </c>
      <c r="E114" s="303"/>
      <c r="F114" s="303"/>
      <c r="G114" s="303"/>
      <c r="H114" s="303"/>
      <c r="I114" s="303"/>
      <c r="J114" s="303"/>
      <c r="K114" s="385"/>
      <c r="L114" s="385"/>
      <c r="M114" s="387"/>
      <c r="N114" s="387"/>
      <c r="O114" s="416"/>
      <c r="P114" s="393"/>
      <c r="Q114" s="393">
        <v>0.6</v>
      </c>
      <c r="R114" s="393">
        <v>0</v>
      </c>
      <c r="S114" s="393">
        <v>0.6</v>
      </c>
      <c r="T114" s="393">
        <v>0.6</v>
      </c>
      <c r="U114" s="394">
        <v>1.2</v>
      </c>
      <c r="V114" s="393"/>
      <c r="W114" s="393">
        <v>0.6</v>
      </c>
      <c r="X114" s="394">
        <f>0.6+0.6</f>
        <v>1.2</v>
      </c>
      <c r="Y114" s="324">
        <v>0</v>
      </c>
      <c r="Z114" s="305">
        <f>1.2+1.2</f>
        <v>2.4</v>
      </c>
      <c r="AA114" s="304"/>
      <c r="AB114" s="304"/>
      <c r="AC114" s="304"/>
      <c r="AD114" s="304"/>
      <c r="AE114" s="304"/>
      <c r="AF114" s="304"/>
      <c r="AG114" s="304"/>
      <c r="AH114" s="304"/>
      <c r="AI114" s="304"/>
      <c r="AJ114" s="304"/>
      <c r="AK114" s="324"/>
      <c r="AL114" s="304"/>
      <c r="AM114" s="145"/>
      <c r="AN114" s="145"/>
      <c r="AO114" s="145"/>
      <c r="AP114" s="145"/>
      <c r="AQ114" s="145"/>
    </row>
    <row r="115" spans="1:43" ht="15" thickBot="1">
      <c r="B115" s="421" t="s">
        <v>102</v>
      </c>
      <c r="C115" s="422" t="s">
        <v>150</v>
      </c>
      <c r="D115" s="423" t="s">
        <v>102</v>
      </c>
      <c r="Y115" s="424">
        <f>Y43-Y113-Y114</f>
        <v>0</v>
      </c>
      <c r="Z115" s="425">
        <f t="shared" ref="Z115:AJ115" si="50">Z43-Z113-Z114</f>
        <v>0</v>
      </c>
      <c r="AA115" s="425">
        <f t="shared" si="50"/>
        <v>1.2</v>
      </c>
      <c r="AB115" s="425">
        <f t="shared" si="50"/>
        <v>1.2</v>
      </c>
      <c r="AC115" s="425">
        <f t="shared" si="50"/>
        <v>1.2</v>
      </c>
      <c r="AD115" s="425">
        <f t="shared" si="50"/>
        <v>1.2</v>
      </c>
      <c r="AE115" s="425">
        <f t="shared" si="50"/>
        <v>1.2</v>
      </c>
      <c r="AF115" s="425">
        <f t="shared" si="50"/>
        <v>1.2</v>
      </c>
      <c r="AG115" s="425">
        <f t="shared" si="50"/>
        <v>1.2</v>
      </c>
      <c r="AH115" s="425">
        <f t="shared" si="50"/>
        <v>1.2</v>
      </c>
      <c r="AI115" s="425">
        <f t="shared" si="50"/>
        <v>1.2</v>
      </c>
      <c r="AJ115" s="425">
        <f t="shared" si="50"/>
        <v>1.2</v>
      </c>
      <c r="AK115" s="424">
        <f>AK43-AK113-AK114</f>
        <v>0</v>
      </c>
      <c r="AL115" s="425">
        <f>AL43-AL113-AL114</f>
        <v>0</v>
      </c>
      <c r="AM115" s="145"/>
      <c r="AN115" s="145"/>
      <c r="AO115" s="145"/>
    </row>
    <row r="116" spans="1:43">
      <c r="A116" s="327"/>
      <c r="B116" s="419" t="s">
        <v>10</v>
      </c>
      <c r="C116" s="364" t="s">
        <v>111</v>
      </c>
      <c r="D116" s="365" t="s">
        <v>114</v>
      </c>
      <c r="E116" s="385">
        <v>2.7899999999999983</v>
      </c>
      <c r="F116" s="385">
        <v>0.69</v>
      </c>
      <c r="G116" s="426">
        <f>G44-G117-G118-G119-G120-G121-G122-G124-G125-G126-G127-G128-G129-G130-G131</f>
        <v>1.9996938300000009</v>
      </c>
      <c r="H116" s="427">
        <f>H44-H117-H118-H119-H120-H121-H122-H124-H125-H126-H127-H128-H129-H130-H131</f>
        <v>4.1000000000000005</v>
      </c>
      <c r="I116" s="427">
        <f t="shared" ref="I116:X116" si="51">I44-I117-I118-I119-I120-I121-I122-I124-I125-I126-I127-I128-I129-I130-I131</f>
        <v>5.8</v>
      </c>
      <c r="J116" s="427">
        <f t="shared" si="51"/>
        <v>1.7999999999999989</v>
      </c>
      <c r="K116" s="427">
        <f t="shared" si="51"/>
        <v>1.6500000000000021</v>
      </c>
      <c r="L116" s="427">
        <f t="shared" si="51"/>
        <v>2.7800000000000002</v>
      </c>
      <c r="M116" s="427">
        <f t="shared" si="51"/>
        <v>0</v>
      </c>
      <c r="N116" s="427">
        <f t="shared" si="51"/>
        <v>2.0000000000000036</v>
      </c>
      <c r="O116" s="427">
        <f t="shared" si="51"/>
        <v>0</v>
      </c>
      <c r="P116" s="427">
        <f t="shared" si="51"/>
        <v>-2.2204460492503131E-16</v>
      </c>
      <c r="Q116" s="427">
        <f t="shared" si="51"/>
        <v>0.59999999999999898</v>
      </c>
      <c r="R116" s="427">
        <f t="shared" si="51"/>
        <v>0</v>
      </c>
      <c r="S116" s="427">
        <f t="shared" si="51"/>
        <v>4.4408920985006262E-16</v>
      </c>
      <c r="T116" s="427">
        <f t="shared" si="51"/>
        <v>-5.5511151231257827E-17</v>
      </c>
      <c r="U116" s="427">
        <f t="shared" si="51"/>
        <v>0</v>
      </c>
      <c r="V116" s="427">
        <f t="shared" si="51"/>
        <v>0</v>
      </c>
      <c r="W116" s="427">
        <f t="shared" si="51"/>
        <v>0</v>
      </c>
      <c r="X116" s="427">
        <f t="shared" si="51"/>
        <v>0</v>
      </c>
      <c r="Y116" s="338">
        <f>Y44-Y117-Y118-Y119-Y120-Y121-Y122-Y124-Y125-Y126-Y127-Y128-Y129-Y130-Y131-Y123</f>
        <v>0</v>
      </c>
      <c r="Z116" s="339">
        <f t="shared" ref="Z116:AJ116" si="52">Z44-Z117-Z118-Z119-Z120-Z121-Z122-Z124-Z125-Z126-Z127-Z128-Z129-Z130-Z131-Z123</f>
        <v>0</v>
      </c>
      <c r="AA116" s="339">
        <f t="shared" si="52"/>
        <v>0</v>
      </c>
      <c r="AB116" s="339">
        <f t="shared" si="52"/>
        <v>0</v>
      </c>
      <c r="AC116" s="339">
        <f t="shared" si="52"/>
        <v>0</v>
      </c>
      <c r="AD116" s="339">
        <f t="shared" si="52"/>
        <v>0</v>
      </c>
      <c r="AE116" s="339">
        <f t="shared" si="52"/>
        <v>0</v>
      </c>
      <c r="AF116" s="339">
        <f t="shared" si="52"/>
        <v>0</v>
      </c>
      <c r="AG116" s="339">
        <f t="shared" si="52"/>
        <v>0</v>
      </c>
      <c r="AH116" s="339">
        <f t="shared" si="52"/>
        <v>0</v>
      </c>
      <c r="AI116" s="339">
        <f t="shared" si="52"/>
        <v>0</v>
      </c>
      <c r="AJ116" s="339">
        <f t="shared" si="52"/>
        <v>0</v>
      </c>
      <c r="AK116" s="338">
        <f>AK44-AK117-AK118-AK119-AK120-AK121-AK122-AK124-AK125-AK126-AK127-AK128-AK129-AK130-AK131-AK123</f>
        <v>0</v>
      </c>
      <c r="AL116" s="339">
        <f>AL44-AL117-AL118-AL119-AL120-AL121-AL122-AL124-AL125-AL126-AL127-AL128-AL129-AL130-AL131-AL123</f>
        <v>0</v>
      </c>
      <c r="AM116" s="145"/>
      <c r="AN116" s="145"/>
      <c r="AO116" s="145"/>
      <c r="AP116" s="145"/>
      <c r="AQ116" s="145"/>
    </row>
    <row r="117" spans="1:43">
      <c r="A117" s="327"/>
      <c r="B117" s="419" t="s">
        <v>10</v>
      </c>
      <c r="C117" s="364" t="s">
        <v>111</v>
      </c>
      <c r="D117" s="401" t="s">
        <v>143</v>
      </c>
      <c r="E117" s="303">
        <v>7.9961773800000016</v>
      </c>
      <c r="F117" s="303">
        <v>11.397207600000003</v>
      </c>
      <c r="G117" s="303">
        <v>12.68643397</v>
      </c>
      <c r="H117" s="305">
        <v>12</v>
      </c>
      <c r="I117" s="305">
        <v>12.8</v>
      </c>
      <c r="J117" s="305">
        <v>12</v>
      </c>
      <c r="K117" s="344">
        <v>12.499999999999998</v>
      </c>
      <c r="L117" s="344">
        <v>13</v>
      </c>
      <c r="M117" s="304">
        <v>5.59</v>
      </c>
      <c r="N117" s="304">
        <v>1.7200000000000002</v>
      </c>
      <c r="O117" s="304"/>
      <c r="P117" s="304">
        <v>0</v>
      </c>
      <c r="Q117" s="304">
        <v>2.35</v>
      </c>
      <c r="R117" s="304"/>
      <c r="S117" s="305">
        <f>6.6-4</f>
        <v>2.5999999999999996</v>
      </c>
      <c r="T117" s="304">
        <v>0.9</v>
      </c>
      <c r="U117" s="304"/>
      <c r="V117" s="304"/>
      <c r="W117" s="304"/>
      <c r="X117" s="304">
        <v>0.6</v>
      </c>
      <c r="Y117" s="371">
        <v>10.93</v>
      </c>
      <c r="Z117" s="305">
        <v>15</v>
      </c>
      <c r="AA117" s="304"/>
      <c r="AB117" s="304"/>
      <c r="AC117" s="304"/>
      <c r="AD117" s="304"/>
      <c r="AE117" s="304"/>
      <c r="AF117" s="304"/>
      <c r="AG117" s="304"/>
      <c r="AH117" s="304"/>
      <c r="AI117" s="304"/>
      <c r="AJ117" s="304"/>
      <c r="AK117" s="324"/>
      <c r="AL117" s="304"/>
      <c r="AM117" s="167"/>
      <c r="AN117" s="145"/>
      <c r="AO117" s="145"/>
      <c r="AP117" s="145"/>
      <c r="AQ117" s="145"/>
    </row>
    <row r="118" spans="1:43">
      <c r="A118" s="327"/>
      <c r="B118" s="428" t="s">
        <v>10</v>
      </c>
      <c r="C118" s="377" t="s">
        <v>111</v>
      </c>
      <c r="D118" s="378" t="s">
        <v>144</v>
      </c>
      <c r="E118" s="381">
        <v>1.3822620000000001E-2</v>
      </c>
      <c r="F118" s="381">
        <v>1.388581E-2</v>
      </c>
      <c r="G118" s="381">
        <v>1.3872200000000001E-2</v>
      </c>
      <c r="H118" s="381">
        <v>0.2</v>
      </c>
      <c r="I118" s="381">
        <v>0.2</v>
      </c>
      <c r="J118" s="381">
        <v>0</v>
      </c>
      <c r="K118" s="393">
        <v>0.85</v>
      </c>
      <c r="L118" s="393">
        <v>0.42</v>
      </c>
      <c r="M118" s="393">
        <v>0</v>
      </c>
      <c r="N118" s="393">
        <v>0</v>
      </c>
      <c r="O118" s="393">
        <v>0</v>
      </c>
      <c r="P118" s="393">
        <v>0</v>
      </c>
      <c r="Q118" s="393"/>
      <c r="R118" s="393"/>
      <c r="S118" s="393"/>
      <c r="T118" s="393">
        <v>0.3</v>
      </c>
      <c r="U118" s="393"/>
      <c r="V118" s="393"/>
      <c r="W118" s="381"/>
      <c r="X118" s="381"/>
      <c r="Y118" s="380"/>
      <c r="Z118" s="381"/>
      <c r="AA118" s="381"/>
      <c r="AB118" s="381"/>
      <c r="AC118" s="381"/>
      <c r="AD118" s="381"/>
      <c r="AE118" s="381"/>
      <c r="AF118" s="381"/>
      <c r="AG118" s="381"/>
      <c r="AH118" s="381"/>
      <c r="AI118" s="381"/>
      <c r="AJ118" s="381"/>
      <c r="AK118" s="380"/>
      <c r="AL118" s="381"/>
      <c r="AM118" s="167"/>
      <c r="AN118" s="145"/>
      <c r="AO118" s="145"/>
      <c r="AP118" s="145"/>
      <c r="AQ118" s="145"/>
    </row>
    <row r="119" spans="1:43">
      <c r="A119" s="327"/>
      <c r="B119" s="419" t="s">
        <v>10</v>
      </c>
      <c r="C119" s="429" t="s">
        <v>145</v>
      </c>
      <c r="D119" s="365" t="s">
        <v>114</v>
      </c>
      <c r="E119" s="148"/>
      <c r="F119" s="148"/>
      <c r="G119" s="148"/>
      <c r="H119" s="148"/>
      <c r="I119" s="148"/>
      <c r="J119" s="148"/>
      <c r="K119" s="148"/>
      <c r="L119" s="148"/>
      <c r="M119" s="148"/>
      <c r="N119" s="148"/>
      <c r="O119" s="148"/>
      <c r="P119" s="148"/>
      <c r="Q119" s="148"/>
      <c r="R119" s="148"/>
      <c r="S119" s="148"/>
      <c r="T119" s="148"/>
      <c r="U119" s="148"/>
      <c r="V119" s="148"/>
      <c r="W119" s="148"/>
      <c r="X119" s="148"/>
      <c r="Y119" s="375"/>
      <c r="Z119" s="303"/>
      <c r="AA119" s="303"/>
      <c r="AB119" s="303"/>
      <c r="AC119" s="303"/>
      <c r="AD119" s="303"/>
      <c r="AE119" s="303"/>
      <c r="AF119" s="303"/>
      <c r="AG119" s="303"/>
      <c r="AH119" s="303"/>
      <c r="AI119" s="303"/>
      <c r="AJ119" s="303"/>
      <c r="AK119" s="397"/>
      <c r="AL119" s="385"/>
      <c r="AM119" s="167"/>
      <c r="AN119" s="145"/>
      <c r="AO119" s="145"/>
      <c r="AP119" s="145"/>
      <c r="AQ119" s="145"/>
    </row>
    <row r="120" spans="1:43">
      <c r="A120" s="327"/>
      <c r="B120" s="419" t="s">
        <v>10</v>
      </c>
      <c r="C120" s="429" t="s">
        <v>145</v>
      </c>
      <c r="D120" s="401" t="s">
        <v>143</v>
      </c>
      <c r="E120" s="148"/>
      <c r="F120" s="148"/>
      <c r="G120" s="148"/>
      <c r="H120" s="148"/>
      <c r="I120" s="148"/>
      <c r="J120" s="148"/>
      <c r="K120" s="148"/>
      <c r="L120" s="148"/>
      <c r="M120" s="148"/>
      <c r="N120" s="148"/>
      <c r="O120" s="148"/>
      <c r="P120" s="148"/>
      <c r="Q120" s="148"/>
      <c r="R120" s="148"/>
      <c r="S120" s="148"/>
      <c r="T120" s="148"/>
      <c r="U120" s="148"/>
      <c r="V120" s="148"/>
      <c r="W120" s="148"/>
      <c r="X120" s="148"/>
      <c r="Y120" s="375"/>
      <c r="Z120" s="303"/>
      <c r="AA120" s="303"/>
      <c r="AB120" s="303"/>
      <c r="AC120" s="303"/>
      <c r="AD120" s="303"/>
      <c r="AE120" s="303"/>
      <c r="AF120" s="303"/>
      <c r="AG120" s="303"/>
      <c r="AH120" s="303"/>
      <c r="AI120" s="303"/>
      <c r="AJ120" s="303"/>
      <c r="AK120" s="380"/>
      <c r="AL120" s="381"/>
      <c r="AM120" s="167"/>
      <c r="AN120" s="145"/>
      <c r="AO120" s="145"/>
      <c r="AP120" s="145"/>
      <c r="AQ120" s="145"/>
    </row>
    <row r="121" spans="1:43">
      <c r="A121" s="327"/>
      <c r="B121" s="430" t="s">
        <v>10</v>
      </c>
      <c r="C121" s="402" t="s">
        <v>147</v>
      </c>
      <c r="D121" s="384" t="s">
        <v>114</v>
      </c>
      <c r="E121" s="385"/>
      <c r="F121" s="385"/>
      <c r="G121" s="385"/>
      <c r="H121" s="385"/>
      <c r="I121" s="385"/>
      <c r="J121" s="385"/>
      <c r="K121" s="385"/>
      <c r="L121" s="385"/>
      <c r="M121" s="385"/>
      <c r="N121" s="385"/>
      <c r="O121" s="385"/>
      <c r="P121" s="385"/>
      <c r="Q121" s="385"/>
      <c r="R121" s="385"/>
      <c r="S121" s="385"/>
      <c r="T121" s="385"/>
      <c r="U121" s="385"/>
      <c r="V121" s="385"/>
      <c r="W121" s="385"/>
      <c r="X121" s="431"/>
      <c r="Y121" s="397"/>
      <c r="Z121" s="385"/>
      <c r="AA121" s="385"/>
      <c r="AB121" s="385"/>
      <c r="AC121" s="385"/>
      <c r="AD121" s="385"/>
      <c r="AE121" s="385"/>
      <c r="AF121" s="385"/>
      <c r="AG121" s="385"/>
      <c r="AH121" s="385"/>
      <c r="AI121" s="385"/>
      <c r="AJ121" s="385"/>
      <c r="AK121" s="397"/>
      <c r="AL121" s="385"/>
      <c r="AM121" s="167"/>
      <c r="AN121" s="145"/>
      <c r="AO121" s="145"/>
      <c r="AP121" s="145"/>
      <c r="AQ121" s="145"/>
    </row>
    <row r="122" spans="1:43">
      <c r="A122" s="327"/>
      <c r="B122" s="419" t="s">
        <v>10</v>
      </c>
      <c r="C122" s="296" t="s">
        <v>147</v>
      </c>
      <c r="D122" s="401" t="s">
        <v>143</v>
      </c>
      <c r="E122" s="381">
        <v>1.2</v>
      </c>
      <c r="F122" s="381">
        <v>1.2</v>
      </c>
      <c r="G122" s="393">
        <v>0.6</v>
      </c>
      <c r="H122" s="393">
        <v>1.8</v>
      </c>
      <c r="I122" s="432">
        <v>2.4</v>
      </c>
      <c r="J122" s="393">
        <v>1.8</v>
      </c>
      <c r="K122" s="393">
        <v>2.4</v>
      </c>
      <c r="L122" s="393">
        <v>2.4</v>
      </c>
      <c r="M122" s="393">
        <v>4.33</v>
      </c>
      <c r="N122" s="393">
        <v>4.2</v>
      </c>
      <c r="O122" s="394">
        <v>3</v>
      </c>
      <c r="P122" s="394">
        <v>1.8</v>
      </c>
      <c r="Q122" s="393">
        <v>1.8</v>
      </c>
      <c r="R122" s="393"/>
      <c r="S122" s="393">
        <v>1.4</v>
      </c>
      <c r="T122" s="393"/>
      <c r="U122" s="393"/>
      <c r="V122" s="393"/>
      <c r="W122" s="393"/>
      <c r="X122" s="433"/>
      <c r="Y122" s="324">
        <v>3.6</v>
      </c>
      <c r="Z122" s="304"/>
      <c r="AA122" s="304"/>
      <c r="AB122" s="304"/>
      <c r="AC122" s="304"/>
      <c r="AD122" s="304"/>
      <c r="AE122" s="304"/>
      <c r="AF122" s="304"/>
      <c r="AG122" s="304"/>
      <c r="AH122" s="304"/>
      <c r="AI122" s="304"/>
      <c r="AJ122" s="304"/>
      <c r="AK122" s="324"/>
      <c r="AL122" s="304"/>
      <c r="AM122" s="167"/>
      <c r="AN122" s="145"/>
      <c r="AO122" s="145"/>
      <c r="AP122" s="145"/>
      <c r="AQ122" s="145"/>
    </row>
    <row r="123" spans="1:43">
      <c r="A123" s="327"/>
      <c r="B123" s="428" t="s">
        <v>10</v>
      </c>
      <c r="C123" s="403" t="s">
        <v>147</v>
      </c>
      <c r="D123" s="378" t="s">
        <v>144</v>
      </c>
      <c r="E123" s="303"/>
      <c r="F123" s="303"/>
      <c r="G123" s="304"/>
      <c r="H123" s="304"/>
      <c r="I123" s="344"/>
      <c r="J123" s="304"/>
      <c r="K123" s="304"/>
      <c r="L123" s="304"/>
      <c r="M123" s="304"/>
      <c r="N123" s="304"/>
      <c r="O123" s="305"/>
      <c r="P123" s="305"/>
      <c r="Q123" s="304"/>
      <c r="R123" s="304"/>
      <c r="S123" s="304"/>
      <c r="T123" s="304"/>
      <c r="U123" s="304"/>
      <c r="V123" s="304"/>
      <c r="W123" s="304"/>
      <c r="X123" s="434"/>
      <c r="Y123" s="435">
        <v>0.8</v>
      </c>
      <c r="Z123" s="393"/>
      <c r="AA123" s="393"/>
      <c r="AB123" s="393"/>
      <c r="AC123" s="393"/>
      <c r="AD123" s="393"/>
      <c r="AE123" s="393"/>
      <c r="AF123" s="393"/>
      <c r="AG123" s="393"/>
      <c r="AH123" s="393"/>
      <c r="AI123" s="393"/>
      <c r="AJ123" s="393"/>
      <c r="AK123" s="435"/>
      <c r="AL123" s="393"/>
      <c r="AM123" s="167"/>
      <c r="AN123" s="145"/>
      <c r="AO123" s="145"/>
      <c r="AP123" s="145"/>
      <c r="AQ123" s="145"/>
    </row>
    <row r="124" spans="1:43">
      <c r="A124" s="327"/>
      <c r="B124" s="419" t="s">
        <v>10</v>
      </c>
      <c r="C124" s="404" t="s">
        <v>148</v>
      </c>
      <c r="D124" s="365" t="s">
        <v>114</v>
      </c>
      <c r="E124" s="148">
        <v>0</v>
      </c>
      <c r="F124" s="148">
        <v>0.7</v>
      </c>
      <c r="G124" s="148">
        <v>0.7</v>
      </c>
      <c r="H124" s="148">
        <v>0.7</v>
      </c>
      <c r="I124" s="148">
        <v>0</v>
      </c>
      <c r="J124" s="148">
        <v>0</v>
      </c>
      <c r="K124" s="148">
        <v>0</v>
      </c>
      <c r="L124" s="148">
        <v>0.7</v>
      </c>
      <c r="M124" s="148">
        <v>0</v>
      </c>
      <c r="N124" s="148">
        <v>0</v>
      </c>
      <c r="O124" s="367">
        <v>0</v>
      </c>
      <c r="P124" s="148">
        <v>0</v>
      </c>
      <c r="Q124" s="148">
        <v>0</v>
      </c>
      <c r="R124" s="148">
        <v>0</v>
      </c>
      <c r="S124" s="148"/>
      <c r="T124" s="148"/>
      <c r="U124" s="148"/>
      <c r="V124" s="148"/>
      <c r="W124" s="148"/>
      <c r="X124" s="148">
        <v>0</v>
      </c>
      <c r="Y124" s="375"/>
      <c r="Z124" s="303"/>
      <c r="AA124" s="303"/>
      <c r="AB124" s="303"/>
      <c r="AC124" s="303"/>
      <c r="AD124" s="303"/>
      <c r="AE124" s="303"/>
      <c r="AF124" s="303"/>
      <c r="AG124" s="303"/>
      <c r="AH124" s="303"/>
      <c r="AI124" s="303"/>
      <c r="AJ124" s="303"/>
      <c r="AK124" s="397"/>
      <c r="AL124" s="385"/>
      <c r="AM124" s="167"/>
      <c r="AN124" s="145"/>
      <c r="AO124" s="145"/>
      <c r="AP124" s="145"/>
      <c r="AQ124" s="145"/>
    </row>
    <row r="125" spans="1:43">
      <c r="A125" s="327"/>
      <c r="B125" s="419" t="s">
        <v>10</v>
      </c>
      <c r="C125" s="404" t="s">
        <v>148</v>
      </c>
      <c r="D125" s="401" t="s">
        <v>143</v>
      </c>
      <c r="E125" s="148">
        <v>5</v>
      </c>
      <c r="F125" s="148">
        <v>5</v>
      </c>
      <c r="G125" s="148">
        <v>5</v>
      </c>
      <c r="H125" s="148">
        <v>6.2</v>
      </c>
      <c r="I125" s="148">
        <v>3.8</v>
      </c>
      <c r="J125" s="436">
        <v>6.4</v>
      </c>
      <c r="K125" s="436">
        <v>5.6</v>
      </c>
      <c r="L125" s="436">
        <v>5.7</v>
      </c>
      <c r="M125" s="148">
        <v>10.08</v>
      </c>
      <c r="N125" s="148">
        <v>10.079999999999998</v>
      </c>
      <c r="O125" s="367">
        <v>4</v>
      </c>
      <c r="P125" s="148">
        <v>0.20000000000000018</v>
      </c>
      <c r="Q125" s="148">
        <v>1.2500000000000009</v>
      </c>
      <c r="R125" s="148"/>
      <c r="S125" s="148"/>
      <c r="T125" s="148"/>
      <c r="U125" s="148"/>
      <c r="V125" s="148"/>
      <c r="W125" s="367">
        <v>13</v>
      </c>
      <c r="X125" s="367">
        <f>11+3-3</f>
        <v>11</v>
      </c>
      <c r="Y125" s="371">
        <v>3.67</v>
      </c>
      <c r="Z125" s="303"/>
      <c r="AA125" s="303"/>
      <c r="AB125" s="303"/>
      <c r="AC125" s="303"/>
      <c r="AD125" s="303"/>
      <c r="AE125" s="303"/>
      <c r="AF125" s="303"/>
      <c r="AG125" s="303"/>
      <c r="AH125" s="303"/>
      <c r="AI125" s="303"/>
      <c r="AJ125" s="303"/>
      <c r="AK125" s="380"/>
      <c r="AL125" s="381"/>
      <c r="AM125" s="167"/>
      <c r="AN125" s="145"/>
      <c r="AO125" s="145"/>
      <c r="AP125" s="145"/>
      <c r="AQ125" s="145"/>
    </row>
    <row r="126" spans="1:43">
      <c r="A126" s="327"/>
      <c r="B126" s="430" t="s">
        <v>10</v>
      </c>
      <c r="C126" s="407" t="s">
        <v>102</v>
      </c>
      <c r="D126" s="384" t="s">
        <v>114</v>
      </c>
      <c r="E126" s="385"/>
      <c r="F126" s="385"/>
      <c r="G126" s="385"/>
      <c r="H126" s="385"/>
      <c r="I126" s="385"/>
      <c r="J126" s="385"/>
      <c r="K126" s="385"/>
      <c r="L126" s="385"/>
      <c r="M126" s="385"/>
      <c r="N126" s="385"/>
      <c r="O126" s="385"/>
      <c r="P126" s="385"/>
      <c r="Q126" s="385"/>
      <c r="R126" s="385"/>
      <c r="S126" s="385"/>
      <c r="T126" s="385"/>
      <c r="U126" s="385"/>
      <c r="V126" s="385"/>
      <c r="W126" s="385"/>
      <c r="X126" s="385"/>
      <c r="Y126" s="397"/>
      <c r="Z126" s="385"/>
      <c r="AA126" s="385"/>
      <c r="AB126" s="385"/>
      <c r="AC126" s="385"/>
      <c r="AD126" s="385"/>
      <c r="AE126" s="385"/>
      <c r="AF126" s="385"/>
      <c r="AG126" s="385"/>
      <c r="AH126" s="385"/>
      <c r="AI126" s="385"/>
      <c r="AJ126" s="385"/>
      <c r="AK126" s="397"/>
      <c r="AL126" s="385"/>
      <c r="AM126" s="167"/>
      <c r="AN126" s="145"/>
      <c r="AO126" s="145"/>
      <c r="AP126" s="145"/>
      <c r="AQ126" s="145"/>
    </row>
    <row r="127" spans="1:43">
      <c r="A127" s="327"/>
      <c r="B127" s="428" t="s">
        <v>10</v>
      </c>
      <c r="C127" s="408" t="s">
        <v>102</v>
      </c>
      <c r="D127" s="378" t="s">
        <v>143</v>
      </c>
      <c r="E127" s="381"/>
      <c r="F127" s="381"/>
      <c r="G127" s="381"/>
      <c r="H127" s="381"/>
      <c r="I127" s="381"/>
      <c r="J127" s="381"/>
      <c r="K127" s="381"/>
      <c r="L127" s="381"/>
      <c r="M127" s="381"/>
      <c r="N127" s="381"/>
      <c r="O127" s="381"/>
      <c r="P127" s="381"/>
      <c r="Q127" s="381"/>
      <c r="R127" s="381"/>
      <c r="S127" s="381"/>
      <c r="T127" s="381"/>
      <c r="U127" s="381"/>
      <c r="V127" s="381"/>
      <c r="W127" s="381"/>
      <c r="X127" s="381"/>
      <c r="Y127" s="380"/>
      <c r="Z127" s="381"/>
      <c r="AA127" s="381"/>
      <c r="AB127" s="381"/>
      <c r="AC127" s="381"/>
      <c r="AD127" s="381"/>
      <c r="AE127" s="381"/>
      <c r="AF127" s="381"/>
      <c r="AG127" s="381"/>
      <c r="AH127" s="381"/>
      <c r="AI127" s="381"/>
      <c r="AJ127" s="381"/>
      <c r="AK127" s="380"/>
      <c r="AL127" s="381"/>
      <c r="AM127" s="167"/>
      <c r="AN127" s="145"/>
      <c r="AO127" s="145"/>
      <c r="AP127" s="145"/>
      <c r="AQ127" s="145"/>
    </row>
    <row r="128" spans="1:43">
      <c r="A128" s="327"/>
      <c r="B128" s="430" t="s">
        <v>10</v>
      </c>
      <c r="C128" s="407" t="s">
        <v>150</v>
      </c>
      <c r="D128" s="384" t="s">
        <v>114</v>
      </c>
      <c r="E128" s="148"/>
      <c r="F128" s="148"/>
      <c r="G128" s="148"/>
      <c r="H128" s="148"/>
      <c r="I128" s="148"/>
      <c r="J128" s="148"/>
      <c r="K128" s="148"/>
      <c r="L128" s="148"/>
      <c r="M128" s="148"/>
      <c r="N128" s="148"/>
      <c r="O128" s="148"/>
      <c r="P128" s="148"/>
      <c r="Q128" s="148"/>
      <c r="R128" s="148"/>
      <c r="S128" s="148"/>
      <c r="T128" s="148"/>
      <c r="U128" s="148"/>
      <c r="V128" s="148"/>
      <c r="W128" s="148"/>
      <c r="X128" s="148"/>
      <c r="Y128" s="375"/>
      <c r="Z128" s="303"/>
      <c r="AA128" s="303"/>
      <c r="AB128" s="303"/>
      <c r="AC128" s="303"/>
      <c r="AD128" s="303"/>
      <c r="AE128" s="303"/>
      <c r="AF128" s="303"/>
      <c r="AG128" s="303"/>
      <c r="AH128" s="303"/>
      <c r="AI128" s="303"/>
      <c r="AJ128" s="303"/>
      <c r="AK128" s="397"/>
      <c r="AL128" s="385"/>
      <c r="AM128" s="167"/>
      <c r="AN128" s="145"/>
      <c r="AO128" s="145"/>
      <c r="AP128" s="145"/>
      <c r="AQ128" s="145"/>
    </row>
    <row r="129" spans="1:43">
      <c r="A129" s="327"/>
      <c r="B129" s="428" t="s">
        <v>10</v>
      </c>
      <c r="C129" s="408" t="s">
        <v>150</v>
      </c>
      <c r="D129" s="378" t="s">
        <v>143</v>
      </c>
      <c r="E129" s="148"/>
      <c r="F129" s="148"/>
      <c r="G129" s="148"/>
      <c r="H129" s="148"/>
      <c r="I129" s="148"/>
      <c r="J129" s="148"/>
      <c r="K129" s="148"/>
      <c r="L129" s="148"/>
      <c r="M129" s="148"/>
      <c r="N129" s="148"/>
      <c r="O129" s="148"/>
      <c r="P129" s="148"/>
      <c r="Q129" s="148"/>
      <c r="R129" s="148"/>
      <c r="S129" s="148"/>
      <c r="T129" s="148"/>
      <c r="U129" s="148"/>
      <c r="V129" s="148"/>
      <c r="W129" s="148"/>
      <c r="X129" s="148"/>
      <c r="Y129" s="375"/>
      <c r="Z129" s="303"/>
      <c r="AA129" s="303"/>
      <c r="AB129" s="303"/>
      <c r="AC129" s="303"/>
      <c r="AD129" s="303"/>
      <c r="AE129" s="303"/>
      <c r="AF129" s="303"/>
      <c r="AG129" s="303"/>
      <c r="AH129" s="303"/>
      <c r="AI129" s="303"/>
      <c r="AJ129" s="303"/>
      <c r="AK129" s="380"/>
      <c r="AL129" s="381"/>
      <c r="AM129" s="167"/>
      <c r="AN129" s="145"/>
      <c r="AO129" s="145"/>
      <c r="AP129" s="145"/>
      <c r="AQ129" s="145"/>
    </row>
    <row r="130" spans="1:43">
      <c r="A130" s="327"/>
      <c r="B130" s="430" t="s">
        <v>10</v>
      </c>
      <c r="C130" s="410" t="s">
        <v>151</v>
      </c>
      <c r="D130" s="384" t="s">
        <v>114</v>
      </c>
      <c r="E130" s="385"/>
      <c r="F130" s="385"/>
      <c r="G130" s="385"/>
      <c r="H130" s="385"/>
      <c r="I130" s="385"/>
      <c r="J130" s="385"/>
      <c r="K130" s="385"/>
      <c r="L130" s="385"/>
      <c r="M130" s="385"/>
      <c r="N130" s="385"/>
      <c r="O130" s="385"/>
      <c r="P130" s="385"/>
      <c r="Q130" s="385"/>
      <c r="R130" s="385"/>
      <c r="S130" s="385"/>
      <c r="T130" s="385"/>
      <c r="U130" s="385"/>
      <c r="V130" s="385"/>
      <c r="W130" s="385"/>
      <c r="X130" s="385"/>
      <c r="Y130" s="397"/>
      <c r="Z130" s="385"/>
      <c r="AA130" s="385"/>
      <c r="AB130" s="385"/>
      <c r="AC130" s="385"/>
      <c r="AD130" s="385"/>
      <c r="AE130" s="385"/>
      <c r="AF130" s="385"/>
      <c r="AG130" s="385"/>
      <c r="AH130" s="385"/>
      <c r="AI130" s="385"/>
      <c r="AJ130" s="385"/>
      <c r="AK130" s="397"/>
      <c r="AL130" s="385"/>
      <c r="AM130" s="167"/>
      <c r="AN130" s="145"/>
      <c r="AO130" s="145"/>
      <c r="AP130" s="145"/>
      <c r="AQ130" s="145"/>
    </row>
    <row r="131" spans="1:43">
      <c r="A131" s="327"/>
      <c r="B131" s="428" t="s">
        <v>10</v>
      </c>
      <c r="C131" s="410" t="s">
        <v>151</v>
      </c>
      <c r="D131" s="378" t="s">
        <v>143</v>
      </c>
      <c r="E131" s="381"/>
      <c r="F131" s="381"/>
      <c r="G131" s="381"/>
      <c r="H131" s="381"/>
      <c r="I131" s="381"/>
      <c r="J131" s="381"/>
      <c r="K131" s="381"/>
      <c r="L131" s="381"/>
      <c r="M131" s="381"/>
      <c r="N131" s="381"/>
      <c r="O131" s="381"/>
      <c r="P131" s="381"/>
      <c r="Q131" s="381"/>
      <c r="R131" s="381"/>
      <c r="S131" s="381"/>
      <c r="T131" s="381"/>
      <c r="U131" s="381"/>
      <c r="V131" s="381"/>
      <c r="W131" s="381"/>
      <c r="X131" s="381"/>
      <c r="Y131" s="380"/>
      <c r="Z131" s="381"/>
      <c r="AA131" s="381"/>
      <c r="AB131" s="381"/>
      <c r="AC131" s="381"/>
      <c r="AD131" s="381"/>
      <c r="AE131" s="381"/>
      <c r="AF131" s="381"/>
      <c r="AG131" s="381"/>
      <c r="AH131" s="381"/>
      <c r="AI131" s="381"/>
      <c r="AJ131" s="381"/>
      <c r="AK131" s="380"/>
      <c r="AL131" s="381"/>
      <c r="AM131" s="167"/>
      <c r="AN131" s="145"/>
      <c r="AO131" s="145"/>
      <c r="AP131" s="145"/>
      <c r="AQ131" s="145"/>
    </row>
    <row r="132" spans="1:43">
      <c r="A132" s="327"/>
      <c r="B132" s="437" t="s">
        <v>10</v>
      </c>
      <c r="C132" s="411" t="s">
        <v>153</v>
      </c>
      <c r="D132" s="406" t="s">
        <v>143</v>
      </c>
      <c r="E132" s="303"/>
      <c r="F132" s="303"/>
      <c r="G132" s="303"/>
      <c r="H132" s="303"/>
      <c r="I132" s="303"/>
      <c r="J132" s="303"/>
      <c r="K132" s="355"/>
      <c r="L132" s="355"/>
      <c r="M132" s="355"/>
      <c r="N132" s="355"/>
      <c r="O132" s="355"/>
      <c r="P132" s="355"/>
      <c r="Q132" s="355"/>
      <c r="R132" s="355"/>
      <c r="S132" s="355"/>
      <c r="T132" s="355"/>
      <c r="U132" s="355"/>
      <c r="V132" s="355"/>
      <c r="W132" s="355"/>
      <c r="X132" s="355"/>
      <c r="Y132" s="363"/>
      <c r="Z132" s="355"/>
      <c r="AA132" s="355"/>
      <c r="AB132" s="355"/>
      <c r="AC132" s="355"/>
      <c r="AD132" s="355"/>
      <c r="AE132" s="355"/>
      <c r="AF132" s="355"/>
      <c r="AG132" s="355"/>
      <c r="AH132" s="355"/>
      <c r="AI132" s="355"/>
      <c r="AJ132" s="355"/>
      <c r="AK132" s="363"/>
      <c r="AL132" s="355"/>
      <c r="AM132" s="167"/>
      <c r="AN132" s="145"/>
      <c r="AO132" s="145"/>
      <c r="AP132" s="145"/>
      <c r="AQ132" s="145"/>
    </row>
    <row r="133" spans="1:43">
      <c r="A133" s="327"/>
      <c r="B133" s="419" t="s">
        <v>103</v>
      </c>
      <c r="C133" s="364" t="s">
        <v>112</v>
      </c>
      <c r="D133" s="365" t="s">
        <v>114</v>
      </c>
      <c r="E133" s="303"/>
      <c r="F133" s="303"/>
      <c r="G133" s="303"/>
      <c r="H133" s="303"/>
      <c r="I133" s="303"/>
      <c r="J133" s="303"/>
      <c r="K133" s="303"/>
      <c r="L133" s="303"/>
      <c r="M133" s="303"/>
      <c r="N133" s="303"/>
      <c r="O133" s="303"/>
      <c r="P133" s="303"/>
      <c r="Q133" s="303"/>
      <c r="R133" s="303"/>
      <c r="S133" s="303"/>
      <c r="T133" s="303"/>
      <c r="U133" s="303"/>
      <c r="V133" s="303"/>
      <c r="W133" s="303"/>
      <c r="X133" s="303"/>
      <c r="Y133" s="375"/>
      <c r="Z133" s="303">
        <v>0.6</v>
      </c>
      <c r="AA133" s="303"/>
      <c r="AB133" s="303"/>
      <c r="AC133" s="303"/>
      <c r="AD133" s="303"/>
      <c r="AE133" s="303"/>
      <c r="AF133" s="303"/>
      <c r="AG133" s="303"/>
      <c r="AH133" s="303"/>
      <c r="AI133" s="303"/>
      <c r="AJ133" s="303"/>
      <c r="AK133" s="397"/>
      <c r="AL133" s="385"/>
      <c r="AM133" s="167"/>
      <c r="AN133" s="145"/>
      <c r="AO133" s="145"/>
      <c r="AP133" s="145"/>
      <c r="AQ133" s="145"/>
    </row>
    <row r="134" spans="1:43">
      <c r="A134" s="327"/>
      <c r="B134" s="419" t="s">
        <v>103</v>
      </c>
      <c r="C134" s="364" t="s">
        <v>111</v>
      </c>
      <c r="D134" s="438" t="s">
        <v>154</v>
      </c>
      <c r="E134" s="148">
        <f t="shared" ref="E134:K134" si="53">E45</f>
        <v>8.4</v>
      </c>
      <c r="F134" s="148">
        <f t="shared" si="53"/>
        <v>6.2</v>
      </c>
      <c r="G134" s="148">
        <f t="shared" si="53"/>
        <v>7.2</v>
      </c>
      <c r="H134" s="148">
        <f t="shared" si="53"/>
        <v>7.2</v>
      </c>
      <c r="I134" s="148">
        <f t="shared" si="53"/>
        <v>7.4</v>
      </c>
      <c r="J134" s="366">
        <f t="shared" si="53"/>
        <v>6.7</v>
      </c>
      <c r="K134" s="366">
        <f t="shared" si="53"/>
        <v>0</v>
      </c>
      <c r="L134" s="366">
        <f>L45-L136</f>
        <v>3.96</v>
      </c>
      <c r="M134" s="366">
        <v>2.5</v>
      </c>
      <c r="N134" s="366">
        <v>2</v>
      </c>
      <c r="O134" s="366">
        <v>2</v>
      </c>
      <c r="P134" s="366">
        <f>P45-P135-P136</f>
        <v>1.4</v>
      </c>
      <c r="Q134" s="366">
        <f>Q45-Q135-Q136</f>
        <v>0</v>
      </c>
      <c r="R134" s="366">
        <f>R45-R135-R136</f>
        <v>0</v>
      </c>
      <c r="S134" s="439">
        <v>0</v>
      </c>
      <c r="T134" s="366">
        <f>T45-T135-T136</f>
        <v>3</v>
      </c>
      <c r="U134" s="367">
        <f t="shared" ref="U134:AJ134" si="54">U45-U135-U136-U137</f>
        <v>3</v>
      </c>
      <c r="V134" s="366">
        <f t="shared" si="54"/>
        <v>6.7600000000000007</v>
      </c>
      <c r="W134" s="366">
        <f t="shared" si="54"/>
        <v>6.06</v>
      </c>
      <c r="X134" s="366">
        <f t="shared" si="54"/>
        <v>6.07</v>
      </c>
      <c r="Y134" s="338">
        <f t="shared" si="54"/>
        <v>3.5399999999999991</v>
      </c>
      <c r="Z134" s="339">
        <f>Z45-Z135-Z136-Z137-Z133</f>
        <v>1.9999999999999996</v>
      </c>
      <c r="AA134" s="339">
        <f t="shared" si="54"/>
        <v>1.5599999999999996</v>
      </c>
      <c r="AB134" s="339">
        <f t="shared" si="54"/>
        <v>1.5599999999999996</v>
      </c>
      <c r="AC134" s="339">
        <f t="shared" si="54"/>
        <v>2.0000000000000004</v>
      </c>
      <c r="AD134" s="339">
        <f t="shared" si="54"/>
        <v>2.4300000000000002</v>
      </c>
      <c r="AE134" s="339">
        <f t="shared" si="54"/>
        <v>2.65</v>
      </c>
      <c r="AF134" s="339">
        <f t="shared" si="54"/>
        <v>2.65</v>
      </c>
      <c r="AG134" s="339">
        <f t="shared" si="54"/>
        <v>1.9999999999999996</v>
      </c>
      <c r="AH134" s="339">
        <f t="shared" si="54"/>
        <v>1.9999999999999996</v>
      </c>
      <c r="AI134" s="339">
        <f t="shared" si="54"/>
        <v>1.9999999999999996</v>
      </c>
      <c r="AJ134" s="339">
        <f t="shared" si="54"/>
        <v>1.9999999999999996</v>
      </c>
      <c r="AK134" s="338">
        <f>AK45-AK135-AK136-AK137</f>
        <v>1.9999999999999996</v>
      </c>
      <c r="AL134" s="339">
        <f>AL45-AL135-AL136-AL137</f>
        <v>2.36</v>
      </c>
      <c r="AM134" s="167"/>
      <c r="AN134" s="145"/>
      <c r="AO134" s="145"/>
      <c r="AP134" s="145"/>
      <c r="AQ134" s="145"/>
    </row>
    <row r="135" spans="1:43">
      <c r="A135" s="327"/>
      <c r="B135" s="419" t="s">
        <v>103</v>
      </c>
      <c r="C135" s="296" t="s">
        <v>147</v>
      </c>
      <c r="D135" s="440" t="s">
        <v>154</v>
      </c>
      <c r="E135" s="148"/>
      <c r="F135" s="148"/>
      <c r="G135" s="148"/>
      <c r="H135" s="148"/>
      <c r="I135" s="148"/>
      <c r="J135" s="366"/>
      <c r="K135" s="366"/>
      <c r="L135" s="366"/>
      <c r="M135" s="366"/>
      <c r="N135" s="366"/>
      <c r="O135" s="366"/>
      <c r="P135" s="366">
        <v>0</v>
      </c>
      <c r="Q135" s="369">
        <v>0</v>
      </c>
      <c r="R135" s="369">
        <v>0</v>
      </c>
      <c r="S135" s="439">
        <v>0</v>
      </c>
      <c r="T135" s="369">
        <v>0</v>
      </c>
      <c r="U135" s="369">
        <v>0</v>
      </c>
      <c r="V135" s="369">
        <v>0</v>
      </c>
      <c r="W135" s="369">
        <v>0</v>
      </c>
      <c r="X135" s="369">
        <v>0</v>
      </c>
      <c r="Y135" s="324">
        <v>0</v>
      </c>
      <c r="Z135" s="304"/>
      <c r="AA135" s="304"/>
      <c r="AB135" s="304"/>
      <c r="AC135" s="304"/>
      <c r="AD135" s="304"/>
      <c r="AE135" s="304"/>
      <c r="AF135" s="304"/>
      <c r="AG135" s="304"/>
      <c r="AH135" s="304"/>
      <c r="AI135" s="304"/>
      <c r="AJ135" s="304"/>
      <c r="AK135" s="324"/>
      <c r="AL135" s="304"/>
      <c r="AM135" s="167"/>
      <c r="AN135" s="145"/>
      <c r="AO135" s="145"/>
      <c r="AP135" s="145"/>
      <c r="AQ135" s="145"/>
    </row>
    <row r="136" spans="1:43">
      <c r="A136" s="327"/>
      <c r="B136" s="419" t="s">
        <v>103</v>
      </c>
      <c r="C136" s="404" t="s">
        <v>148</v>
      </c>
      <c r="D136" s="440" t="s">
        <v>154</v>
      </c>
      <c r="E136" s="148"/>
      <c r="F136" s="148"/>
      <c r="G136" s="148"/>
      <c r="H136" s="148"/>
      <c r="I136" s="148"/>
      <c r="J136" s="148"/>
      <c r="K136" s="148"/>
      <c r="L136" s="148">
        <v>0</v>
      </c>
      <c r="M136" s="148">
        <f>M45-M134</f>
        <v>3.87</v>
      </c>
      <c r="N136" s="148">
        <f>N45-N134</f>
        <v>4.0999999999999996</v>
      </c>
      <c r="O136" s="367">
        <v>3.73</v>
      </c>
      <c r="P136" s="367">
        <v>2.9</v>
      </c>
      <c r="Q136" s="369">
        <v>3</v>
      </c>
      <c r="R136" s="367">
        <v>3</v>
      </c>
      <c r="S136" s="366">
        <f>S45-S134-S135</f>
        <v>3.5</v>
      </c>
      <c r="T136" s="369">
        <v>0</v>
      </c>
      <c r="U136" s="369">
        <v>0.6</v>
      </c>
      <c r="V136" s="369">
        <v>0</v>
      </c>
      <c r="W136" s="369">
        <v>0</v>
      </c>
      <c r="X136" s="369">
        <v>0.6</v>
      </c>
      <c r="Y136" s="371">
        <v>4.83</v>
      </c>
      <c r="Z136" s="304">
        <v>4.4800000000000004</v>
      </c>
      <c r="AA136" s="304">
        <v>5.07</v>
      </c>
      <c r="AB136" s="304">
        <v>5.07</v>
      </c>
      <c r="AC136" s="304">
        <v>3.78</v>
      </c>
      <c r="AD136" s="304">
        <v>3.47</v>
      </c>
      <c r="AE136" s="304">
        <v>3.47</v>
      </c>
      <c r="AF136" s="304">
        <v>3.47</v>
      </c>
      <c r="AG136" s="304">
        <v>3.47</v>
      </c>
      <c r="AH136" s="304">
        <v>3.47</v>
      </c>
      <c r="AI136" s="304">
        <v>3.47</v>
      </c>
      <c r="AJ136" s="304">
        <v>3.47</v>
      </c>
      <c r="AK136" s="324">
        <v>3.47</v>
      </c>
      <c r="AL136" s="304">
        <v>3.47</v>
      </c>
      <c r="AM136" s="167"/>
      <c r="AN136" s="167"/>
      <c r="AO136" s="145"/>
      <c r="AP136" s="145"/>
      <c r="AQ136" s="145"/>
    </row>
    <row r="137" spans="1:43">
      <c r="A137" s="327"/>
      <c r="B137" s="419" t="s">
        <v>103</v>
      </c>
      <c r="C137" s="400" t="s">
        <v>150</v>
      </c>
      <c r="D137" s="440" t="s">
        <v>154</v>
      </c>
      <c r="E137" s="148"/>
      <c r="F137" s="148"/>
      <c r="G137" s="148"/>
      <c r="H137" s="148"/>
      <c r="I137" s="148"/>
      <c r="J137" s="148"/>
      <c r="K137" s="148"/>
      <c r="L137" s="148"/>
      <c r="M137" s="148"/>
      <c r="N137" s="148"/>
      <c r="O137" s="367"/>
      <c r="P137" s="367"/>
      <c r="Q137" s="369"/>
      <c r="R137" s="367"/>
      <c r="S137" s="366"/>
      <c r="T137" s="369"/>
      <c r="U137" s="369">
        <v>0</v>
      </c>
      <c r="V137" s="369">
        <v>0</v>
      </c>
      <c r="W137" s="369">
        <v>0</v>
      </c>
      <c r="X137" s="369">
        <v>0</v>
      </c>
      <c r="Y137" s="324">
        <v>0</v>
      </c>
      <c r="Z137" s="304"/>
      <c r="AA137" s="304"/>
      <c r="AB137" s="304"/>
      <c r="AC137" s="304"/>
      <c r="AD137" s="304"/>
      <c r="AE137" s="304"/>
      <c r="AF137" s="304"/>
      <c r="AG137" s="304"/>
      <c r="AH137" s="304"/>
      <c r="AI137" s="304"/>
      <c r="AJ137" s="304"/>
      <c r="AK137" s="435"/>
      <c r="AL137" s="393"/>
      <c r="AM137" s="167"/>
      <c r="AN137" s="167"/>
      <c r="AO137" s="145"/>
      <c r="AP137" s="145"/>
      <c r="AQ137" s="145"/>
    </row>
    <row r="138" spans="1:43">
      <c r="A138" s="327"/>
      <c r="B138" s="437" t="s">
        <v>155</v>
      </c>
      <c r="C138" s="353" t="s">
        <v>111</v>
      </c>
      <c r="D138" s="441" t="s">
        <v>156</v>
      </c>
      <c r="E138" s="355">
        <f t="shared" ref="E138:AJ139" si="55">E46</f>
        <v>5.89</v>
      </c>
      <c r="F138" s="355">
        <f t="shared" si="55"/>
        <v>6.22</v>
      </c>
      <c r="G138" s="355">
        <f t="shared" si="55"/>
        <v>5.89</v>
      </c>
      <c r="H138" s="355">
        <f t="shared" si="55"/>
        <v>6.05</v>
      </c>
      <c r="I138" s="355">
        <f t="shared" si="55"/>
        <v>5.85</v>
      </c>
      <c r="J138" s="442">
        <f t="shared" si="55"/>
        <v>6.05</v>
      </c>
      <c r="K138" s="442">
        <f t="shared" si="55"/>
        <v>6.7</v>
      </c>
      <c r="L138" s="442">
        <f t="shared" si="55"/>
        <v>6.05</v>
      </c>
      <c r="M138" s="442">
        <f t="shared" si="55"/>
        <v>6.2</v>
      </c>
      <c r="N138" s="442">
        <f t="shared" si="55"/>
        <v>5.66</v>
      </c>
      <c r="O138" s="442">
        <f t="shared" si="55"/>
        <v>6.0449999999999999</v>
      </c>
      <c r="P138" s="442">
        <f t="shared" si="55"/>
        <v>5.85</v>
      </c>
      <c r="Q138" s="442">
        <f t="shared" si="55"/>
        <v>4.5999999999999996</v>
      </c>
      <c r="R138" s="356">
        <f t="shared" si="55"/>
        <v>5.7</v>
      </c>
      <c r="S138" s="442">
        <f t="shared" si="55"/>
        <v>5.7</v>
      </c>
      <c r="T138" s="442">
        <f t="shared" si="55"/>
        <v>5.68</v>
      </c>
      <c r="U138" s="442">
        <f t="shared" si="55"/>
        <v>5.4</v>
      </c>
      <c r="V138" s="442">
        <f t="shared" si="55"/>
        <v>5.8</v>
      </c>
      <c r="W138" s="442">
        <f t="shared" si="55"/>
        <v>5.4</v>
      </c>
      <c r="X138" s="442">
        <f t="shared" si="55"/>
        <v>5.58</v>
      </c>
      <c r="Y138" s="443">
        <f t="shared" si="55"/>
        <v>5.4870000000000001</v>
      </c>
      <c r="Z138" s="442">
        <f t="shared" si="55"/>
        <v>5.32</v>
      </c>
      <c r="AA138" s="442">
        <f t="shared" si="55"/>
        <v>5.74</v>
      </c>
      <c r="AB138" s="442">
        <f t="shared" si="55"/>
        <v>5.7</v>
      </c>
      <c r="AC138" s="442">
        <f t="shared" si="55"/>
        <v>5.74</v>
      </c>
      <c r="AD138" s="442">
        <f t="shared" si="55"/>
        <v>5.7</v>
      </c>
      <c r="AE138" s="442">
        <f t="shared" si="55"/>
        <v>5.83</v>
      </c>
      <c r="AF138" s="442">
        <f t="shared" si="55"/>
        <v>5.83</v>
      </c>
      <c r="AG138" s="442">
        <f t="shared" si="55"/>
        <v>5.83</v>
      </c>
      <c r="AH138" s="442">
        <f t="shared" si="55"/>
        <v>5.83</v>
      </c>
      <c r="AI138" s="442">
        <f t="shared" si="55"/>
        <v>5.83</v>
      </c>
      <c r="AJ138" s="442">
        <f t="shared" si="55"/>
        <v>5.83</v>
      </c>
      <c r="AK138" s="443">
        <f>AK46</f>
        <v>5.7</v>
      </c>
      <c r="AL138" s="442">
        <f>AL46</f>
        <v>5.7</v>
      </c>
      <c r="AM138" s="167"/>
      <c r="AN138" s="167"/>
      <c r="AO138" s="145"/>
      <c r="AP138" s="145"/>
      <c r="AQ138" s="145"/>
    </row>
    <row r="139" spans="1:43" ht="15" thickBot="1">
      <c r="A139" s="444"/>
      <c r="B139" s="445" t="s">
        <v>105</v>
      </c>
      <c r="C139" s="446" t="s">
        <v>111</v>
      </c>
      <c r="D139" s="447" t="s">
        <v>105</v>
      </c>
      <c r="E139" s="448">
        <f t="shared" si="55"/>
        <v>15.6</v>
      </c>
      <c r="F139" s="448">
        <f t="shared" si="55"/>
        <v>16.100000000000001</v>
      </c>
      <c r="G139" s="448">
        <f t="shared" si="55"/>
        <v>16.027000000000001</v>
      </c>
      <c r="H139" s="448">
        <f t="shared" si="55"/>
        <v>14</v>
      </c>
      <c r="I139" s="448">
        <f t="shared" si="55"/>
        <v>15.45</v>
      </c>
      <c r="J139" s="350">
        <f t="shared" si="55"/>
        <v>10.85</v>
      </c>
      <c r="K139" s="350">
        <f t="shared" si="55"/>
        <v>13.15</v>
      </c>
      <c r="L139" s="350">
        <f t="shared" si="55"/>
        <v>13.26</v>
      </c>
      <c r="M139" s="350">
        <f t="shared" si="55"/>
        <v>17</v>
      </c>
      <c r="N139" s="350">
        <f t="shared" si="55"/>
        <v>17.5</v>
      </c>
      <c r="O139" s="350">
        <f t="shared" si="55"/>
        <v>15</v>
      </c>
      <c r="P139" s="350">
        <f t="shared" si="55"/>
        <v>16.5</v>
      </c>
      <c r="Q139" s="350">
        <f t="shared" si="55"/>
        <v>15</v>
      </c>
      <c r="R139" s="350">
        <f t="shared" si="55"/>
        <v>14.5</v>
      </c>
      <c r="S139" s="350">
        <f t="shared" si="55"/>
        <v>15.5</v>
      </c>
      <c r="T139" s="350">
        <f t="shared" si="55"/>
        <v>13.04</v>
      </c>
      <c r="U139" s="350">
        <f t="shared" si="55"/>
        <v>17.2</v>
      </c>
      <c r="V139" s="350">
        <f t="shared" si="55"/>
        <v>15.83</v>
      </c>
      <c r="W139" s="350">
        <f t="shared" si="55"/>
        <v>16.2</v>
      </c>
      <c r="X139" s="350">
        <f t="shared" si="55"/>
        <v>15.4</v>
      </c>
      <c r="Y139" s="349">
        <f t="shared" si="55"/>
        <v>11</v>
      </c>
      <c r="Z139" s="350">
        <f t="shared" si="55"/>
        <v>6.72</v>
      </c>
      <c r="AA139" s="350">
        <f t="shared" si="55"/>
        <v>15.56</v>
      </c>
      <c r="AB139" s="350">
        <f t="shared" si="55"/>
        <v>15</v>
      </c>
      <c r="AC139" s="350">
        <f t="shared" si="55"/>
        <v>15.5</v>
      </c>
      <c r="AD139" s="350">
        <f t="shared" si="55"/>
        <v>15</v>
      </c>
      <c r="AE139" s="350">
        <f t="shared" si="55"/>
        <v>9.41</v>
      </c>
      <c r="AF139" s="350">
        <f t="shared" si="55"/>
        <v>13.19</v>
      </c>
      <c r="AG139" s="350">
        <f t="shared" si="55"/>
        <v>15</v>
      </c>
      <c r="AH139" s="350">
        <f t="shared" si="55"/>
        <v>15.5</v>
      </c>
      <c r="AI139" s="350">
        <f t="shared" si="55"/>
        <v>15</v>
      </c>
      <c r="AJ139" s="350">
        <f t="shared" si="55"/>
        <v>15.08</v>
      </c>
      <c r="AK139" s="349">
        <f>AK47</f>
        <v>14.87</v>
      </c>
      <c r="AL139" s="350">
        <f>AL47</f>
        <v>14</v>
      </c>
      <c r="AM139" s="167"/>
      <c r="AN139" s="167"/>
      <c r="AO139" s="145"/>
      <c r="AP139" s="145"/>
      <c r="AQ139" s="145"/>
    </row>
    <row r="140" spans="1:43" s="145" customFormat="1" ht="24" thickBot="1">
      <c r="A140" s="147" t="s">
        <v>6</v>
      </c>
      <c r="B140" s="144"/>
      <c r="L140" s="211"/>
      <c r="M140" s="211"/>
      <c r="N140" s="211"/>
      <c r="O140" s="211"/>
      <c r="P140" s="211"/>
      <c r="Q140" s="449"/>
      <c r="R140" s="449"/>
      <c r="S140" s="449"/>
      <c r="T140" s="449"/>
      <c r="U140" s="449">
        <f>U144-U86-U87</f>
        <v>214.74000000000004</v>
      </c>
      <c r="V140" s="449"/>
      <c r="W140" s="449"/>
      <c r="X140" s="449"/>
      <c r="Y140" s="449"/>
      <c r="Z140" s="449"/>
      <c r="AA140" s="449"/>
      <c r="AB140" s="449"/>
      <c r="AC140" s="449"/>
      <c r="AD140" s="449"/>
      <c r="AE140" s="449"/>
      <c r="AF140" s="449"/>
      <c r="AG140" s="449"/>
      <c r="AH140" s="449"/>
      <c r="AI140" s="449"/>
      <c r="AJ140" s="449"/>
      <c r="AK140" s="449"/>
      <c r="AL140" s="449"/>
      <c r="AM140" s="167"/>
      <c r="AN140" s="167"/>
    </row>
    <row r="141" spans="1:43">
      <c r="A141" s="450" t="s">
        <v>157</v>
      </c>
      <c r="B141" s="413" t="s">
        <v>35</v>
      </c>
      <c r="C141" s="162" t="s">
        <v>130</v>
      </c>
      <c r="D141" s="415" t="s">
        <v>35</v>
      </c>
      <c r="E141" s="360">
        <f>E142+E143</f>
        <v>153.96899999999999</v>
      </c>
      <c r="F141" s="360">
        <f>F142+F143</f>
        <v>125.907</v>
      </c>
      <c r="G141" s="451">
        <f>G142+G143</f>
        <v>143.33699999999999</v>
      </c>
      <c r="H141" s="451">
        <f>H142+H143</f>
        <v>137.83699999999999</v>
      </c>
      <c r="I141" s="451">
        <f t="shared" ref="I141:Q141" si="56">I142+I143</f>
        <v>127.547</v>
      </c>
      <c r="J141" s="451">
        <f t="shared" si="56"/>
        <v>134.31700000000001</v>
      </c>
      <c r="K141" s="451">
        <f t="shared" si="56"/>
        <v>133.44200000000001</v>
      </c>
      <c r="L141" s="451">
        <f t="shared" si="56"/>
        <v>127.133</v>
      </c>
      <c r="M141" s="451">
        <f t="shared" si="56"/>
        <v>109.81</v>
      </c>
      <c r="N141" s="451">
        <f t="shared" si="56"/>
        <v>84.705999999999989</v>
      </c>
      <c r="O141" s="451">
        <f t="shared" si="56"/>
        <v>119.328</v>
      </c>
      <c r="P141" s="451">
        <f t="shared" si="56"/>
        <v>121.05</v>
      </c>
      <c r="Q141" s="451">
        <f t="shared" si="56"/>
        <v>73.457999999999998</v>
      </c>
      <c r="R141" s="451">
        <f>R142+R143</f>
        <v>99.144000000000005</v>
      </c>
      <c r="S141" s="451">
        <f t="shared" ref="S141:AL141" si="57">S142+S143</f>
        <v>95.72999999999999</v>
      </c>
      <c r="T141" s="451">
        <f t="shared" si="57"/>
        <v>108.71236263736263</v>
      </c>
      <c r="U141" s="451">
        <f t="shared" si="57"/>
        <v>94.41</v>
      </c>
      <c r="V141" s="451">
        <f t="shared" si="57"/>
        <v>97.06</v>
      </c>
      <c r="W141" s="451">
        <f t="shared" si="57"/>
        <v>100.8</v>
      </c>
      <c r="X141" s="451">
        <f t="shared" si="57"/>
        <v>112.874</v>
      </c>
      <c r="Y141" s="451">
        <f t="shared" si="57"/>
        <v>114.867</v>
      </c>
      <c r="Z141" s="451">
        <f t="shared" si="57"/>
        <v>116.17599999999999</v>
      </c>
      <c r="AA141" s="451">
        <f t="shared" si="57"/>
        <v>120.41600000000001</v>
      </c>
      <c r="AB141" s="451">
        <f t="shared" si="57"/>
        <v>155.47899999999998</v>
      </c>
      <c r="AC141" s="451">
        <f t="shared" si="57"/>
        <v>152.02199999999999</v>
      </c>
      <c r="AD141" s="451">
        <f t="shared" si="57"/>
        <v>149.53899999999999</v>
      </c>
      <c r="AE141" s="451">
        <f t="shared" si="57"/>
        <v>142.37890085933702</v>
      </c>
      <c r="AF141" s="451">
        <f t="shared" si="57"/>
        <v>114.88300000000001</v>
      </c>
      <c r="AG141" s="451">
        <f t="shared" si="57"/>
        <v>121.74299999999999</v>
      </c>
      <c r="AH141" s="451">
        <f t="shared" si="57"/>
        <v>114.977</v>
      </c>
      <c r="AI141" s="451">
        <f t="shared" si="57"/>
        <v>89.937999999999988</v>
      </c>
      <c r="AJ141" s="451">
        <f t="shared" si="57"/>
        <v>126.29499999999999</v>
      </c>
      <c r="AK141" s="451">
        <f t="shared" si="57"/>
        <v>123.636</v>
      </c>
      <c r="AL141" s="451">
        <f t="shared" si="57"/>
        <v>123.636</v>
      </c>
      <c r="AM141" s="167"/>
      <c r="AN141" s="191">
        <f>SUM(Y141:AJ141)</f>
        <v>1518.7139008593372</v>
      </c>
      <c r="AO141" s="145"/>
      <c r="AP141" s="145"/>
      <c r="AQ141" s="145"/>
    </row>
    <row r="142" spans="1:43">
      <c r="A142" s="452" t="s">
        <v>158</v>
      </c>
      <c r="B142" s="419" t="s">
        <v>35</v>
      </c>
      <c r="C142" s="171" t="s">
        <v>159</v>
      </c>
      <c r="D142" s="420" t="s">
        <v>35</v>
      </c>
      <c r="E142" s="303">
        <f>E76+E82</f>
        <v>120.66</v>
      </c>
      <c r="F142" s="303">
        <f>F76+F82</f>
        <v>113</v>
      </c>
      <c r="G142" s="303">
        <f>G76+G82</f>
        <v>87</v>
      </c>
      <c r="H142" s="303">
        <f>H76+H82</f>
        <v>81</v>
      </c>
      <c r="I142" s="303">
        <f t="shared" ref="I142:X142" si="58">I76+I80+I82</f>
        <v>70</v>
      </c>
      <c r="J142" s="303">
        <f t="shared" si="58"/>
        <v>69</v>
      </c>
      <c r="K142" s="303">
        <f t="shared" si="58"/>
        <v>71</v>
      </c>
      <c r="L142" s="303">
        <f t="shared" si="58"/>
        <v>78.5</v>
      </c>
      <c r="M142" s="303">
        <f t="shared" si="58"/>
        <v>59</v>
      </c>
      <c r="N142" s="303">
        <f t="shared" si="58"/>
        <v>34</v>
      </c>
      <c r="O142" s="303">
        <f t="shared" si="58"/>
        <v>76</v>
      </c>
      <c r="P142" s="303">
        <f t="shared" si="58"/>
        <v>76.5</v>
      </c>
      <c r="Q142" s="303">
        <f t="shared" si="58"/>
        <v>43.5</v>
      </c>
      <c r="R142" s="303">
        <f t="shared" si="58"/>
        <v>55.5</v>
      </c>
      <c r="S142" s="303">
        <f t="shared" si="58"/>
        <v>47.93</v>
      </c>
      <c r="T142" s="303">
        <f t="shared" si="58"/>
        <v>56.379999999999995</v>
      </c>
      <c r="U142" s="303">
        <f t="shared" si="58"/>
        <v>42.91</v>
      </c>
      <c r="V142" s="303">
        <f t="shared" si="58"/>
        <v>43</v>
      </c>
      <c r="W142" s="303">
        <f t="shared" si="58"/>
        <v>48.4</v>
      </c>
      <c r="X142" s="303">
        <f t="shared" si="58"/>
        <v>58.5</v>
      </c>
      <c r="Y142" s="303">
        <f>Y76+Y80+Y81+Y82+Y74</f>
        <v>56.42</v>
      </c>
      <c r="Z142" s="303">
        <f t="shared" ref="Z142:AJ142" si="59">Z76+Z80+Z81+Z82+Z74</f>
        <v>66.66</v>
      </c>
      <c r="AA142" s="303">
        <f t="shared" si="59"/>
        <v>64.62</v>
      </c>
      <c r="AB142" s="303">
        <f t="shared" si="59"/>
        <v>101.483</v>
      </c>
      <c r="AC142" s="303">
        <f t="shared" si="59"/>
        <v>95.605999999999995</v>
      </c>
      <c r="AD142" s="303">
        <f t="shared" si="59"/>
        <v>95.703000000000003</v>
      </c>
      <c r="AE142" s="303">
        <f t="shared" si="59"/>
        <v>114.78200000000001</v>
      </c>
      <c r="AF142" s="303">
        <f t="shared" si="59"/>
        <v>68.959000000000003</v>
      </c>
      <c r="AG142" s="303">
        <f t="shared" si="59"/>
        <v>66.998999999999995</v>
      </c>
      <c r="AH142" s="303">
        <f t="shared" si="59"/>
        <v>73.019000000000005</v>
      </c>
      <c r="AI142" s="303">
        <f t="shared" si="59"/>
        <v>67.278999999999996</v>
      </c>
      <c r="AJ142" s="303">
        <f t="shared" si="59"/>
        <v>69.878999999999991</v>
      </c>
      <c r="AK142" s="303">
        <f>AK76+AK80+AK81+AK82+AK74</f>
        <v>67.22</v>
      </c>
      <c r="AL142" s="303">
        <f>AL76+AL80+AL81+AL82+AL74</f>
        <v>67.22</v>
      </c>
      <c r="AM142" s="167"/>
      <c r="AN142" s="167"/>
      <c r="AO142" s="145"/>
      <c r="AP142" s="145"/>
      <c r="AQ142" s="145"/>
    </row>
    <row r="143" spans="1:43" ht="15" thickBot="1">
      <c r="A143" s="452" t="s">
        <v>160</v>
      </c>
      <c r="B143" s="419" t="s">
        <v>35</v>
      </c>
      <c r="C143" s="171" t="s">
        <v>161</v>
      </c>
      <c r="D143" s="420" t="s">
        <v>35</v>
      </c>
      <c r="E143" s="303">
        <f t="shared" ref="E143:AJ143" si="60">E83+E84</f>
        <v>33.308999999999997</v>
      </c>
      <c r="F143" s="303">
        <f t="shared" si="60"/>
        <v>12.907</v>
      </c>
      <c r="G143" s="303">
        <f t="shared" si="60"/>
        <v>56.337000000000003</v>
      </c>
      <c r="H143" s="303">
        <f t="shared" si="60"/>
        <v>56.837000000000003</v>
      </c>
      <c r="I143" s="303">
        <f t="shared" si="60"/>
        <v>57.546999999999997</v>
      </c>
      <c r="J143" s="303">
        <f t="shared" si="60"/>
        <v>65.316999999999993</v>
      </c>
      <c r="K143" s="303">
        <f t="shared" si="60"/>
        <v>62.442</v>
      </c>
      <c r="L143" s="303">
        <f t="shared" si="60"/>
        <v>48.632999999999996</v>
      </c>
      <c r="M143" s="303">
        <f t="shared" si="60"/>
        <v>50.81</v>
      </c>
      <c r="N143" s="303">
        <f t="shared" si="60"/>
        <v>50.705999999999996</v>
      </c>
      <c r="O143" s="303">
        <f t="shared" si="60"/>
        <v>43.327999999999996</v>
      </c>
      <c r="P143" s="303">
        <f t="shared" si="60"/>
        <v>44.55</v>
      </c>
      <c r="Q143" s="303">
        <f t="shared" si="60"/>
        <v>29.957999999999998</v>
      </c>
      <c r="R143" s="303">
        <f t="shared" si="60"/>
        <v>43.643999999999998</v>
      </c>
      <c r="S143" s="303">
        <f t="shared" si="60"/>
        <v>47.8</v>
      </c>
      <c r="T143" s="303">
        <f t="shared" si="60"/>
        <v>52.332362637362635</v>
      </c>
      <c r="U143" s="303">
        <f t="shared" si="60"/>
        <v>51.5</v>
      </c>
      <c r="V143" s="303">
        <f t="shared" si="60"/>
        <v>54.06</v>
      </c>
      <c r="W143" s="303">
        <f t="shared" si="60"/>
        <v>52.4</v>
      </c>
      <c r="X143" s="303">
        <f t="shared" si="60"/>
        <v>54.373999999999995</v>
      </c>
      <c r="Y143" s="303">
        <f t="shared" si="60"/>
        <v>58.447000000000003</v>
      </c>
      <c r="Z143" s="303">
        <f t="shared" si="60"/>
        <v>49.515999999999998</v>
      </c>
      <c r="AA143" s="303">
        <f t="shared" si="60"/>
        <v>55.796000000000006</v>
      </c>
      <c r="AB143" s="303">
        <f t="shared" si="60"/>
        <v>53.995999999999995</v>
      </c>
      <c r="AC143" s="303">
        <f t="shared" si="60"/>
        <v>56.415999999999997</v>
      </c>
      <c r="AD143" s="303">
        <f t="shared" si="60"/>
        <v>53.835999999999999</v>
      </c>
      <c r="AE143" s="303">
        <f t="shared" si="60"/>
        <v>27.596900859336998</v>
      </c>
      <c r="AF143" s="303">
        <f t="shared" si="60"/>
        <v>45.923999999999999</v>
      </c>
      <c r="AG143" s="303">
        <f t="shared" si="60"/>
        <v>54.744</v>
      </c>
      <c r="AH143" s="303">
        <f t="shared" si="60"/>
        <v>41.957999999999998</v>
      </c>
      <c r="AI143" s="303">
        <f t="shared" si="60"/>
        <v>22.658999999999999</v>
      </c>
      <c r="AJ143" s="303">
        <f t="shared" si="60"/>
        <v>56.415999999999997</v>
      </c>
      <c r="AK143" s="303">
        <f>AK83+AK84</f>
        <v>56.415999999999997</v>
      </c>
      <c r="AL143" s="303">
        <f>AL83+AL84</f>
        <v>56.415999999999997</v>
      </c>
      <c r="AM143" s="167"/>
      <c r="AN143" s="167"/>
      <c r="AO143" s="145"/>
      <c r="AP143" s="145"/>
      <c r="AQ143" s="145"/>
    </row>
    <row r="144" spans="1:43" s="145" customFormat="1">
      <c r="A144" s="453" t="s">
        <v>162</v>
      </c>
      <c r="B144" s="454" t="s">
        <v>163</v>
      </c>
      <c r="C144" s="454" t="s">
        <v>164</v>
      </c>
      <c r="D144" s="455" t="s">
        <v>165</v>
      </c>
      <c r="E144" s="148"/>
      <c r="F144" s="148"/>
      <c r="G144" s="451"/>
      <c r="H144" s="451"/>
      <c r="I144" s="451">
        <f t="shared" ref="I144:AJ144" si="61">SUM(I86:I139)</f>
        <v>242.43</v>
      </c>
      <c r="J144" s="451">
        <f t="shared" si="61"/>
        <v>240.08403429999998</v>
      </c>
      <c r="K144" s="451">
        <f t="shared" si="61"/>
        <v>242.04816493999996</v>
      </c>
      <c r="L144" s="451">
        <f t="shared" si="61"/>
        <v>240.19812309999995</v>
      </c>
      <c r="M144" s="451">
        <f t="shared" si="61"/>
        <v>235.17329082000001</v>
      </c>
      <c r="N144" s="451">
        <f t="shared" si="61"/>
        <v>224.50545953</v>
      </c>
      <c r="O144" s="451">
        <f t="shared" si="61"/>
        <v>207.45499999999998</v>
      </c>
      <c r="P144" s="451">
        <f t="shared" si="61"/>
        <v>172.54</v>
      </c>
      <c r="Q144" s="451">
        <f t="shared" si="61"/>
        <v>170.11859380999999</v>
      </c>
      <c r="R144" s="451">
        <f t="shared" si="61"/>
        <v>183.64617381999997</v>
      </c>
      <c r="S144" s="451">
        <f t="shared" si="61"/>
        <v>206.13</v>
      </c>
      <c r="T144" s="451">
        <f t="shared" si="61"/>
        <v>215.22000000000006</v>
      </c>
      <c r="U144" s="451">
        <f t="shared" si="61"/>
        <v>216.19000000000003</v>
      </c>
      <c r="V144" s="451">
        <f t="shared" si="61"/>
        <v>228.25</v>
      </c>
      <c r="W144" s="451">
        <f t="shared" si="61"/>
        <v>222.56240770999997</v>
      </c>
      <c r="X144" s="451">
        <f t="shared" si="61"/>
        <v>224.22</v>
      </c>
      <c r="Y144" s="451">
        <f t="shared" si="61"/>
        <v>208.93700000000001</v>
      </c>
      <c r="Z144" s="451">
        <f t="shared" si="61"/>
        <v>203.06555589999999</v>
      </c>
      <c r="AA144" s="451">
        <f t="shared" si="61"/>
        <v>216.33716010000003</v>
      </c>
      <c r="AB144" s="451">
        <f t="shared" si="61"/>
        <v>215.03122306999995</v>
      </c>
      <c r="AC144" s="451">
        <f t="shared" si="61"/>
        <v>222.49415579999999</v>
      </c>
      <c r="AD144" s="451">
        <f t="shared" si="61"/>
        <v>218.84523604999998</v>
      </c>
      <c r="AE144" s="451">
        <f t="shared" si="61"/>
        <v>226.53474841000002</v>
      </c>
      <c r="AF144" s="451">
        <f t="shared" si="61"/>
        <v>227.68081604</v>
      </c>
      <c r="AG144" s="451">
        <f t="shared" si="61"/>
        <v>224.48266554</v>
      </c>
      <c r="AH144" s="451">
        <f t="shared" si="61"/>
        <v>228.12105473</v>
      </c>
      <c r="AI144" s="451">
        <f t="shared" si="61"/>
        <v>227.91222617</v>
      </c>
      <c r="AJ144" s="451">
        <f t="shared" si="61"/>
        <v>229.74722930999999</v>
      </c>
      <c r="AK144" s="451">
        <f>SUM(AK86:AK139)</f>
        <v>226.28555678999999</v>
      </c>
      <c r="AL144" s="451">
        <f>SUM(AL86:AL139)</f>
        <v>225.77555679</v>
      </c>
      <c r="AM144" s="167"/>
      <c r="AN144" s="167"/>
    </row>
    <row r="145" spans="1:40" s="145" customFormat="1">
      <c r="A145" s="456"/>
      <c r="B145" s="301" t="s">
        <v>163</v>
      </c>
      <c r="C145" s="301" t="s">
        <v>166</v>
      </c>
      <c r="D145" s="457" t="s">
        <v>143</v>
      </c>
      <c r="G145" s="458"/>
      <c r="H145" s="458"/>
      <c r="I145" s="458">
        <f>I90+I95+I97+I99+I102+I105+I107+I110+I111+I112+I117+I118+I120+I122+I125+I127+I129+I131+I132</f>
        <v>23.099999999999998</v>
      </c>
      <c r="J145" s="458">
        <f t="shared" ref="J145:U145" si="62">J90+J95+J97+J99+J102+J105+J107+J110+J111+J112+J117+J118+J120+J122+J125+J127+J129+J131+J132</f>
        <v>25.6</v>
      </c>
      <c r="K145" s="458">
        <f t="shared" si="62"/>
        <v>38.35</v>
      </c>
      <c r="L145" s="458">
        <f t="shared" si="62"/>
        <v>24.62</v>
      </c>
      <c r="M145" s="458">
        <f t="shared" si="62"/>
        <v>22.66</v>
      </c>
      <c r="N145" s="458">
        <f t="shared" si="62"/>
        <v>18.09</v>
      </c>
      <c r="O145" s="458">
        <f t="shared" si="62"/>
        <v>17.23</v>
      </c>
      <c r="P145" s="458">
        <f t="shared" si="62"/>
        <v>11.25</v>
      </c>
      <c r="Q145" s="458">
        <f t="shared" si="62"/>
        <v>12.100000000000001</v>
      </c>
      <c r="R145" s="458">
        <f t="shared" si="62"/>
        <v>17.88</v>
      </c>
      <c r="S145" s="458">
        <f t="shared" si="62"/>
        <v>23.200000000000003</v>
      </c>
      <c r="T145" s="458">
        <f t="shared" si="62"/>
        <v>31.1</v>
      </c>
      <c r="U145" s="458">
        <f t="shared" si="62"/>
        <v>28.200000000000003</v>
      </c>
      <c r="V145" s="458">
        <f>V90+V91+V95+V97+V99+V100+V102+V103+V105+V107+V110+V111+V112+V117+V118+V120+V122+V125+V127+V129+V131+V132</f>
        <v>31.5</v>
      </c>
      <c r="W145" s="458">
        <f>W90+W91+W95+W97+W99+W100+W102+W103+W105+W107+W110+W111+W112+W117+W118+W120+W122+W125+W127+W129+W131+W132</f>
        <v>32.200000000000003</v>
      </c>
      <c r="X145" s="458">
        <f>X90+X91+X95+X97+X99+X100+X102+X103+X105+X107+X110+X111+X112+X117+X118+X120+X122+X125+X127+X129+X131+X132</f>
        <v>30.77</v>
      </c>
      <c r="Y145" s="458">
        <f>Y90+Y91+Y95+Y97+Y99+Y100+Y102+Y103+Y105+Y107+Y110+Y111+Y112+Y117+Y118+Y120+Y122+Y125+Y127+Y129+Y131+Y132+Y123</f>
        <v>26.55</v>
      </c>
      <c r="Z145" s="458">
        <f t="shared" ref="Z145:AL145" si="63">Z90+Z91+Z95+Z97+Z99+Z100+Z102+Z103+Z105+Z107+Z110+Z111+Z112+Z117+Z118+Z120+Z122+Z125+Z127+Z129+Z131+Z132+Z123</f>
        <v>31.119999999999997</v>
      </c>
      <c r="AA145" s="458">
        <f t="shared" si="63"/>
        <v>29.63</v>
      </c>
      <c r="AB145" s="458">
        <f t="shared" si="63"/>
        <v>31.630000000000003</v>
      </c>
      <c r="AC145" s="458">
        <f t="shared" si="63"/>
        <v>33.020000000000003</v>
      </c>
      <c r="AD145" s="458">
        <f t="shared" si="63"/>
        <v>32.630000000000003</v>
      </c>
      <c r="AE145" s="458">
        <f t="shared" si="63"/>
        <v>33.330000000000005</v>
      </c>
      <c r="AF145" s="458">
        <f t="shared" si="63"/>
        <v>33.330000000000005</v>
      </c>
      <c r="AG145" s="458">
        <f t="shared" si="63"/>
        <v>34.03</v>
      </c>
      <c r="AH145" s="458">
        <f t="shared" si="63"/>
        <v>36.130000000000003</v>
      </c>
      <c r="AI145" s="458">
        <f t="shared" si="63"/>
        <v>36.229999999999997</v>
      </c>
      <c r="AJ145" s="458">
        <f t="shared" si="63"/>
        <v>36.229999999999997</v>
      </c>
      <c r="AK145" s="458">
        <f t="shared" si="63"/>
        <v>36.229999999999997</v>
      </c>
      <c r="AL145" s="458">
        <f t="shared" si="63"/>
        <v>36.229999999999997</v>
      </c>
      <c r="AM145" s="167"/>
      <c r="AN145" s="167"/>
    </row>
    <row r="146" spans="1:40" s="145" customFormat="1">
      <c r="A146" s="456"/>
      <c r="B146" s="301" t="s">
        <v>163</v>
      </c>
      <c r="C146" s="301" t="s">
        <v>166</v>
      </c>
      <c r="D146" s="457" t="s">
        <v>167</v>
      </c>
      <c r="G146" s="459"/>
      <c r="H146" s="459"/>
      <c r="I146" s="459">
        <f>I88+I89+I92+I93+I94+I96+I98+I101+I104+I106+I108+I109+I116+I119+I121+I124+I126+I128+I130</f>
        <v>189.82999999999998</v>
      </c>
      <c r="J146" s="459">
        <f t="shared" ref="J146:AJ146" si="64">J88+J89+J92+J93+J94+J96+J98+J101+J104+J106+J108+J109+J116+J119+J121+J124+J126+J128+J130</f>
        <v>190.2437323</v>
      </c>
      <c r="K146" s="459">
        <f t="shared" si="64"/>
        <v>183.23999999999998</v>
      </c>
      <c r="L146" s="459">
        <f t="shared" si="64"/>
        <v>191.20567744999997</v>
      </c>
      <c r="M146" s="459">
        <f t="shared" si="64"/>
        <v>181.64329082</v>
      </c>
      <c r="N146" s="459">
        <f t="shared" si="64"/>
        <v>175.59545953</v>
      </c>
      <c r="O146" s="459">
        <f t="shared" si="64"/>
        <v>161.47</v>
      </c>
      <c r="P146" s="459">
        <f t="shared" si="64"/>
        <v>132.49</v>
      </c>
      <c r="Q146" s="459">
        <f t="shared" si="64"/>
        <v>133.46</v>
      </c>
      <c r="R146" s="459">
        <f t="shared" si="64"/>
        <v>141.44</v>
      </c>
      <c r="S146" s="459">
        <f t="shared" si="64"/>
        <v>156.22999999999999</v>
      </c>
      <c r="T146" s="459">
        <f t="shared" si="64"/>
        <v>160.78</v>
      </c>
      <c r="U146" s="459">
        <f t="shared" si="64"/>
        <v>158.84</v>
      </c>
      <c r="V146" s="459">
        <f t="shared" si="64"/>
        <v>166.91</v>
      </c>
      <c r="W146" s="459">
        <f t="shared" si="64"/>
        <v>160.70240770999999</v>
      </c>
      <c r="X146" s="459">
        <f t="shared" si="64"/>
        <v>162.72</v>
      </c>
      <c r="Y146" s="459">
        <f t="shared" si="64"/>
        <v>156.13</v>
      </c>
      <c r="Z146" s="459">
        <f t="shared" si="64"/>
        <v>149.12555589999999</v>
      </c>
      <c r="AA146" s="459">
        <f t="shared" si="64"/>
        <v>156.50442809999998</v>
      </c>
      <c r="AB146" s="459">
        <f t="shared" si="64"/>
        <v>153.76420607</v>
      </c>
      <c r="AC146" s="459">
        <f t="shared" si="64"/>
        <v>160.2417078</v>
      </c>
      <c r="AD146" s="459">
        <f t="shared" si="64"/>
        <v>157.33335405</v>
      </c>
      <c r="AE146" s="459">
        <f t="shared" si="64"/>
        <v>169.60259741000002</v>
      </c>
      <c r="AF146" s="459">
        <f t="shared" si="64"/>
        <v>166.90864504000001</v>
      </c>
      <c r="AG146" s="459">
        <f t="shared" si="64"/>
        <v>161.87345454000001</v>
      </c>
      <c r="AH146" s="459">
        <f t="shared" si="64"/>
        <v>162.91817172999998</v>
      </c>
      <c r="AI146" s="459">
        <f t="shared" si="64"/>
        <v>163.12678417000001</v>
      </c>
      <c r="AJ146" s="459">
        <f t="shared" si="64"/>
        <v>164.88178730999999</v>
      </c>
      <c r="AK146" s="459">
        <f>AK88+AK89+AK92+AK93+AK94+AK96+AK98+AK101+AK104+AK106+AK108+AK109+AK116+AK119+AK121+AK124+AK126+AK128+AK130</f>
        <v>162.96011479000001</v>
      </c>
      <c r="AL146" s="459">
        <f>AL88+AL89+AL92+AL93+AL94+AL96+AL98+AL101+AL104+AL106+AL108+AL109+AL116+AL119+AL121+AL124+AL126+AL128+AL130</f>
        <v>162.96011479000001</v>
      </c>
      <c r="AM146" s="167"/>
      <c r="AN146" s="167"/>
    </row>
    <row r="147" spans="1:40" s="145" customFormat="1">
      <c r="A147" s="456"/>
      <c r="B147" s="460" t="s">
        <v>35</v>
      </c>
      <c r="C147" s="301" t="s">
        <v>164</v>
      </c>
      <c r="D147" s="457" t="s">
        <v>168</v>
      </c>
      <c r="G147" s="458"/>
      <c r="H147" s="458"/>
      <c r="I147" s="458">
        <f t="shared" ref="I147:AJ147" si="65">I86+I87</f>
        <v>0.8</v>
      </c>
      <c r="J147" s="458">
        <f t="shared" si="65"/>
        <v>0.64030200000000004</v>
      </c>
      <c r="K147" s="458">
        <f t="shared" si="65"/>
        <v>0.60816493999999999</v>
      </c>
      <c r="L147" s="458">
        <f t="shared" si="65"/>
        <v>1.1024456499999999</v>
      </c>
      <c r="M147" s="458">
        <f t="shared" si="65"/>
        <v>1.3</v>
      </c>
      <c r="N147" s="458">
        <f t="shared" si="65"/>
        <v>1.56</v>
      </c>
      <c r="O147" s="458">
        <f t="shared" si="65"/>
        <v>1.3</v>
      </c>
      <c r="P147" s="458">
        <f t="shared" si="65"/>
        <v>1.45</v>
      </c>
      <c r="Q147" s="458">
        <f t="shared" si="65"/>
        <v>1.3585938099999999</v>
      </c>
      <c r="R147" s="458">
        <f t="shared" si="65"/>
        <v>1.12617382</v>
      </c>
      <c r="S147" s="458">
        <f t="shared" si="65"/>
        <v>1.4</v>
      </c>
      <c r="T147" s="458">
        <f t="shared" si="65"/>
        <v>1.02</v>
      </c>
      <c r="U147" s="458">
        <f t="shared" si="65"/>
        <v>1.45</v>
      </c>
      <c r="V147" s="458">
        <f t="shared" si="65"/>
        <v>1.4500000000000002</v>
      </c>
      <c r="W147" s="458">
        <f t="shared" si="65"/>
        <v>1.4</v>
      </c>
      <c r="X147" s="458">
        <f t="shared" si="65"/>
        <v>1.2</v>
      </c>
      <c r="Y147" s="458">
        <f t="shared" si="65"/>
        <v>1.4</v>
      </c>
      <c r="Z147" s="458">
        <f t="shared" si="65"/>
        <v>1.2999999999999998</v>
      </c>
      <c r="AA147" s="458">
        <f t="shared" si="65"/>
        <v>1.072732</v>
      </c>
      <c r="AB147" s="458">
        <f t="shared" si="65"/>
        <v>1.1070169999999999</v>
      </c>
      <c r="AC147" s="458">
        <f t="shared" si="65"/>
        <v>1.012448</v>
      </c>
      <c r="AD147" s="458">
        <f t="shared" si="65"/>
        <v>1.081882</v>
      </c>
      <c r="AE147" s="458">
        <f t="shared" si="65"/>
        <v>1.042151</v>
      </c>
      <c r="AF147" s="458">
        <f t="shared" si="65"/>
        <v>1.102171</v>
      </c>
      <c r="AG147" s="458">
        <f t="shared" si="65"/>
        <v>1.0792109999999999</v>
      </c>
      <c r="AH147" s="458">
        <f t="shared" si="65"/>
        <v>1.072883</v>
      </c>
      <c r="AI147" s="458">
        <f t="shared" si="65"/>
        <v>1.055442</v>
      </c>
      <c r="AJ147" s="458">
        <f t="shared" si="65"/>
        <v>1.055442</v>
      </c>
      <c r="AK147" s="458">
        <f>AK86+AK87</f>
        <v>1.055442</v>
      </c>
      <c r="AL147" s="458">
        <f>AL86+AL87</f>
        <v>1.055442</v>
      </c>
      <c r="AM147" s="167"/>
      <c r="AN147" s="167"/>
    </row>
    <row r="148" spans="1:40" s="145" customFormat="1" ht="15" thickBot="1">
      <c r="A148" s="456"/>
      <c r="B148" s="460" t="s">
        <v>169</v>
      </c>
      <c r="C148" s="301" t="s">
        <v>138</v>
      </c>
      <c r="D148" s="457" t="s">
        <v>170</v>
      </c>
      <c r="G148" s="449"/>
      <c r="H148" s="449"/>
      <c r="I148" s="449">
        <f t="shared" ref="I148:Q148" si="66">SUM(I134:I139)</f>
        <v>28.7</v>
      </c>
      <c r="J148" s="449">
        <f t="shared" si="66"/>
        <v>23.6</v>
      </c>
      <c r="K148" s="449">
        <f t="shared" si="66"/>
        <v>19.850000000000001</v>
      </c>
      <c r="L148" s="449">
        <f t="shared" si="66"/>
        <v>23.27</v>
      </c>
      <c r="M148" s="449">
        <f t="shared" si="66"/>
        <v>29.57</v>
      </c>
      <c r="N148" s="449">
        <f t="shared" si="66"/>
        <v>29.259999999999998</v>
      </c>
      <c r="O148" s="449">
        <f t="shared" si="66"/>
        <v>26.774999999999999</v>
      </c>
      <c r="P148" s="449">
        <f t="shared" si="66"/>
        <v>26.65</v>
      </c>
      <c r="Q148" s="449">
        <f t="shared" si="66"/>
        <v>22.6</v>
      </c>
      <c r="R148" s="449">
        <f>SUM(R134:R139)</f>
        <v>23.2</v>
      </c>
      <c r="S148" s="449">
        <f>SUM(S134:S139)</f>
        <v>24.7</v>
      </c>
      <c r="T148" s="449">
        <f t="shared" ref="T148:AL148" si="67">SUM(T134:T139)</f>
        <v>21.72</v>
      </c>
      <c r="U148" s="449">
        <f t="shared" si="67"/>
        <v>26.2</v>
      </c>
      <c r="V148" s="449">
        <f t="shared" si="67"/>
        <v>28.39</v>
      </c>
      <c r="W148" s="449">
        <f t="shared" si="67"/>
        <v>27.66</v>
      </c>
      <c r="X148" s="449">
        <f t="shared" si="67"/>
        <v>27.65</v>
      </c>
      <c r="Y148" s="449">
        <f t="shared" si="67"/>
        <v>24.856999999999999</v>
      </c>
      <c r="Z148" s="449">
        <f t="shared" si="67"/>
        <v>18.52</v>
      </c>
      <c r="AA148" s="449">
        <f t="shared" si="67"/>
        <v>27.93</v>
      </c>
      <c r="AB148" s="449">
        <f t="shared" si="67"/>
        <v>27.33</v>
      </c>
      <c r="AC148" s="449">
        <f t="shared" si="67"/>
        <v>27.02</v>
      </c>
      <c r="AD148" s="449">
        <f t="shared" si="67"/>
        <v>26.6</v>
      </c>
      <c r="AE148" s="449">
        <f t="shared" si="67"/>
        <v>21.36</v>
      </c>
      <c r="AF148" s="449">
        <f t="shared" si="67"/>
        <v>25.14</v>
      </c>
      <c r="AG148" s="449">
        <f t="shared" si="67"/>
        <v>26.3</v>
      </c>
      <c r="AH148" s="449">
        <f t="shared" si="67"/>
        <v>26.8</v>
      </c>
      <c r="AI148" s="449">
        <f t="shared" si="67"/>
        <v>26.3</v>
      </c>
      <c r="AJ148" s="449">
        <f t="shared" si="67"/>
        <v>26.380000000000003</v>
      </c>
      <c r="AK148" s="449">
        <f t="shared" si="67"/>
        <v>26.04</v>
      </c>
      <c r="AL148" s="449">
        <f t="shared" si="67"/>
        <v>25.53</v>
      </c>
      <c r="AM148" s="167"/>
      <c r="AN148" s="167"/>
    </row>
    <row r="149" spans="1:40" s="145" customFormat="1">
      <c r="A149" s="327"/>
      <c r="B149" s="461" t="s">
        <v>35</v>
      </c>
      <c r="C149" s="454" t="s">
        <v>171</v>
      </c>
      <c r="D149" s="462" t="s">
        <v>165</v>
      </c>
      <c r="E149" s="463">
        <f t="shared" ref="E149:T149" si="68">SUM(E87:E112)</f>
        <v>156.68</v>
      </c>
      <c r="F149" s="464">
        <f t="shared" si="68"/>
        <v>166.56891165000002</v>
      </c>
      <c r="G149" s="465">
        <f t="shared" si="68"/>
        <v>185.92871692</v>
      </c>
      <c r="H149" s="465">
        <f t="shared" si="68"/>
        <v>177.00768496999999</v>
      </c>
      <c r="I149" s="465">
        <f t="shared" si="68"/>
        <v>187.92999999999998</v>
      </c>
      <c r="J149" s="465">
        <f t="shared" si="68"/>
        <v>193.84373229999997</v>
      </c>
      <c r="K149" s="465">
        <f t="shared" si="68"/>
        <v>198.58999999999997</v>
      </c>
      <c r="L149" s="465">
        <f t="shared" si="68"/>
        <v>191.32567744999997</v>
      </c>
      <c r="M149" s="465">
        <f t="shared" si="68"/>
        <v>184.80329082</v>
      </c>
      <c r="N149" s="465">
        <f t="shared" si="68"/>
        <v>176.30545953000001</v>
      </c>
      <c r="O149" s="465">
        <f t="shared" si="68"/>
        <v>172.35000000000002</v>
      </c>
      <c r="P149" s="465">
        <f t="shared" si="68"/>
        <v>142.49</v>
      </c>
      <c r="Q149" s="465">
        <f t="shared" si="68"/>
        <v>140.31</v>
      </c>
      <c r="R149" s="465">
        <f t="shared" si="68"/>
        <v>160.07</v>
      </c>
      <c r="S149" s="465">
        <f t="shared" si="68"/>
        <v>176.33</v>
      </c>
      <c r="T149" s="465">
        <f t="shared" si="68"/>
        <v>191.43000000000004</v>
      </c>
      <c r="U149" s="465">
        <f>SUM(U86:U112)</f>
        <v>188.79000000000005</v>
      </c>
      <c r="V149" s="465">
        <f>SUM(V87:V112)</f>
        <v>199.20999999999998</v>
      </c>
      <c r="W149" s="465">
        <f>SUM(W87:W112)</f>
        <v>180.70240770999999</v>
      </c>
      <c r="X149" s="465">
        <f>SUM(X87:X112)</f>
        <v>182.49</v>
      </c>
      <c r="Y149" s="465">
        <f>SUM(Y87:Y112)</f>
        <v>164.48000000000002</v>
      </c>
      <c r="Z149" s="465">
        <f t="shared" ref="Z149:AJ149" si="69">SUM(Z87:Z112)</f>
        <v>165.94555590000002</v>
      </c>
      <c r="AA149" s="465">
        <f t="shared" si="69"/>
        <v>186.83442810000003</v>
      </c>
      <c r="AB149" s="465">
        <f t="shared" si="69"/>
        <v>186.09420606999998</v>
      </c>
      <c r="AC149" s="465">
        <f t="shared" si="69"/>
        <v>193.9617078</v>
      </c>
      <c r="AD149" s="465">
        <f t="shared" si="69"/>
        <v>190.66335405000001</v>
      </c>
      <c r="AE149" s="465">
        <f t="shared" si="69"/>
        <v>203.63259741000002</v>
      </c>
      <c r="AF149" s="465">
        <f t="shared" si="69"/>
        <v>200.93864503999998</v>
      </c>
      <c r="AG149" s="465">
        <f t="shared" si="69"/>
        <v>196.60345454</v>
      </c>
      <c r="AH149" s="465">
        <f t="shared" si="69"/>
        <v>199.74817173</v>
      </c>
      <c r="AI149" s="465">
        <f t="shared" si="69"/>
        <v>200.05678417000001</v>
      </c>
      <c r="AJ149" s="465">
        <f t="shared" si="69"/>
        <v>201.81178730999997</v>
      </c>
      <c r="AK149" s="465">
        <f>SUM(AK87:AK112)</f>
        <v>199.89011478999998</v>
      </c>
      <c r="AL149" s="465">
        <f>SUM(AL87:AL112)</f>
        <v>199.89011478999998</v>
      </c>
      <c r="AM149" s="167"/>
      <c r="AN149" s="191">
        <f>SUM(Y149:AJ149)</f>
        <v>2290.7706921200001</v>
      </c>
    </row>
    <row r="150" spans="1:40" s="145" customFormat="1">
      <c r="A150" s="327"/>
      <c r="B150" s="466" t="s">
        <v>163</v>
      </c>
      <c r="C150" s="301" t="s">
        <v>172</v>
      </c>
      <c r="D150" s="457" t="s">
        <v>165</v>
      </c>
      <c r="G150" s="284"/>
      <c r="H150" s="284"/>
      <c r="I150" s="284">
        <f t="shared" ref="I150:T150" si="70">SUM(I88:I90,I116:I118,I134,I138,I139,I86,I87,I113)</f>
        <v>186.57</v>
      </c>
      <c r="J150" s="284">
        <f t="shared" si="70"/>
        <v>180.2840343</v>
      </c>
      <c r="K150" s="284">
        <f t="shared" si="70"/>
        <v>184.44816493999997</v>
      </c>
      <c r="L150" s="284">
        <f t="shared" si="70"/>
        <v>182.09812309999998</v>
      </c>
      <c r="M150" s="284">
        <f t="shared" si="70"/>
        <v>170.64329082</v>
      </c>
      <c r="N150" s="284">
        <f t="shared" si="70"/>
        <v>161.30545953000001</v>
      </c>
      <c r="O150" s="284">
        <f t="shared" si="70"/>
        <v>157.29500000000002</v>
      </c>
      <c r="P150" s="284">
        <f t="shared" si="70"/>
        <v>129.58999999999997</v>
      </c>
      <c r="Q150" s="284">
        <f t="shared" si="70"/>
        <v>127.31859380999998</v>
      </c>
      <c r="R150" s="284">
        <f t="shared" si="70"/>
        <v>131.86617382</v>
      </c>
      <c r="S150" s="284">
        <f t="shared" si="70"/>
        <v>149.82999999999998</v>
      </c>
      <c r="T150" s="284">
        <f t="shared" si="70"/>
        <v>159.02000000000004</v>
      </c>
      <c r="U150" s="284">
        <f t="shared" ref="U150:AI150" si="71">SUM(U88:U91,U116:U118,U134,U138,U139,U86,U87,U113)</f>
        <v>157.19</v>
      </c>
      <c r="V150" s="284">
        <f>SUM(V88:V91,V116:V118,V134,V138,V139,V86,V87,V113)</f>
        <v>163.95000000000002</v>
      </c>
      <c r="W150" s="284">
        <f t="shared" si="71"/>
        <v>162.36240770999999</v>
      </c>
      <c r="X150" s="284">
        <f t="shared" si="71"/>
        <v>162.32</v>
      </c>
      <c r="Y150" s="284">
        <f t="shared" si="71"/>
        <v>153.23699999999999</v>
      </c>
      <c r="Z150" s="284">
        <f t="shared" si="71"/>
        <v>146.06555589999999</v>
      </c>
      <c r="AA150" s="284">
        <f t="shared" si="71"/>
        <v>152.73716010000001</v>
      </c>
      <c r="AB150" s="284">
        <f t="shared" si="71"/>
        <v>150.53122306999998</v>
      </c>
      <c r="AC150" s="284">
        <f t="shared" si="71"/>
        <v>155.99415579999999</v>
      </c>
      <c r="AD150" s="284">
        <f t="shared" si="71"/>
        <v>153.04523604999997</v>
      </c>
      <c r="AE150" s="284">
        <f t="shared" si="71"/>
        <v>160.03474841000002</v>
      </c>
      <c r="AF150" s="284">
        <f t="shared" si="71"/>
        <v>161.18081604000002</v>
      </c>
      <c r="AG150" s="284">
        <f t="shared" si="71"/>
        <v>157.28266554000001</v>
      </c>
      <c r="AH150" s="284">
        <f t="shared" si="71"/>
        <v>158.82105472999999</v>
      </c>
      <c r="AI150" s="284">
        <f t="shared" si="71"/>
        <v>158.61222617000001</v>
      </c>
      <c r="AJ150" s="284">
        <f>SUM(AJ88:AJ91,AJ116:AJ118,AJ134,AJ138,AJ139,AJ86,AJ87,AJ113)</f>
        <v>160.44722931000001</v>
      </c>
      <c r="AK150" s="284">
        <f>SUM(AK88:AK91,AK116:AK118,AK134,AK138,AK139,AK86,AK87,AK113)</f>
        <v>158.18555678999999</v>
      </c>
      <c r="AL150" s="284">
        <f>SUM(AL88:AL91,AL116:AL118,AL134,AL138,AL139,AL86,AL87,AL113)</f>
        <v>157.67555679</v>
      </c>
      <c r="AM150" s="167"/>
      <c r="AN150" s="191">
        <f t="shared" ref="AN150:AN158" si="72">SUM(Y150:AJ150)</f>
        <v>1867.9890711200001</v>
      </c>
    </row>
    <row r="151" spans="1:40" s="145" customFormat="1">
      <c r="A151" s="327"/>
      <c r="B151" s="467" t="s">
        <v>163</v>
      </c>
      <c r="C151" s="468" t="s">
        <v>173</v>
      </c>
      <c r="D151" s="469" t="s">
        <v>165</v>
      </c>
      <c r="G151" s="470"/>
      <c r="H151" s="470"/>
      <c r="I151" s="470"/>
      <c r="J151" s="470"/>
      <c r="K151" s="470"/>
      <c r="L151" s="470"/>
      <c r="M151" s="470"/>
      <c r="N151" s="470"/>
      <c r="O151" s="470"/>
      <c r="P151" s="470"/>
      <c r="Q151" s="470"/>
      <c r="R151" s="470">
        <f t="shared" ref="R151:AJ151" si="73">R150-R86-R87</f>
        <v>130.74</v>
      </c>
      <c r="S151" s="470">
        <f t="shared" si="73"/>
        <v>148.42999999999998</v>
      </c>
      <c r="T151" s="470">
        <f t="shared" si="73"/>
        <v>158.00000000000003</v>
      </c>
      <c r="U151" s="470">
        <f t="shared" si="73"/>
        <v>155.74</v>
      </c>
      <c r="V151" s="470">
        <f t="shared" si="73"/>
        <v>162.5</v>
      </c>
      <c r="W151" s="470">
        <f t="shared" si="73"/>
        <v>160.96240770999998</v>
      </c>
      <c r="X151" s="470">
        <f t="shared" si="73"/>
        <v>161.12</v>
      </c>
      <c r="Y151" s="470">
        <f t="shared" si="73"/>
        <v>151.83699999999999</v>
      </c>
      <c r="Z151" s="470">
        <f t="shared" si="73"/>
        <v>144.76555590000001</v>
      </c>
      <c r="AA151" s="470">
        <f t="shared" si="73"/>
        <v>151.66442810000001</v>
      </c>
      <c r="AB151" s="470">
        <f t="shared" si="73"/>
        <v>149.42420607</v>
      </c>
      <c r="AC151" s="470">
        <f t="shared" si="73"/>
        <v>154.98170780000001</v>
      </c>
      <c r="AD151" s="470">
        <f t="shared" si="73"/>
        <v>151.96335404999999</v>
      </c>
      <c r="AE151" s="470">
        <f t="shared" si="73"/>
        <v>158.99259741000003</v>
      </c>
      <c r="AF151" s="470">
        <f t="shared" si="73"/>
        <v>160.07864504000003</v>
      </c>
      <c r="AG151" s="470">
        <f t="shared" si="73"/>
        <v>156.20345454000002</v>
      </c>
      <c r="AH151" s="470">
        <f t="shared" si="73"/>
        <v>157.74817173</v>
      </c>
      <c r="AI151" s="470">
        <f t="shared" si="73"/>
        <v>157.55678417000001</v>
      </c>
      <c r="AJ151" s="470">
        <f t="shared" si="73"/>
        <v>159.39178731000001</v>
      </c>
      <c r="AK151" s="470">
        <f>AK150-AK86-AK87</f>
        <v>157.13011478999999</v>
      </c>
      <c r="AL151" s="470">
        <f>AL150-AL86-AL87</f>
        <v>156.62011479</v>
      </c>
      <c r="AM151" s="167"/>
      <c r="AN151" s="191">
        <f t="shared" si="72"/>
        <v>1854.6076921199997</v>
      </c>
    </row>
    <row r="152" spans="1:40" s="145" customFormat="1">
      <c r="A152" s="327"/>
      <c r="B152" s="466" t="s">
        <v>163</v>
      </c>
      <c r="C152" s="301" t="s">
        <v>174</v>
      </c>
      <c r="D152" s="457" t="s">
        <v>165</v>
      </c>
      <c r="G152" s="284"/>
      <c r="H152" s="284"/>
      <c r="I152" s="284">
        <f t="shared" ref="I152:AJ152" si="74">I92+I93</f>
        <v>45.760000000000005</v>
      </c>
      <c r="J152" s="284">
        <f t="shared" si="74"/>
        <v>46.2</v>
      </c>
      <c r="K152" s="284">
        <f t="shared" si="74"/>
        <v>46.2</v>
      </c>
      <c r="L152" s="284">
        <f t="shared" si="74"/>
        <v>46.2</v>
      </c>
      <c r="M152" s="284">
        <f t="shared" si="74"/>
        <v>44</v>
      </c>
      <c r="N152" s="284">
        <f t="shared" si="74"/>
        <v>44</v>
      </c>
      <c r="O152" s="284">
        <f t="shared" si="74"/>
        <v>33</v>
      </c>
      <c r="P152" s="284">
        <f t="shared" si="74"/>
        <v>30</v>
      </c>
      <c r="Q152" s="284">
        <f t="shared" si="74"/>
        <v>31</v>
      </c>
      <c r="R152" s="284">
        <f t="shared" si="74"/>
        <v>35</v>
      </c>
      <c r="S152" s="284">
        <f t="shared" si="74"/>
        <v>39</v>
      </c>
      <c r="T152" s="284">
        <f t="shared" si="74"/>
        <v>40</v>
      </c>
      <c r="U152" s="284">
        <f t="shared" si="74"/>
        <v>41</v>
      </c>
      <c r="V152" s="284">
        <f t="shared" si="74"/>
        <v>43</v>
      </c>
      <c r="W152" s="284">
        <f t="shared" si="74"/>
        <v>41</v>
      </c>
      <c r="X152" s="284">
        <f t="shared" si="74"/>
        <v>42</v>
      </c>
      <c r="Y152" s="284">
        <f t="shared" si="74"/>
        <v>40</v>
      </c>
      <c r="Z152" s="284">
        <f t="shared" si="74"/>
        <v>39.4</v>
      </c>
      <c r="AA152" s="284">
        <f t="shared" si="74"/>
        <v>43</v>
      </c>
      <c r="AB152" s="284">
        <f t="shared" si="74"/>
        <v>42</v>
      </c>
      <c r="AC152" s="284">
        <f t="shared" si="74"/>
        <v>44</v>
      </c>
      <c r="AD152" s="284">
        <f t="shared" si="74"/>
        <v>44</v>
      </c>
      <c r="AE152" s="284">
        <f t="shared" si="74"/>
        <v>44</v>
      </c>
      <c r="AF152" s="284">
        <f t="shared" si="74"/>
        <v>44</v>
      </c>
      <c r="AG152" s="284">
        <f t="shared" si="74"/>
        <v>44</v>
      </c>
      <c r="AH152" s="284">
        <f t="shared" si="74"/>
        <v>44</v>
      </c>
      <c r="AI152" s="284">
        <f t="shared" si="74"/>
        <v>44</v>
      </c>
      <c r="AJ152" s="284">
        <f t="shared" si="74"/>
        <v>44</v>
      </c>
      <c r="AK152" s="284">
        <f>AK92+AK93</f>
        <v>44</v>
      </c>
      <c r="AL152" s="284">
        <f>AL92+AL93</f>
        <v>44</v>
      </c>
      <c r="AM152" s="167"/>
      <c r="AN152" s="191">
        <f t="shared" si="72"/>
        <v>516.4</v>
      </c>
    </row>
    <row r="153" spans="1:40" s="145" customFormat="1">
      <c r="A153" s="327"/>
      <c r="B153" s="466" t="s">
        <v>163</v>
      </c>
      <c r="C153" s="301" t="s">
        <v>175</v>
      </c>
      <c r="D153" s="457" t="s">
        <v>165</v>
      </c>
      <c r="G153" s="284"/>
      <c r="H153" s="284"/>
      <c r="I153" s="284">
        <f t="shared" ref="I153:U153" si="75">I98+I99+I121+I122+I135</f>
        <v>2.4</v>
      </c>
      <c r="J153" s="284">
        <f t="shared" si="75"/>
        <v>1.8</v>
      </c>
      <c r="K153" s="284">
        <f t="shared" si="75"/>
        <v>2.4</v>
      </c>
      <c r="L153" s="284">
        <f t="shared" si="75"/>
        <v>2.4</v>
      </c>
      <c r="M153" s="284">
        <f t="shared" si="75"/>
        <v>4.33</v>
      </c>
      <c r="N153" s="284">
        <f t="shared" si="75"/>
        <v>4.2</v>
      </c>
      <c r="O153" s="284">
        <f t="shared" si="75"/>
        <v>3</v>
      </c>
      <c r="P153" s="284">
        <f t="shared" si="75"/>
        <v>1.8</v>
      </c>
      <c r="Q153" s="284">
        <f t="shared" si="75"/>
        <v>1.8</v>
      </c>
      <c r="R153" s="284">
        <f t="shared" si="75"/>
        <v>1.8</v>
      </c>
      <c r="S153" s="284">
        <f t="shared" si="75"/>
        <v>1.8</v>
      </c>
      <c r="T153" s="284">
        <f t="shared" si="75"/>
        <v>1.8</v>
      </c>
      <c r="U153" s="284">
        <f t="shared" si="75"/>
        <v>2.4</v>
      </c>
      <c r="V153" s="284">
        <f>V98+V99+V121+V122+V135+V100</f>
        <v>2.6</v>
      </c>
      <c r="W153" s="284">
        <f>W98+W99+W121+W122+W135+W100</f>
        <v>4.2</v>
      </c>
      <c r="X153" s="284">
        <f>X98+X99+X121+X122+X135+X100</f>
        <v>4.2</v>
      </c>
      <c r="Y153" s="284">
        <f>Y98+Y99+Y121+Y122+Y123+Y135+Y100</f>
        <v>4.4000000000000004</v>
      </c>
      <c r="Z153" s="284">
        <f t="shared" ref="Z153:AJ153" si="76">Z98+Z99+Z121+Z122+Z123+Z135+Z100</f>
        <v>5</v>
      </c>
      <c r="AA153" s="284">
        <f t="shared" si="76"/>
        <v>5</v>
      </c>
      <c r="AB153" s="284">
        <f t="shared" si="76"/>
        <v>4.2</v>
      </c>
      <c r="AC153" s="284">
        <f t="shared" si="76"/>
        <v>4.2</v>
      </c>
      <c r="AD153" s="284">
        <f t="shared" si="76"/>
        <v>4.2</v>
      </c>
      <c r="AE153" s="284">
        <f t="shared" si="76"/>
        <v>4.2</v>
      </c>
      <c r="AF153" s="284">
        <f t="shared" si="76"/>
        <v>4.2</v>
      </c>
      <c r="AG153" s="284">
        <f t="shared" si="76"/>
        <v>4.2</v>
      </c>
      <c r="AH153" s="284">
        <f t="shared" si="76"/>
        <v>4.2</v>
      </c>
      <c r="AI153" s="284">
        <f t="shared" si="76"/>
        <v>4.2</v>
      </c>
      <c r="AJ153" s="284">
        <f t="shared" si="76"/>
        <v>4.2</v>
      </c>
      <c r="AK153" s="284">
        <f>AK98+AK99+AK121+AK122+AK123+AK135+AK100</f>
        <v>4.2</v>
      </c>
      <c r="AL153" s="284">
        <f>AL98+AL99+AL121+AL122+AL123+AL135+AL100</f>
        <v>4.2</v>
      </c>
      <c r="AM153" s="167"/>
      <c r="AN153" s="191">
        <f t="shared" si="72"/>
        <v>52.20000000000001</v>
      </c>
    </row>
    <row r="154" spans="1:40" s="145" customFormat="1" ht="12" customHeight="1">
      <c r="A154" s="327"/>
      <c r="B154" s="466" t="s">
        <v>163</v>
      </c>
      <c r="C154" s="301" t="s">
        <v>176</v>
      </c>
      <c r="D154" s="457" t="s">
        <v>165</v>
      </c>
      <c r="G154" s="284"/>
      <c r="H154" s="284"/>
      <c r="I154" s="284">
        <f t="shared" ref="I154:AL154" si="77">I101+I102+I114+I124+I125+I136</f>
        <v>3.8</v>
      </c>
      <c r="J154" s="284">
        <f t="shared" si="77"/>
        <v>6.4</v>
      </c>
      <c r="K154" s="284">
        <f t="shared" si="77"/>
        <v>5.6</v>
      </c>
      <c r="L154" s="284">
        <f t="shared" si="77"/>
        <v>6.4</v>
      </c>
      <c r="M154" s="284">
        <f t="shared" si="77"/>
        <v>15</v>
      </c>
      <c r="N154" s="284">
        <f t="shared" si="77"/>
        <v>15</v>
      </c>
      <c r="O154" s="284">
        <f t="shared" si="77"/>
        <v>14.16</v>
      </c>
      <c r="P154" s="284">
        <f t="shared" si="77"/>
        <v>10.5</v>
      </c>
      <c r="Q154" s="284">
        <f t="shared" si="77"/>
        <v>10</v>
      </c>
      <c r="R154" s="284">
        <f t="shared" si="77"/>
        <v>14.98</v>
      </c>
      <c r="S154" s="284">
        <f t="shared" si="77"/>
        <v>15.5</v>
      </c>
      <c r="T154" s="284">
        <f t="shared" si="77"/>
        <v>14.4</v>
      </c>
      <c r="U154" s="284">
        <f t="shared" si="77"/>
        <v>15.6</v>
      </c>
      <c r="V154" s="284">
        <f t="shared" si="77"/>
        <v>17.5</v>
      </c>
      <c r="W154" s="284">
        <f t="shared" si="77"/>
        <v>15</v>
      </c>
      <c r="X154" s="284">
        <f t="shared" si="77"/>
        <v>15.7</v>
      </c>
      <c r="Y154" s="284">
        <f t="shared" si="77"/>
        <v>11.3</v>
      </c>
      <c r="Z154" s="284">
        <f t="shared" si="77"/>
        <v>12</v>
      </c>
      <c r="AA154" s="284">
        <f t="shared" si="77"/>
        <v>13</v>
      </c>
      <c r="AB154" s="284">
        <f t="shared" si="77"/>
        <v>15</v>
      </c>
      <c r="AC154" s="284">
        <f t="shared" si="77"/>
        <v>15</v>
      </c>
      <c r="AD154" s="284">
        <f t="shared" si="77"/>
        <v>15</v>
      </c>
      <c r="AE154" s="284">
        <f t="shared" si="77"/>
        <v>15</v>
      </c>
      <c r="AF154" s="284">
        <f t="shared" si="77"/>
        <v>15</v>
      </c>
      <c r="AG154" s="284">
        <f t="shared" si="77"/>
        <v>15</v>
      </c>
      <c r="AH154" s="284">
        <f t="shared" si="77"/>
        <v>15</v>
      </c>
      <c r="AI154" s="284">
        <f t="shared" si="77"/>
        <v>15</v>
      </c>
      <c r="AJ154" s="284">
        <f t="shared" si="77"/>
        <v>15</v>
      </c>
      <c r="AK154" s="284">
        <f t="shared" si="77"/>
        <v>15</v>
      </c>
      <c r="AL154" s="284">
        <f t="shared" si="77"/>
        <v>15</v>
      </c>
      <c r="AM154" s="167"/>
      <c r="AN154" s="191">
        <f t="shared" si="72"/>
        <v>171.3</v>
      </c>
    </row>
    <row r="155" spans="1:40" s="145" customFormat="1" ht="12.6" customHeight="1">
      <c r="A155" s="327"/>
      <c r="B155" s="466" t="s">
        <v>163</v>
      </c>
      <c r="C155" s="301" t="s">
        <v>177</v>
      </c>
      <c r="D155" s="457" t="s">
        <v>165</v>
      </c>
      <c r="G155" s="284"/>
      <c r="H155" s="284"/>
      <c r="I155" s="284"/>
      <c r="J155" s="284"/>
      <c r="K155" s="284"/>
      <c r="L155" s="284"/>
      <c r="M155" s="284"/>
      <c r="N155" s="284"/>
      <c r="O155" s="284"/>
      <c r="P155" s="284"/>
      <c r="Q155" s="284"/>
      <c r="R155" s="284"/>
      <c r="S155" s="284"/>
      <c r="T155" s="284">
        <f t="shared" ref="T155:AJ155" si="78">T103+T137</f>
        <v>0</v>
      </c>
      <c r="U155" s="284">
        <f t="shared" si="78"/>
        <v>0</v>
      </c>
      <c r="V155" s="284">
        <f t="shared" si="78"/>
        <v>0</v>
      </c>
      <c r="W155" s="284">
        <f t="shared" si="78"/>
        <v>0</v>
      </c>
      <c r="X155" s="284">
        <f t="shared" si="78"/>
        <v>0</v>
      </c>
      <c r="Y155" s="284">
        <f t="shared" si="78"/>
        <v>0</v>
      </c>
      <c r="Z155" s="284">
        <f t="shared" si="78"/>
        <v>0</v>
      </c>
      <c r="AA155" s="284">
        <f t="shared" si="78"/>
        <v>0</v>
      </c>
      <c r="AB155" s="284">
        <f t="shared" si="78"/>
        <v>0</v>
      </c>
      <c r="AC155" s="284">
        <f t="shared" si="78"/>
        <v>0</v>
      </c>
      <c r="AD155" s="284">
        <f t="shared" si="78"/>
        <v>0</v>
      </c>
      <c r="AE155" s="284">
        <f t="shared" si="78"/>
        <v>0</v>
      </c>
      <c r="AF155" s="284">
        <f t="shared" si="78"/>
        <v>0</v>
      </c>
      <c r="AG155" s="284">
        <f t="shared" si="78"/>
        <v>0</v>
      </c>
      <c r="AH155" s="284">
        <f t="shared" si="78"/>
        <v>0</v>
      </c>
      <c r="AI155" s="284">
        <f t="shared" si="78"/>
        <v>0</v>
      </c>
      <c r="AJ155" s="284">
        <f t="shared" si="78"/>
        <v>0</v>
      </c>
      <c r="AK155" s="284">
        <f>AK103+AK137</f>
        <v>0</v>
      </c>
      <c r="AL155" s="284">
        <f>AL103+AL137</f>
        <v>0</v>
      </c>
      <c r="AM155" s="167"/>
      <c r="AN155" s="191">
        <f t="shared" si="72"/>
        <v>0</v>
      </c>
    </row>
    <row r="156" spans="1:40" s="145" customFormat="1" ht="12.6" customHeight="1">
      <c r="A156" s="327"/>
      <c r="B156" s="466" t="s">
        <v>163</v>
      </c>
      <c r="C156" s="301" t="s">
        <v>178</v>
      </c>
      <c r="D156" s="457" t="s">
        <v>165</v>
      </c>
      <c r="G156" s="284"/>
      <c r="H156" s="284"/>
      <c r="I156" s="284"/>
      <c r="J156" s="284"/>
      <c r="K156" s="284"/>
      <c r="L156" s="284"/>
      <c r="M156" s="284"/>
      <c r="N156" s="284"/>
      <c r="O156" s="284"/>
      <c r="P156" s="284"/>
      <c r="Q156" s="284"/>
      <c r="R156" s="284"/>
      <c r="S156" s="284"/>
      <c r="T156" s="284"/>
      <c r="U156" s="284"/>
      <c r="V156" s="284"/>
      <c r="W156" s="284">
        <f>W94+W95+W119+W120</f>
        <v>0</v>
      </c>
      <c r="X156" s="284">
        <f t="shared" ref="X156:AJ156" si="79">X94+X95+X119+X120</f>
        <v>0</v>
      </c>
      <c r="Y156" s="284">
        <f t="shared" si="79"/>
        <v>0</v>
      </c>
      <c r="Z156" s="284">
        <f t="shared" si="79"/>
        <v>0</v>
      </c>
      <c r="AA156" s="284">
        <f t="shared" si="79"/>
        <v>0</v>
      </c>
      <c r="AB156" s="284">
        <f t="shared" si="79"/>
        <v>0</v>
      </c>
      <c r="AC156" s="284">
        <f t="shared" si="79"/>
        <v>0</v>
      </c>
      <c r="AD156" s="284">
        <f t="shared" si="79"/>
        <v>0</v>
      </c>
      <c r="AE156" s="284">
        <f t="shared" si="79"/>
        <v>0</v>
      </c>
      <c r="AF156" s="284">
        <f t="shared" si="79"/>
        <v>0</v>
      </c>
      <c r="AG156" s="284">
        <f t="shared" si="79"/>
        <v>0</v>
      </c>
      <c r="AH156" s="284">
        <f t="shared" si="79"/>
        <v>0</v>
      </c>
      <c r="AI156" s="284">
        <f t="shared" si="79"/>
        <v>0</v>
      </c>
      <c r="AJ156" s="284">
        <f t="shared" si="79"/>
        <v>0</v>
      </c>
      <c r="AK156" s="284">
        <f>AK94+AK95+AK119+AK120</f>
        <v>0</v>
      </c>
      <c r="AL156" s="284">
        <f>AL94+AL95+AL119+AL120</f>
        <v>0</v>
      </c>
      <c r="AM156" s="167"/>
      <c r="AN156" s="191">
        <f t="shared" si="72"/>
        <v>0</v>
      </c>
    </row>
    <row r="157" spans="1:40" s="145" customFormat="1" ht="12.6" customHeight="1">
      <c r="A157" s="327"/>
      <c r="B157" s="466" t="s">
        <v>163</v>
      </c>
      <c r="C157" s="301" t="s">
        <v>179</v>
      </c>
      <c r="D157" s="457" t="s">
        <v>165</v>
      </c>
      <c r="G157" s="284"/>
      <c r="H157" s="284"/>
      <c r="I157" s="284"/>
      <c r="J157" s="284"/>
      <c r="K157" s="284"/>
      <c r="L157" s="284"/>
      <c r="M157" s="284"/>
      <c r="N157" s="284"/>
      <c r="O157" s="284"/>
      <c r="P157" s="284"/>
      <c r="Q157" s="284"/>
      <c r="R157" s="284"/>
      <c r="S157" s="284"/>
      <c r="T157" s="284"/>
      <c r="U157" s="284"/>
      <c r="V157" s="284"/>
      <c r="W157" s="284">
        <f>W96+W97</f>
        <v>0</v>
      </c>
      <c r="X157" s="284">
        <f t="shared" ref="X157:AJ157" si="80">X96+X97</f>
        <v>0</v>
      </c>
      <c r="Y157" s="284">
        <f t="shared" si="80"/>
        <v>0</v>
      </c>
      <c r="Z157" s="284">
        <f t="shared" si="80"/>
        <v>0</v>
      </c>
      <c r="AA157" s="284">
        <f t="shared" si="80"/>
        <v>0</v>
      </c>
      <c r="AB157" s="284">
        <f t="shared" si="80"/>
        <v>0</v>
      </c>
      <c r="AC157" s="284">
        <f t="shared" si="80"/>
        <v>0</v>
      </c>
      <c r="AD157" s="284">
        <f t="shared" si="80"/>
        <v>0</v>
      </c>
      <c r="AE157" s="284">
        <f t="shared" si="80"/>
        <v>0</v>
      </c>
      <c r="AF157" s="284">
        <f t="shared" si="80"/>
        <v>0</v>
      </c>
      <c r="AG157" s="284">
        <f t="shared" si="80"/>
        <v>0</v>
      </c>
      <c r="AH157" s="284">
        <f t="shared" si="80"/>
        <v>0</v>
      </c>
      <c r="AI157" s="284">
        <f t="shared" si="80"/>
        <v>0</v>
      </c>
      <c r="AJ157" s="284">
        <f t="shared" si="80"/>
        <v>0</v>
      </c>
      <c r="AK157" s="284">
        <f>AK96+AK97</f>
        <v>0</v>
      </c>
      <c r="AL157" s="284">
        <f>AL96+AL97</f>
        <v>0</v>
      </c>
      <c r="AM157" s="167"/>
      <c r="AN157" s="191">
        <f t="shared" si="72"/>
        <v>0</v>
      </c>
    </row>
    <row r="158" spans="1:40" s="145" customFormat="1" ht="12.6" customHeight="1" thickBot="1">
      <c r="A158" s="327"/>
      <c r="B158" s="471" t="s">
        <v>163</v>
      </c>
      <c r="C158" s="472" t="s">
        <v>180</v>
      </c>
      <c r="D158" s="473" t="s">
        <v>165</v>
      </c>
      <c r="G158" s="284"/>
      <c r="H158" s="284"/>
      <c r="I158" s="284"/>
      <c r="J158" s="284"/>
      <c r="K158" s="284"/>
      <c r="L158" s="284"/>
      <c r="M158" s="284"/>
      <c r="N158" s="284"/>
      <c r="O158" s="284"/>
      <c r="P158" s="284"/>
      <c r="Q158" s="284"/>
      <c r="R158" s="284"/>
      <c r="S158" s="284"/>
      <c r="T158" s="284"/>
      <c r="U158" s="284"/>
      <c r="V158" s="284"/>
      <c r="W158" s="284">
        <f>W106+W107+W128+W129</f>
        <v>0</v>
      </c>
      <c r="X158" s="284">
        <f t="shared" ref="X158:AJ158" si="81">X106+X107+X128+X129</f>
        <v>0</v>
      </c>
      <c r="Y158" s="284">
        <f t="shared" si="81"/>
        <v>0</v>
      </c>
      <c r="Z158" s="284">
        <f t="shared" si="81"/>
        <v>0</v>
      </c>
      <c r="AA158" s="284">
        <f t="shared" si="81"/>
        <v>1.4</v>
      </c>
      <c r="AB158" s="284">
        <f t="shared" si="81"/>
        <v>2.1</v>
      </c>
      <c r="AC158" s="284">
        <f t="shared" si="81"/>
        <v>2.1</v>
      </c>
      <c r="AD158" s="284">
        <f t="shared" si="81"/>
        <v>1.4</v>
      </c>
      <c r="AE158" s="284">
        <f t="shared" si="81"/>
        <v>2.1</v>
      </c>
      <c r="AF158" s="284">
        <f t="shared" si="81"/>
        <v>2.1</v>
      </c>
      <c r="AG158" s="284">
        <f t="shared" si="81"/>
        <v>2.8</v>
      </c>
      <c r="AH158" s="284">
        <f t="shared" si="81"/>
        <v>4.9000000000000004</v>
      </c>
      <c r="AI158" s="284">
        <f t="shared" si="81"/>
        <v>4.9000000000000004</v>
      </c>
      <c r="AJ158" s="284">
        <f t="shared" si="81"/>
        <v>4.9000000000000004</v>
      </c>
      <c r="AK158" s="284">
        <f>AK106+AK107+AK128+AK129</f>
        <v>4.9000000000000004</v>
      </c>
      <c r="AL158" s="284">
        <f>AL106+AL107+AL128+AL129</f>
        <v>4.9000000000000004</v>
      </c>
      <c r="AM158" s="167"/>
      <c r="AN158" s="191">
        <f t="shared" si="72"/>
        <v>28.699999999999996</v>
      </c>
    </row>
    <row r="159" spans="1:40" s="145" customFormat="1" ht="15" thickBot="1">
      <c r="A159" s="444" t="s">
        <v>181</v>
      </c>
      <c r="B159" s="471" t="s">
        <v>182</v>
      </c>
      <c r="C159" s="472" t="s">
        <v>183</v>
      </c>
      <c r="D159" s="473" t="s">
        <v>182</v>
      </c>
      <c r="E159" s="148">
        <f>SUM(E76:E139)</f>
        <v>43944.538999999997</v>
      </c>
      <c r="F159" s="148">
        <f>SUM(F76:F139)</f>
        <v>43958.297005059998</v>
      </c>
      <c r="G159" s="148">
        <f>SUM(G76:G139)</f>
        <v>44027.982716919993</v>
      </c>
      <c r="H159" s="148">
        <f>SUM(H76:H139)</f>
        <v>44046.748237969987</v>
      </c>
      <c r="I159" s="474">
        <f t="shared" ref="I159:AJ159" si="82">SUM(I78:I139)</f>
        <v>307.97699999999998</v>
      </c>
      <c r="J159" s="474">
        <f t="shared" si="82"/>
        <v>311.40103429999999</v>
      </c>
      <c r="K159" s="474">
        <f t="shared" si="82"/>
        <v>310.49016493999994</v>
      </c>
      <c r="L159" s="474">
        <f t="shared" si="82"/>
        <v>301.83112309999996</v>
      </c>
      <c r="M159" s="474">
        <f t="shared" si="82"/>
        <v>297.98329081999998</v>
      </c>
      <c r="N159" s="474">
        <f t="shared" si="82"/>
        <v>287.21145953000001</v>
      </c>
      <c r="O159" s="474">
        <f t="shared" si="82"/>
        <v>287.78300000000007</v>
      </c>
      <c r="P159" s="474">
        <f t="shared" si="82"/>
        <v>293.58999999999986</v>
      </c>
      <c r="Q159" s="474">
        <f t="shared" si="82"/>
        <v>243.57659381000002</v>
      </c>
      <c r="R159" s="474">
        <f t="shared" si="82"/>
        <v>282.79017382000001</v>
      </c>
      <c r="S159" s="475">
        <f t="shared" si="82"/>
        <v>301.85999999999996</v>
      </c>
      <c r="T159" s="475">
        <f t="shared" si="82"/>
        <v>323.9323626373627</v>
      </c>
      <c r="U159" s="475">
        <f t="shared" si="82"/>
        <v>310.59999999999997</v>
      </c>
      <c r="V159" s="475">
        <f t="shared" si="82"/>
        <v>325.31</v>
      </c>
      <c r="W159" s="475">
        <f t="shared" si="82"/>
        <v>323.36240770999996</v>
      </c>
      <c r="X159" s="475">
        <f t="shared" si="82"/>
        <v>337.09400000000005</v>
      </c>
      <c r="Y159" s="475">
        <f t="shared" si="82"/>
        <v>323.80400000000009</v>
      </c>
      <c r="Z159" s="475">
        <f t="shared" si="82"/>
        <v>323.74155590000004</v>
      </c>
      <c r="AA159" s="475">
        <f t="shared" si="82"/>
        <v>339.7531601</v>
      </c>
      <c r="AB159" s="475">
        <f t="shared" si="82"/>
        <v>362.01022307</v>
      </c>
      <c r="AC159" s="475">
        <f t="shared" si="82"/>
        <v>374.51615580000004</v>
      </c>
      <c r="AD159" s="475">
        <f t="shared" si="82"/>
        <v>368.38423604999997</v>
      </c>
      <c r="AE159" s="475">
        <f t="shared" si="82"/>
        <v>351.0146492693371</v>
      </c>
      <c r="AF159" s="475">
        <f t="shared" si="82"/>
        <v>342.56381604000006</v>
      </c>
      <c r="AG159" s="475">
        <f t="shared" si="82"/>
        <v>346.22566554000008</v>
      </c>
      <c r="AH159" s="475">
        <f t="shared" si="82"/>
        <v>332.07205472999999</v>
      </c>
      <c r="AI159" s="475">
        <f t="shared" si="82"/>
        <v>317.85022616999998</v>
      </c>
      <c r="AJ159" s="475">
        <f t="shared" si="82"/>
        <v>356.04222930999998</v>
      </c>
      <c r="AK159" s="475">
        <f>SUM(AK78:AK139)</f>
        <v>349.92155679000001</v>
      </c>
      <c r="AL159" s="475">
        <f>SUM(AL78:AL139)</f>
        <v>349.41155679000002</v>
      </c>
      <c r="AM159" s="167"/>
      <c r="AN159" s="167"/>
    </row>
    <row r="160" spans="1:40" s="145" customFormat="1" ht="24" thickBot="1">
      <c r="A160" s="147" t="s">
        <v>184</v>
      </c>
      <c r="B160" s="144"/>
      <c r="L160" s="211"/>
      <c r="M160" s="449">
        <f t="shared" ref="M160:AJ160" si="83">M159-M141</f>
        <v>188.17329081999998</v>
      </c>
      <c r="N160" s="449">
        <f t="shared" si="83"/>
        <v>202.50545953000002</v>
      </c>
      <c r="O160" s="449">
        <f t="shared" si="83"/>
        <v>168.45500000000007</v>
      </c>
      <c r="P160" s="449">
        <f t="shared" si="83"/>
        <v>172.53999999999985</v>
      </c>
      <c r="Q160" s="449">
        <f t="shared" si="83"/>
        <v>170.11859381000002</v>
      </c>
      <c r="R160" s="449">
        <f t="shared" si="83"/>
        <v>183.64617382</v>
      </c>
      <c r="S160" s="449">
        <f t="shared" si="83"/>
        <v>206.12999999999997</v>
      </c>
      <c r="T160" s="449">
        <f t="shared" si="83"/>
        <v>215.22000000000008</v>
      </c>
      <c r="U160" s="449">
        <f t="shared" si="83"/>
        <v>216.18999999999997</v>
      </c>
      <c r="V160" s="449">
        <f t="shared" si="83"/>
        <v>228.25</v>
      </c>
      <c r="W160" s="449">
        <f t="shared" si="83"/>
        <v>222.56240770999995</v>
      </c>
      <c r="X160" s="449">
        <f t="shared" si="83"/>
        <v>224.22000000000006</v>
      </c>
      <c r="Y160" s="449">
        <f t="shared" si="83"/>
        <v>208.93700000000007</v>
      </c>
      <c r="Z160" s="449">
        <f t="shared" si="83"/>
        <v>207.56555590000005</v>
      </c>
      <c r="AA160" s="449">
        <f t="shared" si="83"/>
        <v>219.33716010000001</v>
      </c>
      <c r="AB160" s="449">
        <f t="shared" si="83"/>
        <v>206.53122307000001</v>
      </c>
      <c r="AC160" s="449">
        <f t="shared" si="83"/>
        <v>222.49415580000004</v>
      </c>
      <c r="AD160" s="449">
        <f t="shared" si="83"/>
        <v>218.84523604999998</v>
      </c>
      <c r="AE160" s="449">
        <f t="shared" si="83"/>
        <v>208.63574841000008</v>
      </c>
      <c r="AF160" s="449">
        <f t="shared" si="83"/>
        <v>227.68081604000005</v>
      </c>
      <c r="AG160" s="449">
        <f t="shared" si="83"/>
        <v>224.48266554000008</v>
      </c>
      <c r="AH160" s="449">
        <f t="shared" si="83"/>
        <v>217.09505472999999</v>
      </c>
      <c r="AI160" s="449">
        <f t="shared" si="83"/>
        <v>227.91222617</v>
      </c>
      <c r="AJ160" s="449">
        <f t="shared" si="83"/>
        <v>229.74722930999999</v>
      </c>
      <c r="AK160" s="449">
        <f>AK159-AK141</f>
        <v>226.28555679000002</v>
      </c>
      <c r="AL160" s="449">
        <f>AL159-AL141</f>
        <v>225.77555679000002</v>
      </c>
      <c r="AM160" s="167"/>
      <c r="AN160" s="167"/>
    </row>
    <row r="161" spans="1:43">
      <c r="A161" s="476" t="s">
        <v>10</v>
      </c>
      <c r="B161" s="477"/>
      <c r="C161" s="478"/>
      <c r="D161" s="479"/>
      <c r="E161" s="360">
        <f t="shared" ref="E161:T161" si="84">E44-E116-E117-E118-E119-E120-E121-E122-E124-E125-E126-E127-E128-E129-E130-E131-E132</f>
        <v>-1.4270000000000005</v>
      </c>
      <c r="F161" s="360">
        <f t="shared" si="84"/>
        <v>-3.0010934100000028</v>
      </c>
      <c r="G161" s="360">
        <f t="shared" si="84"/>
        <v>-8.8817841970012523E-16</v>
      </c>
      <c r="H161" s="360">
        <f t="shared" si="84"/>
        <v>-8.8817841970012523E-16</v>
      </c>
      <c r="I161" s="360">
        <f t="shared" si="84"/>
        <v>-1.3322676295501878E-15</v>
      </c>
      <c r="J161" s="360">
        <f t="shared" si="84"/>
        <v>2.6645352591003757E-15</v>
      </c>
      <c r="K161" s="360">
        <f t="shared" si="84"/>
        <v>0</v>
      </c>
      <c r="L161" s="360">
        <f t="shared" si="84"/>
        <v>-1.7763568394002505E-15</v>
      </c>
      <c r="M161" s="360">
        <f t="shared" si="84"/>
        <v>0</v>
      </c>
      <c r="N161" s="360">
        <f t="shared" si="84"/>
        <v>-3.5527136788005009E-15</v>
      </c>
      <c r="O161" s="360">
        <f t="shared" si="84"/>
        <v>0</v>
      </c>
      <c r="P161" s="360">
        <f t="shared" si="84"/>
        <v>-2.2204460492503131E-16</v>
      </c>
      <c r="Q161" s="360">
        <f t="shared" si="84"/>
        <v>2.2204460492503131E-16</v>
      </c>
      <c r="R161" s="360">
        <f t="shared" si="84"/>
        <v>0</v>
      </c>
      <c r="S161" s="360">
        <f t="shared" si="84"/>
        <v>0</v>
      </c>
      <c r="T161" s="360">
        <f t="shared" si="84"/>
        <v>-5.5511151231257827E-17</v>
      </c>
      <c r="U161" s="360">
        <f>U44-U116-U117-U118-U119-U120-U121-U122-U124-U125-U126-U127-U128-U129-U130-U131-U132</f>
        <v>0</v>
      </c>
      <c r="V161" s="360">
        <f t="shared" ref="V161:AJ161" si="85">V44-V116-V117-V118-V119-V120-V121-V122-V124-V125-V126-V127-V128-V129-V130-V131-V132</f>
        <v>0</v>
      </c>
      <c r="W161" s="360">
        <f t="shared" si="85"/>
        <v>0</v>
      </c>
      <c r="X161" s="360">
        <f t="shared" si="85"/>
        <v>0</v>
      </c>
      <c r="Y161" s="360">
        <f t="shared" si="85"/>
        <v>0.80000000000000071</v>
      </c>
      <c r="Z161" s="360">
        <f t="shared" si="85"/>
        <v>0</v>
      </c>
      <c r="AA161" s="360">
        <f t="shared" si="85"/>
        <v>0</v>
      </c>
      <c r="AB161" s="360">
        <f t="shared" si="85"/>
        <v>0</v>
      </c>
      <c r="AC161" s="360">
        <f t="shared" si="85"/>
        <v>0</v>
      </c>
      <c r="AD161" s="360">
        <f t="shared" si="85"/>
        <v>0</v>
      </c>
      <c r="AE161" s="360">
        <f t="shared" si="85"/>
        <v>0</v>
      </c>
      <c r="AF161" s="360">
        <f t="shared" si="85"/>
        <v>0</v>
      </c>
      <c r="AG161" s="360">
        <f t="shared" si="85"/>
        <v>0</v>
      </c>
      <c r="AH161" s="360">
        <f t="shared" si="85"/>
        <v>0</v>
      </c>
      <c r="AI161" s="360">
        <f t="shared" si="85"/>
        <v>0</v>
      </c>
      <c r="AJ161" s="360">
        <f t="shared" si="85"/>
        <v>0</v>
      </c>
      <c r="AK161" s="360">
        <f>AK44-AK116-AK117-AK118-AK119-AK120-AK121-AK122-AK124-AK125-AK126-AK127-AK128-AK129-AK130-AK131-AK132</f>
        <v>0</v>
      </c>
      <c r="AL161" s="360">
        <f>AL44-AL116-AL117-AL118-AL119-AL120-AL121-AL122-AL124-AL125-AL126-AL127-AL128-AL129-AL130-AL131-AL132</f>
        <v>0</v>
      </c>
      <c r="AM161" s="167"/>
      <c r="AN161" s="167"/>
      <c r="AO161" s="145"/>
      <c r="AP161" s="145"/>
      <c r="AQ161" s="145"/>
    </row>
    <row r="162" spans="1:43">
      <c r="A162" s="480" t="s">
        <v>103</v>
      </c>
      <c r="B162" s="481"/>
      <c r="C162" s="482"/>
      <c r="D162" s="483"/>
      <c r="E162" s="458">
        <f t="shared" ref="E162:U162" si="86">E45-E134-E136-E135-E137</f>
        <v>0</v>
      </c>
      <c r="F162" s="458">
        <f t="shared" si="86"/>
        <v>0</v>
      </c>
      <c r="G162" s="458">
        <f t="shared" si="86"/>
        <v>0</v>
      </c>
      <c r="H162" s="458">
        <f t="shared" si="86"/>
        <v>0</v>
      </c>
      <c r="I162" s="458">
        <f t="shared" si="86"/>
        <v>0</v>
      </c>
      <c r="J162" s="458">
        <f t="shared" si="86"/>
        <v>0</v>
      </c>
      <c r="K162" s="458">
        <f t="shared" si="86"/>
        <v>0</v>
      </c>
      <c r="L162" s="458">
        <f t="shared" si="86"/>
        <v>0</v>
      </c>
      <c r="M162" s="458">
        <f t="shared" si="86"/>
        <v>0</v>
      </c>
      <c r="N162" s="458">
        <f t="shared" si="86"/>
        <v>0</v>
      </c>
      <c r="O162" s="458">
        <f t="shared" si="86"/>
        <v>0.74999999999999956</v>
      </c>
      <c r="P162" s="458">
        <f t="shared" si="86"/>
        <v>0</v>
      </c>
      <c r="Q162" s="458">
        <f t="shared" si="86"/>
        <v>0</v>
      </c>
      <c r="R162" s="458">
        <f t="shared" si="86"/>
        <v>0</v>
      </c>
      <c r="S162" s="458">
        <f t="shared" si="86"/>
        <v>0</v>
      </c>
      <c r="T162" s="458">
        <f t="shared" si="86"/>
        <v>0</v>
      </c>
      <c r="U162" s="458">
        <f t="shared" si="86"/>
        <v>1.1102230246251565E-16</v>
      </c>
      <c r="V162" s="458">
        <f>V45-V134-V136-V135-V137</f>
        <v>0</v>
      </c>
      <c r="W162" s="458">
        <f t="shared" ref="W162:AJ162" si="87">W45-W134-W136-W135-W137</f>
        <v>0</v>
      </c>
      <c r="X162" s="458">
        <f t="shared" si="87"/>
        <v>-3.3306690738754696E-16</v>
      </c>
      <c r="Y162" s="458">
        <f t="shared" si="87"/>
        <v>0</v>
      </c>
      <c r="Z162" s="458">
        <f t="shared" si="87"/>
        <v>0.59999999999999964</v>
      </c>
      <c r="AA162" s="458">
        <f t="shared" si="87"/>
        <v>0</v>
      </c>
      <c r="AB162" s="458">
        <f t="shared" si="87"/>
        <v>0</v>
      </c>
      <c r="AC162" s="458">
        <f t="shared" si="87"/>
        <v>0</v>
      </c>
      <c r="AD162" s="458">
        <f t="shared" si="87"/>
        <v>0</v>
      </c>
      <c r="AE162" s="458">
        <f t="shared" si="87"/>
        <v>0</v>
      </c>
      <c r="AF162" s="458">
        <f t="shared" si="87"/>
        <v>0</v>
      </c>
      <c r="AG162" s="458">
        <f t="shared" si="87"/>
        <v>0</v>
      </c>
      <c r="AH162" s="458">
        <f t="shared" si="87"/>
        <v>0</v>
      </c>
      <c r="AI162" s="458">
        <f t="shared" si="87"/>
        <v>0</v>
      </c>
      <c r="AJ162" s="458">
        <f t="shared" si="87"/>
        <v>0</v>
      </c>
      <c r="AK162" s="458">
        <f>AK45-AK134-AK136-AK135-AK137</f>
        <v>0</v>
      </c>
      <c r="AL162" s="458">
        <f>AL45-AL134-AL136-AL135-AL137</f>
        <v>0</v>
      </c>
      <c r="AM162" s="167"/>
      <c r="AN162" s="167"/>
      <c r="AO162" s="145"/>
      <c r="AP162" s="145"/>
      <c r="AQ162" s="145"/>
    </row>
    <row r="163" spans="1:43">
      <c r="A163" s="480" t="s">
        <v>104</v>
      </c>
      <c r="B163" s="481"/>
      <c r="C163" s="482"/>
      <c r="D163" s="483"/>
      <c r="E163" s="458">
        <f t="shared" ref="E163:AJ164" si="88">E46-E138</f>
        <v>0</v>
      </c>
      <c r="F163" s="458">
        <f t="shared" si="88"/>
        <v>0</v>
      </c>
      <c r="G163" s="458">
        <f t="shared" si="88"/>
        <v>0</v>
      </c>
      <c r="H163" s="458">
        <f t="shared" si="88"/>
        <v>0</v>
      </c>
      <c r="I163" s="458">
        <f t="shared" si="88"/>
        <v>0</v>
      </c>
      <c r="J163" s="458">
        <f t="shared" si="88"/>
        <v>0</v>
      </c>
      <c r="K163" s="458">
        <f t="shared" si="88"/>
        <v>0</v>
      </c>
      <c r="L163" s="458">
        <f t="shared" si="88"/>
        <v>0</v>
      </c>
      <c r="M163" s="458">
        <f t="shared" si="88"/>
        <v>0</v>
      </c>
      <c r="N163" s="458">
        <f t="shared" si="88"/>
        <v>0</v>
      </c>
      <c r="O163" s="458">
        <f t="shared" si="88"/>
        <v>0</v>
      </c>
      <c r="P163" s="458">
        <f t="shared" si="88"/>
        <v>0</v>
      </c>
      <c r="Q163" s="458">
        <f t="shared" si="88"/>
        <v>0</v>
      </c>
      <c r="R163" s="484">
        <f t="shared" si="88"/>
        <v>0</v>
      </c>
      <c r="S163" s="458">
        <f t="shared" si="88"/>
        <v>0</v>
      </c>
      <c r="T163" s="458">
        <f t="shared" si="88"/>
        <v>0</v>
      </c>
      <c r="U163" s="458">
        <f t="shared" si="88"/>
        <v>0</v>
      </c>
      <c r="V163" s="458">
        <f t="shared" si="88"/>
        <v>0</v>
      </c>
      <c r="W163" s="458">
        <f t="shared" si="88"/>
        <v>0</v>
      </c>
      <c r="X163" s="458">
        <f t="shared" si="88"/>
        <v>0</v>
      </c>
      <c r="Y163" s="458">
        <f t="shared" si="88"/>
        <v>0</v>
      </c>
      <c r="Z163" s="458">
        <f t="shared" si="88"/>
        <v>0</v>
      </c>
      <c r="AA163" s="458">
        <f t="shared" si="88"/>
        <v>0</v>
      </c>
      <c r="AB163" s="458">
        <f t="shared" si="88"/>
        <v>0</v>
      </c>
      <c r="AC163" s="458">
        <f t="shared" si="88"/>
        <v>0</v>
      </c>
      <c r="AD163" s="458">
        <f t="shared" si="88"/>
        <v>0</v>
      </c>
      <c r="AE163" s="458">
        <f t="shared" si="88"/>
        <v>0</v>
      </c>
      <c r="AF163" s="458">
        <f t="shared" si="88"/>
        <v>0</v>
      </c>
      <c r="AG163" s="458">
        <f t="shared" si="88"/>
        <v>0</v>
      </c>
      <c r="AH163" s="458">
        <f t="shared" si="88"/>
        <v>0</v>
      </c>
      <c r="AI163" s="458">
        <f t="shared" si="88"/>
        <v>0</v>
      </c>
      <c r="AJ163" s="458">
        <f t="shared" si="88"/>
        <v>0</v>
      </c>
      <c r="AK163" s="458">
        <f>AK46-AK138</f>
        <v>0</v>
      </c>
      <c r="AL163" s="458">
        <f>AL46-AL138</f>
        <v>0</v>
      </c>
      <c r="AM163" s="167"/>
      <c r="AN163" s="167"/>
      <c r="AO163" s="145"/>
      <c r="AP163" s="145"/>
      <c r="AQ163" s="145"/>
    </row>
    <row r="164" spans="1:43" ht="15" thickBot="1">
      <c r="A164" s="485" t="s">
        <v>105</v>
      </c>
      <c r="B164" s="486"/>
      <c r="C164" s="487"/>
      <c r="D164" s="488"/>
      <c r="E164" s="449">
        <f t="shared" si="88"/>
        <v>0</v>
      </c>
      <c r="F164" s="449">
        <f t="shared" si="88"/>
        <v>0</v>
      </c>
      <c r="G164" s="449">
        <f t="shared" si="88"/>
        <v>0</v>
      </c>
      <c r="H164" s="449">
        <f t="shared" si="88"/>
        <v>0</v>
      </c>
      <c r="I164" s="449">
        <f t="shared" si="88"/>
        <v>0</v>
      </c>
      <c r="J164" s="449">
        <f t="shared" si="88"/>
        <v>0</v>
      </c>
      <c r="K164" s="449">
        <f t="shared" si="88"/>
        <v>0</v>
      </c>
      <c r="L164" s="449">
        <f t="shared" si="88"/>
        <v>0</v>
      </c>
      <c r="M164" s="449">
        <f t="shared" si="88"/>
        <v>0</v>
      </c>
      <c r="N164" s="449">
        <f t="shared" si="88"/>
        <v>0</v>
      </c>
      <c r="O164" s="449">
        <f t="shared" si="88"/>
        <v>0</v>
      </c>
      <c r="P164" s="449">
        <f t="shared" si="88"/>
        <v>0</v>
      </c>
      <c r="Q164" s="449">
        <f t="shared" si="88"/>
        <v>0</v>
      </c>
      <c r="R164" s="489">
        <f t="shared" si="88"/>
        <v>0</v>
      </c>
      <c r="S164" s="449">
        <f t="shared" si="88"/>
        <v>0</v>
      </c>
      <c r="T164" s="449">
        <f t="shared" si="88"/>
        <v>0</v>
      </c>
      <c r="U164" s="449">
        <f t="shared" si="88"/>
        <v>0</v>
      </c>
      <c r="V164" s="449">
        <f t="shared" si="88"/>
        <v>0</v>
      </c>
      <c r="W164" s="449">
        <f t="shared" si="88"/>
        <v>0</v>
      </c>
      <c r="X164" s="449">
        <f t="shared" si="88"/>
        <v>0</v>
      </c>
      <c r="Y164" s="449">
        <f t="shared" si="88"/>
        <v>0</v>
      </c>
      <c r="Z164" s="449">
        <f t="shared" si="88"/>
        <v>0</v>
      </c>
      <c r="AA164" s="449">
        <f t="shared" si="88"/>
        <v>0</v>
      </c>
      <c r="AB164" s="449">
        <f t="shared" si="88"/>
        <v>0</v>
      </c>
      <c r="AC164" s="449">
        <f t="shared" si="88"/>
        <v>0</v>
      </c>
      <c r="AD164" s="449">
        <f t="shared" si="88"/>
        <v>0</v>
      </c>
      <c r="AE164" s="449">
        <f t="shared" si="88"/>
        <v>0</v>
      </c>
      <c r="AF164" s="449">
        <f t="shared" si="88"/>
        <v>0</v>
      </c>
      <c r="AG164" s="449">
        <f t="shared" si="88"/>
        <v>0</v>
      </c>
      <c r="AH164" s="449">
        <f t="shared" si="88"/>
        <v>0</v>
      </c>
      <c r="AI164" s="449">
        <f t="shared" si="88"/>
        <v>0</v>
      </c>
      <c r="AJ164" s="449">
        <f t="shared" si="88"/>
        <v>0</v>
      </c>
      <c r="AK164" s="449">
        <f>AK47-AK139</f>
        <v>0</v>
      </c>
      <c r="AL164" s="449">
        <f>AL47-AL139</f>
        <v>0</v>
      </c>
      <c r="AM164" s="167"/>
      <c r="AN164" s="167"/>
      <c r="AO164" s="145"/>
      <c r="AP164" s="145"/>
      <c r="AQ164" s="145"/>
    </row>
    <row r="165" spans="1:43">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1"/>
      <c r="AI165" s="91"/>
      <c r="AJ165" s="91"/>
      <c r="AK165" s="91"/>
      <c r="AL165" s="91"/>
    </row>
    <row r="166" spans="1:43">
      <c r="D166" t="s">
        <v>185</v>
      </c>
      <c r="F166" s="91"/>
      <c r="G166" s="91"/>
      <c r="H166" s="91"/>
      <c r="I166" s="91"/>
      <c r="J166" s="91"/>
      <c r="K166" s="91"/>
      <c r="L166" s="91"/>
      <c r="M166" s="91"/>
      <c r="N166" s="91"/>
      <c r="O166" s="91"/>
      <c r="P166" s="91"/>
      <c r="Q166" s="91"/>
      <c r="R166" s="91"/>
      <c r="S166" s="91"/>
      <c r="T166" s="91"/>
      <c r="U166" s="91"/>
      <c r="V166" s="91">
        <f>V151-156-V138</f>
        <v>0.70000000000000018</v>
      </c>
      <c r="W166" s="91">
        <f t="shared" ref="W166:AJ166" si="89">W151-156-W138</f>
        <v>-0.43759229000002087</v>
      </c>
      <c r="X166" s="91">
        <f t="shared" si="89"/>
        <v>-0.45999999999999552</v>
      </c>
      <c r="Y166" s="91">
        <f t="shared" si="89"/>
        <v>-9.650000000000011</v>
      </c>
      <c r="Z166" s="91">
        <f t="shared" si="89"/>
        <v>-16.554444099999991</v>
      </c>
      <c r="AA166" s="91">
        <f t="shared" si="89"/>
        <v>-10.075571899999991</v>
      </c>
      <c r="AB166" s="91">
        <f t="shared" si="89"/>
        <v>-12.275793930000003</v>
      </c>
      <c r="AC166" s="91">
        <f t="shared" si="89"/>
        <v>-6.7582921999999908</v>
      </c>
      <c r="AD166" s="91">
        <f t="shared" si="89"/>
        <v>-9.7366459500000069</v>
      </c>
      <c r="AE166" s="91">
        <f t="shared" si="89"/>
        <v>-2.8374025899999697</v>
      </c>
      <c r="AF166" s="91">
        <f t="shared" si="89"/>
        <v>-1.7513549599999738</v>
      </c>
      <c r="AG166" s="91">
        <f t="shared" si="89"/>
        <v>-5.626545459999976</v>
      </c>
      <c r="AH166" s="91">
        <f t="shared" si="89"/>
        <v>-4.0818282700000044</v>
      </c>
      <c r="AI166" s="91">
        <f t="shared" si="89"/>
        <v>-4.2732158299999856</v>
      </c>
      <c r="AJ166" s="91">
        <f t="shared" si="89"/>
        <v>-2.4382126899999879</v>
      </c>
      <c r="AK166" s="91">
        <f>AK151-156-AK138</f>
        <v>-4.5698852100000069</v>
      </c>
      <c r="AL166" s="91">
        <f>AL151-156-AL138</f>
        <v>-5.0798852099999978</v>
      </c>
    </row>
    <row r="167" spans="1:43">
      <c r="T167" s="91"/>
      <c r="U167" s="91"/>
      <c r="X167" s="91"/>
      <c r="Y167" s="91"/>
      <c r="Z167" s="91"/>
      <c r="AA167" s="91"/>
      <c r="AB167" s="91"/>
      <c r="AC167" s="91"/>
      <c r="AD167" s="91"/>
      <c r="AE167" s="91"/>
      <c r="AF167" s="91"/>
      <c r="AG167" s="91"/>
      <c r="AH167" s="91"/>
      <c r="AI167" s="91"/>
      <c r="AJ167" s="91"/>
      <c r="AK167" s="91"/>
      <c r="AL167" s="91"/>
    </row>
    <row r="168" spans="1:43">
      <c r="V168" s="91"/>
      <c r="W168" s="91"/>
      <c r="X168" s="91"/>
      <c r="Y168" s="91"/>
      <c r="Z168" s="91"/>
      <c r="AA168" s="91"/>
      <c r="AB168" s="91"/>
      <c r="AC168" s="91"/>
      <c r="AD168" s="91"/>
      <c r="AE168" s="91"/>
      <c r="AF168" s="91"/>
      <c r="AG168" s="91"/>
      <c r="AH168" s="91"/>
      <c r="AI168" s="91"/>
    </row>
    <row r="179" spans="25:38">
      <c r="Y179" s="91"/>
      <c r="Z179" s="91"/>
      <c r="AA179" s="91"/>
      <c r="AB179" s="91"/>
      <c r="AC179" s="91"/>
      <c r="AD179" s="91"/>
      <c r="AE179" s="91"/>
      <c r="AF179" s="91"/>
      <c r="AG179" s="91"/>
      <c r="AH179" s="91"/>
      <c r="AI179" s="91"/>
      <c r="AJ179" s="91"/>
      <c r="AK179" s="91"/>
      <c r="AL179" s="91"/>
    </row>
    <row r="180" spans="25:38">
      <c r="Y180" s="91"/>
      <c r="Z180" s="91"/>
      <c r="AA180" s="91"/>
      <c r="AB180" s="91"/>
      <c r="AC180" s="91"/>
      <c r="AD180" s="91"/>
      <c r="AE180" s="91"/>
      <c r="AF180" s="91"/>
      <c r="AG180" s="91"/>
      <c r="AH180" s="91"/>
      <c r="AI180" s="91"/>
      <c r="AJ180" s="91"/>
      <c r="AK180" s="91"/>
      <c r="AL180" s="91"/>
    </row>
    <row r="181" spans="25:38">
      <c r="Y181" s="91"/>
      <c r="Z181" s="91"/>
      <c r="AA181" s="91"/>
      <c r="AB181" s="91"/>
      <c r="AC181" s="91"/>
      <c r="AD181" s="91"/>
      <c r="AE181" s="91"/>
      <c r="AF181" s="91"/>
      <c r="AG181" s="91"/>
      <c r="AH181" s="91"/>
      <c r="AI181" s="91"/>
      <c r="AJ181" s="91"/>
      <c r="AK181" s="91"/>
      <c r="AL181" s="91"/>
    </row>
    <row r="182" spans="25:38">
      <c r="Y182" s="91"/>
      <c r="Z182" s="91"/>
      <c r="AA182" s="91"/>
      <c r="AB182" s="91"/>
      <c r="AC182" s="91"/>
      <c r="AD182" s="91"/>
      <c r="AE182" s="91"/>
      <c r="AF182" s="91"/>
      <c r="AG182" s="91"/>
      <c r="AH182" s="91"/>
      <c r="AI182" s="91"/>
      <c r="AJ182" s="91"/>
      <c r="AK182" s="91"/>
      <c r="AL182" s="91"/>
    </row>
    <row r="183" spans="25:38">
      <c r="Y183" s="91"/>
      <c r="Z183" s="91"/>
      <c r="AA183" s="91"/>
      <c r="AB183" s="91"/>
      <c r="AC183" s="91"/>
      <c r="AD183" s="91"/>
      <c r="AE183" s="91"/>
      <c r="AF183" s="91"/>
      <c r="AG183" s="91"/>
      <c r="AH183" s="91"/>
      <c r="AI183" s="91"/>
      <c r="AJ183" s="91"/>
      <c r="AK183" s="91"/>
      <c r="AL183" s="91"/>
    </row>
    <row r="184" spans="25:38">
      <c r="Y184" s="91"/>
      <c r="Z184" s="91"/>
      <c r="AA184" s="91"/>
      <c r="AB184" s="91"/>
      <c r="AC184" s="91"/>
      <c r="AD184" s="91"/>
      <c r="AE184" s="91"/>
      <c r="AF184" s="91"/>
      <c r="AG184" s="91"/>
      <c r="AH184" s="91"/>
      <c r="AI184" s="91"/>
      <c r="AJ184" s="91"/>
      <c r="AK184" s="91"/>
      <c r="AL184" s="91"/>
    </row>
  </sheetData>
  <mergeCells count="35">
    <mergeCell ref="C54:D54"/>
    <mergeCell ref="C55:D55"/>
    <mergeCell ref="C56:D56"/>
    <mergeCell ref="C57:D57"/>
    <mergeCell ref="A58:D58"/>
    <mergeCell ref="A48:D48"/>
    <mergeCell ref="A50:B50"/>
    <mergeCell ref="C50:D50"/>
    <mergeCell ref="C51:D51"/>
    <mergeCell ref="C52:D52"/>
    <mergeCell ref="C53:D53"/>
    <mergeCell ref="C42:D42"/>
    <mergeCell ref="C43:D43"/>
    <mergeCell ref="C44:D44"/>
    <mergeCell ref="C45:D45"/>
    <mergeCell ref="C46:D46"/>
    <mergeCell ref="C47:D47"/>
    <mergeCell ref="C36:D36"/>
    <mergeCell ref="A37:D37"/>
    <mergeCell ref="A39:B39"/>
    <mergeCell ref="C39:D39"/>
    <mergeCell ref="C40:D40"/>
    <mergeCell ref="C41:D41"/>
    <mergeCell ref="C30:D30"/>
    <mergeCell ref="C31:D31"/>
    <mergeCell ref="C32:D32"/>
    <mergeCell ref="C33:D33"/>
    <mergeCell ref="C34:D34"/>
    <mergeCell ref="C35:D35"/>
    <mergeCell ref="A3:B3"/>
    <mergeCell ref="A13:B13"/>
    <mergeCell ref="A20:B20"/>
    <mergeCell ref="A28:B28"/>
    <mergeCell ref="C28:D28"/>
    <mergeCell ref="C29:D29"/>
  </mergeCells>
  <conditionalFormatting sqref="Q163:Q164 E162:AJ162">
    <cfRule type="colorScale" priority="14">
      <colorScale>
        <cfvo type="min"/>
        <cfvo type="percentile" val="50"/>
        <cfvo type="max"/>
        <color rgb="FFF8696B"/>
        <color rgb="FFFFEB84"/>
        <color rgb="FF63BE7B"/>
      </colorScale>
    </cfRule>
  </conditionalFormatting>
  <conditionalFormatting sqref="R163:AD164 E161:AJ161">
    <cfRule type="colorScale" priority="15">
      <colorScale>
        <cfvo type="min"/>
        <cfvo type="percentile" val="50"/>
        <cfvo type="max"/>
        <color rgb="FFF8696B"/>
        <color rgb="FFFFEB84"/>
        <color rgb="FF63BE7B"/>
      </colorScale>
    </cfRule>
  </conditionalFormatting>
  <conditionalFormatting sqref="E163:P164">
    <cfRule type="colorScale" priority="16">
      <colorScale>
        <cfvo type="min"/>
        <cfvo type="percentile" val="50"/>
        <cfvo type="max"/>
        <color rgb="FFF8696B"/>
        <color rgb="FFFFEB84"/>
        <color rgb="FF63BE7B"/>
      </colorScale>
    </cfRule>
  </conditionalFormatting>
  <conditionalFormatting sqref="A149:D149">
    <cfRule type="duplicateValues" dxfId="0" priority="13"/>
  </conditionalFormatting>
  <conditionalFormatting sqref="AE163:AE164">
    <cfRule type="colorScale" priority="12">
      <colorScale>
        <cfvo type="min"/>
        <cfvo type="percentile" val="50"/>
        <cfvo type="max"/>
        <color rgb="FFF8696B"/>
        <color rgb="FFFFEB84"/>
        <color rgb="FF63BE7B"/>
      </colorScale>
    </cfRule>
  </conditionalFormatting>
  <conditionalFormatting sqref="AF163:AF164">
    <cfRule type="colorScale" priority="11">
      <colorScale>
        <cfvo type="min"/>
        <cfvo type="percentile" val="50"/>
        <cfvo type="max"/>
        <color rgb="FFF8696B"/>
        <color rgb="FFFFEB84"/>
        <color rgb="FF63BE7B"/>
      </colorScale>
    </cfRule>
  </conditionalFormatting>
  <conditionalFormatting sqref="AG163:AG164">
    <cfRule type="colorScale" priority="10">
      <colorScale>
        <cfvo type="min"/>
        <cfvo type="percentile" val="50"/>
        <cfvo type="max"/>
        <color rgb="FFF8696B"/>
        <color rgb="FFFFEB84"/>
        <color rgb="FF63BE7B"/>
      </colorScale>
    </cfRule>
  </conditionalFormatting>
  <conditionalFormatting sqref="AH163:AH164">
    <cfRule type="colorScale" priority="9">
      <colorScale>
        <cfvo type="min"/>
        <cfvo type="percentile" val="50"/>
        <cfvo type="max"/>
        <color rgb="FFF8696B"/>
        <color rgb="FFFFEB84"/>
        <color rgb="FF63BE7B"/>
      </colorScale>
    </cfRule>
  </conditionalFormatting>
  <conditionalFormatting sqref="AI163:AI164">
    <cfRule type="colorScale" priority="8">
      <colorScale>
        <cfvo type="min"/>
        <cfvo type="percentile" val="50"/>
        <cfvo type="max"/>
        <color rgb="FFF8696B"/>
        <color rgb="FFFFEB84"/>
        <color rgb="FF63BE7B"/>
      </colorScale>
    </cfRule>
  </conditionalFormatting>
  <conditionalFormatting sqref="AJ163:AJ164">
    <cfRule type="colorScale" priority="7">
      <colorScale>
        <cfvo type="min"/>
        <cfvo type="percentile" val="50"/>
        <cfvo type="max"/>
        <color rgb="FFF8696B"/>
        <color rgb="FFFFEB84"/>
        <color rgb="FF63BE7B"/>
      </colorScale>
    </cfRule>
  </conditionalFormatting>
  <conditionalFormatting sqref="AK162">
    <cfRule type="colorScale" priority="5">
      <colorScale>
        <cfvo type="min"/>
        <cfvo type="percentile" val="50"/>
        <cfvo type="max"/>
        <color rgb="FFF8696B"/>
        <color rgb="FFFFEB84"/>
        <color rgb="FF63BE7B"/>
      </colorScale>
    </cfRule>
  </conditionalFormatting>
  <conditionalFormatting sqref="AK161">
    <cfRule type="colorScale" priority="6">
      <colorScale>
        <cfvo type="min"/>
        <cfvo type="percentile" val="50"/>
        <cfvo type="max"/>
        <color rgb="FFF8696B"/>
        <color rgb="FFFFEB84"/>
        <color rgb="FF63BE7B"/>
      </colorScale>
    </cfRule>
  </conditionalFormatting>
  <conditionalFormatting sqref="AK163:AK164">
    <cfRule type="colorScale" priority="4">
      <colorScale>
        <cfvo type="min"/>
        <cfvo type="percentile" val="50"/>
        <cfvo type="max"/>
        <color rgb="FFF8696B"/>
        <color rgb="FFFFEB84"/>
        <color rgb="FF63BE7B"/>
      </colorScale>
    </cfRule>
  </conditionalFormatting>
  <conditionalFormatting sqref="AL162">
    <cfRule type="colorScale" priority="2">
      <colorScale>
        <cfvo type="min"/>
        <cfvo type="percentile" val="50"/>
        <cfvo type="max"/>
        <color rgb="FFF8696B"/>
        <color rgb="FFFFEB84"/>
        <color rgb="FF63BE7B"/>
      </colorScale>
    </cfRule>
  </conditionalFormatting>
  <conditionalFormatting sqref="AL161">
    <cfRule type="colorScale" priority="3">
      <colorScale>
        <cfvo type="min"/>
        <cfvo type="percentile" val="50"/>
        <cfvo type="max"/>
        <color rgb="FFF8696B"/>
        <color rgb="FFFFEB84"/>
        <color rgb="FF63BE7B"/>
      </colorScale>
    </cfRule>
  </conditionalFormatting>
  <conditionalFormatting sqref="AL163:AL16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H37"/>
  <sheetViews>
    <sheetView zoomScaleNormal="100" workbookViewId="0">
      <pane xSplit="2" ySplit="3" topLeftCell="BL4" activePane="bottomRight" state="frozen"/>
      <selection activeCell="G41" sqref="G41"/>
      <selection pane="topRight" activeCell="G41" sqref="G41"/>
      <selection pane="bottomLeft" activeCell="G41" sqref="G41"/>
      <selection pane="bottomRight" activeCell="G41" sqref="G41"/>
    </sheetView>
  </sheetViews>
  <sheetFormatPr defaultColWidth="8.109375" defaultRowHeight="14.4"/>
  <cols>
    <col min="1" max="1" width="15" style="490" bestFit="1" customWidth="1"/>
    <col min="2" max="2" width="34.88671875" style="490" customWidth="1"/>
    <col min="3" max="9" width="8.109375" style="490" bestFit="1" customWidth="1"/>
    <col min="10" max="26" width="9.109375" style="490" customWidth="1"/>
    <col min="27" max="27" width="8.88671875" style="490" customWidth="1"/>
    <col min="28" max="28" width="10.109375" style="490" bestFit="1" customWidth="1"/>
    <col min="29" max="29" width="8.109375" style="490" customWidth="1"/>
    <col min="30" max="31" width="10.109375" style="490" bestFit="1" customWidth="1"/>
    <col min="32" max="32" width="8.109375" style="490" bestFit="1" customWidth="1"/>
    <col min="33" max="34" width="9.109375" style="490" customWidth="1"/>
    <col min="35" max="35" width="8.109375" style="490" bestFit="1" customWidth="1"/>
    <col min="36" max="76" width="9" style="490" customWidth="1"/>
    <col min="77" max="78" width="9" style="490" bestFit="1" customWidth="1"/>
    <col min="79" max="79" width="8.109375" style="490"/>
    <col min="80" max="84" width="9" style="490" bestFit="1" customWidth="1"/>
    <col min="85" max="16384" width="8.109375" style="490"/>
  </cols>
  <sheetData>
    <row r="1" spans="1:86">
      <c r="B1" s="491" t="s">
        <v>0</v>
      </c>
      <c r="AM1" s="492">
        <v>69</v>
      </c>
      <c r="AN1" s="492">
        <v>68.959999999999994</v>
      </c>
      <c r="AO1" s="492">
        <v>83</v>
      </c>
      <c r="AP1" s="492">
        <v>80.008456709956704</v>
      </c>
      <c r="AQ1" s="492">
        <v>80.637</v>
      </c>
      <c r="AR1" s="492">
        <v>78</v>
      </c>
      <c r="AS1" s="492">
        <v>85.386547619047604</v>
      </c>
      <c r="AT1" s="492">
        <v>83.894000000000005</v>
      </c>
      <c r="AU1" s="492">
        <v>82.285551948051932</v>
      </c>
      <c r="AV1" s="492">
        <v>80.510000000000005</v>
      </c>
      <c r="AW1" s="492">
        <v>82.3</v>
      </c>
      <c r="AX1" s="492">
        <v>85.6</v>
      </c>
      <c r="AY1" s="492">
        <v>80.5</v>
      </c>
      <c r="AZ1" s="492">
        <v>75.5</v>
      </c>
      <c r="BA1" s="492">
        <v>80.8</v>
      </c>
      <c r="BB1" s="492">
        <v>77.786000000000001</v>
      </c>
      <c r="BC1" s="492">
        <v>60.347000000000001</v>
      </c>
      <c r="BD1" s="492">
        <v>59.180454545454538</v>
      </c>
      <c r="BE1" s="492">
        <v>62.7</v>
      </c>
      <c r="BF1" s="492">
        <v>71.587909090909093</v>
      </c>
      <c r="BG1" s="492">
        <v>73.900000000000006</v>
      </c>
      <c r="BH1" s="492">
        <v>79.302000000000007</v>
      </c>
      <c r="BI1" s="492">
        <v>71.215000000000003</v>
      </c>
      <c r="BJ1" s="492">
        <v>69.162000000000006</v>
      </c>
      <c r="BK1" s="492">
        <v>81.400000000000006</v>
      </c>
      <c r="BL1" s="492">
        <v>73.696513482172435</v>
      </c>
      <c r="BM1" s="492">
        <v>82.920567627494449</v>
      </c>
      <c r="BN1" s="492">
        <v>74.332419068736144</v>
      </c>
      <c r="BO1" s="492">
        <v>81.225999999999999</v>
      </c>
      <c r="BP1" s="492">
        <v>75.36</v>
      </c>
      <c r="BQ1" s="492">
        <v>62.014000000000003</v>
      </c>
      <c r="BR1" s="492">
        <v>77.643000000000001</v>
      </c>
      <c r="BS1" s="492">
        <v>72.259</v>
      </c>
      <c r="BT1" s="492">
        <v>65.511317311041438</v>
      </c>
      <c r="BU1" s="492">
        <v>73.744310663404434</v>
      </c>
      <c r="BV1" s="492">
        <v>75.698213718344078</v>
      </c>
      <c r="BW1" s="492">
        <v>75.698213718344078</v>
      </c>
      <c r="BX1" s="492">
        <v>75.698213718344078</v>
      </c>
    </row>
    <row r="2" spans="1:86" ht="15" thickBot="1">
      <c r="AM2" s="493">
        <f>AM6-AM1</f>
        <v>0.93000000000000682</v>
      </c>
      <c r="AN2" s="493">
        <f>AN6-AN1</f>
        <v>1.3840000000000003</v>
      </c>
      <c r="AO2" s="493">
        <f t="shared" ref="AO2:BX2" si="0">AO6-AO1</f>
        <v>1</v>
      </c>
      <c r="AP2" s="493">
        <f t="shared" si="0"/>
        <v>0.99154329004329611</v>
      </c>
      <c r="AQ2" s="493">
        <f t="shared" si="0"/>
        <v>0</v>
      </c>
      <c r="AR2" s="493">
        <f t="shared" si="0"/>
        <v>0</v>
      </c>
      <c r="AS2" s="493">
        <f t="shared" si="0"/>
        <v>-0.9865476190475988</v>
      </c>
      <c r="AT2" s="493">
        <f t="shared" si="0"/>
        <v>0</v>
      </c>
      <c r="AU2" s="493">
        <f t="shared" si="0"/>
        <v>-1.6015519480519345</v>
      </c>
      <c r="AV2" s="493">
        <f t="shared" si="0"/>
        <v>0.78999999999999204</v>
      </c>
      <c r="AW2" s="493">
        <f t="shared" si="0"/>
        <v>0.70000000000000284</v>
      </c>
      <c r="AX2" s="493">
        <f t="shared" si="0"/>
        <v>0</v>
      </c>
      <c r="AY2" s="493">
        <f t="shared" si="0"/>
        <v>0</v>
      </c>
      <c r="AZ2" s="493">
        <f t="shared" si="0"/>
        <v>-5.7000000000000028</v>
      </c>
      <c r="BA2" s="493">
        <f t="shared" si="0"/>
        <v>0</v>
      </c>
      <c r="BB2" s="493">
        <f t="shared" si="0"/>
        <v>-13.286000000000001</v>
      </c>
      <c r="BC2" s="493">
        <f t="shared" si="0"/>
        <v>-3.1829999999999998</v>
      </c>
      <c r="BD2" s="493">
        <f>BD6-BD1</f>
        <v>2.0195454545454652</v>
      </c>
      <c r="BE2" s="493">
        <f>BE6-BE1</f>
        <v>3.5</v>
      </c>
      <c r="BF2" s="493">
        <f>BF6-BF1</f>
        <v>2.8710909090909098</v>
      </c>
      <c r="BG2" s="493">
        <f>BG6-BG1</f>
        <v>2.6999999999999886</v>
      </c>
      <c r="BH2" s="493">
        <f>BH6-BH1</f>
        <v>-1.2310000000000088</v>
      </c>
      <c r="BI2" s="493">
        <f t="shared" si="0"/>
        <v>0.86399999999999011</v>
      </c>
      <c r="BJ2" s="493">
        <f t="shared" si="0"/>
        <v>9.8379999999999939</v>
      </c>
      <c r="BK2" s="493">
        <f t="shared" si="0"/>
        <v>0.48458356309541273</v>
      </c>
      <c r="BL2" s="493">
        <f t="shared" si="0"/>
        <v>0.1308005909341432</v>
      </c>
      <c r="BM2" s="493">
        <f t="shared" si="0"/>
        <v>2.3793103448355168E-3</v>
      </c>
      <c r="BN2" s="493">
        <f t="shared" si="0"/>
        <v>0</v>
      </c>
      <c r="BO2" s="493">
        <f t="shared" si="0"/>
        <v>0</v>
      </c>
      <c r="BP2" s="493">
        <f t="shared" si="0"/>
        <v>0</v>
      </c>
      <c r="BQ2" s="493">
        <f t="shared" si="0"/>
        <v>0</v>
      </c>
      <c r="BR2" s="493">
        <f t="shared" si="0"/>
        <v>0</v>
      </c>
      <c r="BS2" s="493">
        <f t="shared" si="0"/>
        <v>0</v>
      </c>
      <c r="BT2" s="493">
        <f t="shared" si="0"/>
        <v>0</v>
      </c>
      <c r="BU2" s="493">
        <f t="shared" si="0"/>
        <v>0</v>
      </c>
      <c r="BV2" s="493">
        <f t="shared" si="0"/>
        <v>0</v>
      </c>
      <c r="BW2" s="493">
        <f t="shared" si="0"/>
        <v>0</v>
      </c>
      <c r="BX2" s="493">
        <f t="shared" si="0"/>
        <v>-7.3256335856462158</v>
      </c>
    </row>
    <row r="3" spans="1:86" ht="15" thickBot="1">
      <c r="A3" s="494" t="s">
        <v>186</v>
      </c>
      <c r="B3" s="495"/>
      <c r="C3" s="496">
        <v>42370</v>
      </c>
      <c r="D3" s="497">
        <v>42401</v>
      </c>
      <c r="E3" s="496">
        <v>42430</v>
      </c>
      <c r="F3" s="497">
        <v>42461</v>
      </c>
      <c r="G3" s="496">
        <v>42491</v>
      </c>
      <c r="H3" s="497">
        <v>42522</v>
      </c>
      <c r="I3" s="498">
        <v>42552</v>
      </c>
      <c r="J3" s="497">
        <v>42583</v>
      </c>
      <c r="K3" s="497">
        <v>42614</v>
      </c>
      <c r="L3" s="499">
        <v>42644</v>
      </c>
      <c r="M3" s="500">
        <v>42675</v>
      </c>
      <c r="N3" s="497">
        <v>42705</v>
      </c>
      <c r="O3" s="501">
        <v>42736</v>
      </c>
      <c r="P3" s="501">
        <v>42767</v>
      </c>
      <c r="Q3" s="502">
        <v>42795</v>
      </c>
      <c r="R3" s="503">
        <v>42826</v>
      </c>
      <c r="S3" s="504">
        <v>42856</v>
      </c>
      <c r="T3" s="503">
        <v>42887</v>
      </c>
      <c r="U3" s="505">
        <v>42917</v>
      </c>
      <c r="V3" s="503">
        <v>42948</v>
      </c>
      <c r="W3" s="505">
        <v>42979</v>
      </c>
      <c r="X3" s="503">
        <v>43009</v>
      </c>
      <c r="Y3" s="505">
        <v>43040</v>
      </c>
      <c r="Z3" s="505">
        <v>43070</v>
      </c>
      <c r="AA3" s="505">
        <v>43101</v>
      </c>
      <c r="AB3" s="505">
        <v>43132</v>
      </c>
      <c r="AC3" s="505">
        <v>43160</v>
      </c>
      <c r="AD3" s="505">
        <v>43191</v>
      </c>
      <c r="AE3" s="505">
        <v>43221</v>
      </c>
      <c r="AF3" s="505">
        <v>43252</v>
      </c>
      <c r="AG3" s="505">
        <v>43282</v>
      </c>
      <c r="AH3" s="505">
        <v>43313</v>
      </c>
      <c r="AI3" s="505">
        <v>43344</v>
      </c>
      <c r="AJ3" s="505">
        <v>43374</v>
      </c>
      <c r="AK3" s="505">
        <v>43405</v>
      </c>
      <c r="AL3" s="505">
        <v>43435</v>
      </c>
      <c r="AM3" s="505">
        <v>43466</v>
      </c>
      <c r="AN3" s="505">
        <v>43497</v>
      </c>
      <c r="AO3" s="505">
        <v>43525</v>
      </c>
      <c r="AP3" s="505">
        <v>43556</v>
      </c>
      <c r="AQ3" s="505">
        <v>43586</v>
      </c>
      <c r="AR3" s="505">
        <v>43617</v>
      </c>
      <c r="AS3" s="505">
        <v>43647</v>
      </c>
      <c r="AT3" s="505">
        <v>43678</v>
      </c>
      <c r="AU3" s="505">
        <v>43709</v>
      </c>
      <c r="AV3" s="505">
        <v>43739</v>
      </c>
      <c r="AW3" s="505">
        <v>43770</v>
      </c>
      <c r="AX3" s="505">
        <v>43800</v>
      </c>
      <c r="AY3" s="505">
        <v>43831</v>
      </c>
      <c r="AZ3" s="505">
        <v>43862</v>
      </c>
      <c r="BA3" s="505">
        <v>43891</v>
      </c>
      <c r="BB3" s="506">
        <v>43922</v>
      </c>
      <c r="BC3" s="507">
        <v>43952</v>
      </c>
      <c r="BD3" s="507">
        <v>43983</v>
      </c>
      <c r="BE3" s="506">
        <v>44013</v>
      </c>
      <c r="BF3" s="506">
        <v>44044</v>
      </c>
      <c r="BG3" s="506">
        <v>44075</v>
      </c>
      <c r="BH3" s="506">
        <v>44105</v>
      </c>
      <c r="BI3" s="506">
        <v>44136</v>
      </c>
      <c r="BJ3" s="506">
        <v>44166</v>
      </c>
      <c r="BK3" s="506">
        <v>44197</v>
      </c>
      <c r="BL3" s="506">
        <v>44228</v>
      </c>
      <c r="BM3" s="506">
        <v>44256</v>
      </c>
      <c r="BN3" s="506">
        <v>44287</v>
      </c>
      <c r="BO3" s="506">
        <v>44317</v>
      </c>
      <c r="BP3" s="506">
        <v>44348</v>
      </c>
      <c r="BQ3" s="506">
        <v>44378</v>
      </c>
      <c r="BR3" s="506">
        <v>44409</v>
      </c>
      <c r="BS3" s="506">
        <v>44440</v>
      </c>
      <c r="BT3" s="506">
        <v>44470</v>
      </c>
      <c r="BU3" s="506">
        <v>44501</v>
      </c>
      <c r="BV3" s="506">
        <v>44531</v>
      </c>
      <c r="BW3" s="506">
        <v>44562</v>
      </c>
      <c r="BX3" s="506">
        <v>44593</v>
      </c>
    </row>
    <row r="4" spans="1:86">
      <c r="A4" s="508"/>
      <c r="B4" s="508"/>
      <c r="C4" s="509"/>
      <c r="D4" s="509"/>
      <c r="E4" s="509"/>
      <c r="F4" s="509"/>
      <c r="G4" s="509"/>
      <c r="H4" s="510"/>
      <c r="I4" s="510"/>
      <c r="J4" s="510"/>
      <c r="K4" s="510"/>
      <c r="L4" s="510"/>
      <c r="M4" s="510"/>
      <c r="N4" s="510"/>
      <c r="O4" s="510">
        <v>31</v>
      </c>
      <c r="P4" s="510">
        <v>28</v>
      </c>
      <c r="Q4" s="510">
        <v>31</v>
      </c>
      <c r="R4" s="511">
        <v>30</v>
      </c>
      <c r="S4" s="511">
        <v>31</v>
      </c>
      <c r="T4" s="511">
        <v>30</v>
      </c>
      <c r="U4" s="511">
        <v>31</v>
      </c>
      <c r="V4" s="511">
        <v>31</v>
      </c>
      <c r="W4" s="511">
        <v>30</v>
      </c>
      <c r="X4" s="511">
        <v>31</v>
      </c>
      <c r="Y4" s="511">
        <v>30</v>
      </c>
      <c r="Z4" s="511">
        <v>31</v>
      </c>
      <c r="AA4" s="511">
        <v>31</v>
      </c>
      <c r="AB4" s="511">
        <v>28</v>
      </c>
      <c r="AC4" s="512">
        <v>31</v>
      </c>
      <c r="AD4" s="512">
        <v>30</v>
      </c>
      <c r="AE4" s="512">
        <v>31</v>
      </c>
      <c r="AF4" s="512">
        <v>30</v>
      </c>
      <c r="AG4" s="512">
        <v>31</v>
      </c>
      <c r="AH4" s="512">
        <v>31</v>
      </c>
      <c r="AI4" s="512">
        <v>30</v>
      </c>
      <c r="AJ4" s="512">
        <v>31</v>
      </c>
      <c r="AK4" s="512">
        <v>30</v>
      </c>
      <c r="AL4" s="512">
        <v>31</v>
      </c>
      <c r="AM4" s="512">
        <v>31</v>
      </c>
      <c r="AN4" s="512">
        <v>28</v>
      </c>
      <c r="AO4" s="512">
        <v>31</v>
      </c>
      <c r="AP4" s="512">
        <v>30</v>
      </c>
      <c r="AQ4" s="512">
        <v>31</v>
      </c>
      <c r="AR4" s="512">
        <v>30</v>
      </c>
      <c r="AS4" s="512">
        <v>31</v>
      </c>
      <c r="AT4" s="512">
        <v>31</v>
      </c>
      <c r="AU4" s="512">
        <v>30</v>
      </c>
      <c r="AV4" s="512">
        <v>31</v>
      </c>
      <c r="AW4" s="512">
        <v>30</v>
      </c>
      <c r="AX4" s="512">
        <v>31</v>
      </c>
      <c r="AY4" s="512">
        <v>31</v>
      </c>
      <c r="AZ4" s="512">
        <v>29</v>
      </c>
      <c r="BA4" s="512">
        <v>31</v>
      </c>
      <c r="BB4" s="512">
        <v>30</v>
      </c>
      <c r="BC4" s="512">
        <v>31</v>
      </c>
      <c r="BD4" s="512">
        <v>30</v>
      </c>
      <c r="BE4" s="512">
        <v>31</v>
      </c>
      <c r="BF4" s="512">
        <v>31</v>
      </c>
      <c r="BG4" s="512">
        <v>30</v>
      </c>
      <c r="BH4" s="512">
        <v>31</v>
      </c>
      <c r="BI4" s="512">
        <v>30</v>
      </c>
      <c r="BJ4" s="512">
        <v>31</v>
      </c>
      <c r="BK4" s="512">
        <v>31</v>
      </c>
      <c r="BL4" s="512">
        <v>28</v>
      </c>
      <c r="BM4" s="512">
        <v>31</v>
      </c>
      <c r="BN4" s="512">
        <v>30</v>
      </c>
      <c r="BO4" s="512">
        <v>31</v>
      </c>
      <c r="BP4" s="512">
        <v>30</v>
      </c>
      <c r="BQ4" s="512">
        <v>31</v>
      </c>
      <c r="BR4" s="512">
        <v>31</v>
      </c>
      <c r="BS4" s="512">
        <v>30</v>
      </c>
      <c r="BT4" s="512">
        <v>31</v>
      </c>
      <c r="BU4" s="512">
        <v>30</v>
      </c>
      <c r="BV4" s="512">
        <v>31</v>
      </c>
      <c r="BW4" s="512">
        <v>31</v>
      </c>
      <c r="BX4" s="512">
        <v>31</v>
      </c>
      <c r="BY4" s="490" t="s">
        <v>187</v>
      </c>
      <c r="BZ4" s="490" t="s">
        <v>1</v>
      </c>
      <c r="CB4" s="513" t="s">
        <v>187</v>
      </c>
      <c r="CC4" s="514" t="s">
        <v>1</v>
      </c>
      <c r="CD4" s="513" t="s">
        <v>187</v>
      </c>
      <c r="CE4" s="514" t="s">
        <v>1</v>
      </c>
    </row>
    <row r="5" spans="1:86" ht="15" thickBot="1">
      <c r="A5" s="508"/>
      <c r="B5" s="508"/>
      <c r="C5" s="509"/>
      <c r="D5" s="509"/>
      <c r="E5" s="509"/>
      <c r="F5" s="509"/>
      <c r="G5" s="509"/>
      <c r="H5" s="510"/>
      <c r="I5" s="510"/>
      <c r="J5" s="510"/>
      <c r="K5" s="510"/>
      <c r="L5" s="510"/>
      <c r="M5" s="510"/>
      <c r="N5" s="510"/>
      <c r="O5" s="510"/>
      <c r="P5" s="510"/>
      <c r="Q5" s="515">
        <v>87.28</v>
      </c>
      <c r="R5" s="515">
        <v>80.59</v>
      </c>
      <c r="S5" s="515"/>
      <c r="T5" s="515"/>
      <c r="U5" s="515"/>
      <c r="V5" s="516"/>
      <c r="W5" s="515"/>
      <c r="X5" s="515"/>
      <c r="Y5" s="515"/>
      <c r="Z5" s="515"/>
      <c r="AA5" s="515"/>
      <c r="AB5" s="515"/>
      <c r="AC5" s="517"/>
      <c r="AD5" s="517"/>
      <c r="AE5" s="517"/>
      <c r="AF5" s="517"/>
      <c r="AG5" s="517"/>
      <c r="AH5" s="517"/>
      <c r="AI5" s="517"/>
      <c r="AJ5" s="517"/>
      <c r="AK5" s="517"/>
      <c r="AL5" s="517"/>
      <c r="AM5" s="517"/>
      <c r="AN5" s="517"/>
      <c r="AO5" s="517"/>
      <c r="AP5" s="517"/>
      <c r="AQ5" s="517"/>
      <c r="AR5" s="517"/>
      <c r="AS5" s="517"/>
      <c r="AT5" s="517"/>
      <c r="AU5" s="517"/>
      <c r="AV5" s="517"/>
      <c r="AW5" s="517"/>
      <c r="AX5" s="517"/>
      <c r="AY5" s="517"/>
      <c r="AZ5" s="517"/>
      <c r="BA5" s="517"/>
      <c r="BB5" s="517"/>
      <c r="BC5" s="517"/>
      <c r="BD5" s="517"/>
      <c r="BE5" s="517"/>
      <c r="BF5" s="517"/>
      <c r="BG5" s="517"/>
      <c r="BH5" s="517"/>
      <c r="BI5" s="517"/>
      <c r="BJ5" s="517"/>
      <c r="BK5" s="517"/>
      <c r="BL5" s="517"/>
      <c r="BM5" s="517"/>
      <c r="BN5" s="517"/>
      <c r="BO5" s="517"/>
      <c r="BP5" s="517"/>
      <c r="BQ5" s="517"/>
      <c r="BR5" s="517"/>
      <c r="BS5" s="517"/>
      <c r="BT5" s="517"/>
      <c r="BU5" s="517"/>
      <c r="BV5" s="517"/>
      <c r="BW5" s="517"/>
      <c r="BX5" s="517"/>
      <c r="BY5" s="518">
        <v>2019</v>
      </c>
      <c r="CB5" s="519">
        <v>2020</v>
      </c>
      <c r="CC5" s="520">
        <v>2020</v>
      </c>
      <c r="CD5" s="519">
        <v>2021</v>
      </c>
      <c r="CE5" s="520">
        <v>2021</v>
      </c>
    </row>
    <row r="6" spans="1:86" s="518" customFormat="1" ht="15" thickBot="1">
      <c r="A6" s="491" t="s">
        <v>188</v>
      </c>
      <c r="B6" s="521" t="s">
        <v>108</v>
      </c>
      <c r="C6" s="522"/>
      <c r="D6" s="523">
        <v>81.403073829000007</v>
      </c>
      <c r="E6" s="523">
        <v>82.923235591999997</v>
      </c>
      <c r="F6" s="523">
        <v>88.145956060999993</v>
      </c>
      <c r="G6" s="523">
        <v>86.867129508999994</v>
      </c>
      <c r="H6" s="523">
        <v>85.79563047900001</v>
      </c>
      <c r="I6" s="523">
        <v>90.18</v>
      </c>
      <c r="J6" s="524">
        <v>86.242000000000004</v>
      </c>
      <c r="K6" s="523">
        <v>87.343999999999994</v>
      </c>
      <c r="L6" s="523">
        <v>91.8</v>
      </c>
      <c r="M6" s="525">
        <v>87.174999999999997</v>
      </c>
      <c r="N6" s="523">
        <v>88.4</v>
      </c>
      <c r="O6" s="525">
        <v>87.058000000000007</v>
      </c>
      <c r="P6" s="523">
        <v>80.992999999999995</v>
      </c>
      <c r="Q6" s="523">
        <v>90.6</v>
      </c>
      <c r="R6" s="526">
        <v>76.8</v>
      </c>
      <c r="S6" s="527">
        <v>86.93</v>
      </c>
      <c r="T6" s="528">
        <v>79.861000000000004</v>
      </c>
      <c r="U6" s="529">
        <v>76.353999999999999</v>
      </c>
      <c r="V6" s="529">
        <v>82.415999999999997</v>
      </c>
      <c r="W6" s="529">
        <v>77.09</v>
      </c>
      <c r="X6" s="529">
        <f>88.073</f>
        <v>88.072999999999993</v>
      </c>
      <c r="Y6" s="529">
        <v>90.5</v>
      </c>
      <c r="Z6" s="529">
        <v>89.215999999999994</v>
      </c>
      <c r="AA6" s="529">
        <v>86.5</v>
      </c>
      <c r="AB6" s="529">
        <v>75.268000000000001</v>
      </c>
      <c r="AC6" s="529">
        <v>82</v>
      </c>
      <c r="AD6" s="529">
        <v>77.295000000000002</v>
      </c>
      <c r="AE6" s="529">
        <v>82.748999999999995</v>
      </c>
      <c r="AF6" s="529">
        <v>81.87</v>
      </c>
      <c r="AG6" s="529">
        <v>80.123000000000005</v>
      </c>
      <c r="AH6" s="529">
        <v>82.5</v>
      </c>
      <c r="AI6" s="530">
        <v>72.971090909090918</v>
      </c>
      <c r="AJ6" s="529">
        <v>82.519000000000005</v>
      </c>
      <c r="AK6" s="529">
        <v>78.2</v>
      </c>
      <c r="AL6" s="529">
        <v>79.95</v>
      </c>
      <c r="AM6" s="529">
        <v>69.930000000000007</v>
      </c>
      <c r="AN6" s="529">
        <v>70.343999999999994</v>
      </c>
      <c r="AO6" s="529">
        <v>84</v>
      </c>
      <c r="AP6" s="529">
        <v>81</v>
      </c>
      <c r="AQ6" s="529">
        <v>80.637</v>
      </c>
      <c r="AR6" s="529">
        <v>78</v>
      </c>
      <c r="AS6" s="529">
        <v>84.4</v>
      </c>
      <c r="AT6" s="529">
        <v>83.894000000000005</v>
      </c>
      <c r="AU6" s="529">
        <v>80.683999999999997</v>
      </c>
      <c r="AV6" s="529">
        <v>81.3</v>
      </c>
      <c r="AW6" s="529">
        <v>83</v>
      </c>
      <c r="AX6" s="529">
        <v>85.6</v>
      </c>
      <c r="AY6" s="529">
        <v>80.5</v>
      </c>
      <c r="AZ6" s="529">
        <v>69.8</v>
      </c>
      <c r="BA6" s="531">
        <v>80.8</v>
      </c>
      <c r="BB6" s="532">
        <v>64.5</v>
      </c>
      <c r="BC6" s="533">
        <v>57.164000000000001</v>
      </c>
      <c r="BD6" s="533">
        <v>61.2</v>
      </c>
      <c r="BE6" s="534">
        <v>66.2</v>
      </c>
      <c r="BF6" s="535">
        <v>74.459000000000003</v>
      </c>
      <c r="BG6" s="535">
        <v>76.599999999999994</v>
      </c>
      <c r="BH6" s="535">
        <v>78.070999999999998</v>
      </c>
      <c r="BI6" s="535">
        <v>72.078999999999994</v>
      </c>
      <c r="BJ6" s="535">
        <v>79</v>
      </c>
      <c r="BK6" s="535">
        <v>81.884583563095418</v>
      </c>
      <c r="BL6" s="535">
        <v>73.827314073106578</v>
      </c>
      <c r="BM6" s="535">
        <v>82.922946937839285</v>
      </c>
      <c r="BN6" s="535">
        <v>74.332419068736144</v>
      </c>
      <c r="BO6" s="535">
        <v>81.225999999999999</v>
      </c>
      <c r="BP6" s="535">
        <v>75.36</v>
      </c>
      <c r="BQ6" s="535">
        <v>62.014000000000003</v>
      </c>
      <c r="BR6" s="535">
        <v>77.643000000000001</v>
      </c>
      <c r="BS6" s="535">
        <v>72.259</v>
      </c>
      <c r="BT6" s="535">
        <v>65.511317311041438</v>
      </c>
      <c r="BU6" s="535">
        <v>73.744310663404434</v>
      </c>
      <c r="BV6" s="535">
        <v>75.698213718344078</v>
      </c>
      <c r="BW6" s="535">
        <v>75.698213718344078</v>
      </c>
      <c r="BX6" s="535">
        <v>68.372580132697863</v>
      </c>
      <c r="BY6" s="536">
        <v>73.448999999999998</v>
      </c>
      <c r="BZ6" s="536">
        <f>BY6*0.648</f>
        <v>47.594951999999999</v>
      </c>
      <c r="CA6" s="537"/>
      <c r="CB6" s="538">
        <f>SUM(AY6:BJ6)</f>
        <v>860.37300000000005</v>
      </c>
      <c r="CC6" s="539">
        <f>CB6*0.648</f>
        <v>557.521704</v>
      </c>
      <c r="CD6" s="538">
        <f>SUM(BK6:BV6)</f>
        <v>896.42310533556747</v>
      </c>
      <c r="CE6" s="539">
        <f>CD6*0.648</f>
        <v>580.88217225744779</v>
      </c>
    </row>
    <row r="7" spans="1:86" s="518" customFormat="1">
      <c r="A7" s="540" t="s">
        <v>189</v>
      </c>
      <c r="B7" s="541" t="s">
        <v>190</v>
      </c>
      <c r="C7" s="542">
        <v>53.985610000000001</v>
      </c>
      <c r="D7" s="543">
        <v>45.941310999999999</v>
      </c>
      <c r="E7" s="543">
        <v>46.670610000000003</v>
      </c>
      <c r="F7" s="543">
        <v>49.345337000000001</v>
      </c>
      <c r="G7" s="543">
        <v>50.110622999999997</v>
      </c>
      <c r="H7" s="543">
        <v>50.597169999999998</v>
      </c>
      <c r="I7" s="544">
        <v>52.5</v>
      </c>
      <c r="J7" s="545">
        <v>52.5</v>
      </c>
      <c r="K7" s="544">
        <v>52.5</v>
      </c>
      <c r="L7" s="544">
        <v>55</v>
      </c>
      <c r="M7" s="546">
        <v>58</v>
      </c>
      <c r="N7" s="544">
        <v>55.648000000000003</v>
      </c>
      <c r="O7" s="544">
        <v>31</v>
      </c>
      <c r="P7" s="544">
        <v>28.548999999999999</v>
      </c>
      <c r="Q7" s="545">
        <v>30</v>
      </c>
      <c r="R7" s="545">
        <v>26.234000000000002</v>
      </c>
      <c r="S7" s="545">
        <v>21.6</v>
      </c>
      <c r="T7" s="545">
        <v>4.5999999999999996</v>
      </c>
      <c r="U7" s="545">
        <v>23</v>
      </c>
      <c r="V7" s="545">
        <v>25</v>
      </c>
      <c r="W7" s="545">
        <v>21.5</v>
      </c>
      <c r="X7" s="545">
        <f>27.8+3.4</f>
        <v>31.2</v>
      </c>
      <c r="Y7" s="545">
        <v>34</v>
      </c>
      <c r="Z7" s="545">
        <f>33.179+2</f>
        <v>35.179000000000002</v>
      </c>
      <c r="AA7" s="547">
        <f>1000*AA4/1000</f>
        <v>31</v>
      </c>
      <c r="AB7" s="548">
        <f>1050*AB4/1000</f>
        <v>29.4</v>
      </c>
      <c r="AC7" s="548">
        <v>23.6</v>
      </c>
      <c r="AD7" s="548">
        <v>27.78</v>
      </c>
      <c r="AE7" s="548">
        <v>23</v>
      </c>
      <c r="AF7" s="548">
        <v>28.56</v>
      </c>
      <c r="AG7" s="548">
        <v>27.32</v>
      </c>
      <c r="AH7" s="548">
        <v>22.5</v>
      </c>
      <c r="AI7" s="549">
        <v>15</v>
      </c>
      <c r="AJ7" s="548">
        <v>23.8</v>
      </c>
      <c r="AK7" s="548">
        <f>23/0.648</f>
        <v>35.493827160493829</v>
      </c>
      <c r="AL7" s="548">
        <f>19.5/0.648</f>
        <v>30.092592592592592</v>
      </c>
      <c r="AM7" s="548">
        <f>12/0.648</f>
        <v>18.518518518518519</v>
      </c>
      <c r="AN7" s="548">
        <f>15/0.648</f>
        <v>23.148148148148149</v>
      </c>
      <c r="AO7" s="548">
        <f>21/0.648</f>
        <v>32.407407407407405</v>
      </c>
      <c r="AP7" s="548">
        <f>21/0.648</f>
        <v>32.407407407407405</v>
      </c>
      <c r="AQ7" s="548">
        <f>17/0.648</f>
        <v>26.234567901234566</v>
      </c>
      <c r="AR7" s="548">
        <f>19/0.648</f>
        <v>29.320987654320987</v>
      </c>
      <c r="AS7" s="548">
        <f>18.5/0.648</f>
        <v>28.549382716049383</v>
      </c>
      <c r="AT7" s="548">
        <f>20/0.648</f>
        <v>30.864197530864196</v>
      </c>
      <c r="AU7" s="548">
        <f>19/0.648</f>
        <v>29.320987654320987</v>
      </c>
      <c r="AV7" s="548">
        <f>18/0.648</f>
        <v>27.777777777777779</v>
      </c>
      <c r="AW7" s="548">
        <f>17.5/0.648</f>
        <v>27.006172839506171</v>
      </c>
      <c r="AX7" s="548">
        <v>32.407407407407398</v>
      </c>
      <c r="AY7" s="548">
        <f>(15+3+1)/0.648</f>
        <v>29.320987654320987</v>
      </c>
      <c r="AZ7" s="548">
        <f>5.8/0.648</f>
        <v>8.9506172839506171</v>
      </c>
      <c r="BA7" s="550">
        <f>(22.5+2.7)/0.648</f>
        <v>38.888888888888886</v>
      </c>
      <c r="BB7" s="550">
        <f>15/0.648</f>
        <v>23.148148148148149</v>
      </c>
      <c r="BC7" s="550">
        <f>9/0.648</f>
        <v>13.888888888888889</v>
      </c>
      <c r="BD7" s="550">
        <f>5/0.648</f>
        <v>7.716049382716049</v>
      </c>
      <c r="BE7" s="550">
        <f>5/0.648</f>
        <v>7.716049382716049</v>
      </c>
      <c r="BF7" s="550">
        <f>15/0.648</f>
        <v>23.148148148148149</v>
      </c>
      <c r="BG7" s="550">
        <f>23/0.648</f>
        <v>35.493827160493829</v>
      </c>
      <c r="BH7" s="550">
        <f>25.5/0.648</f>
        <v>39.351851851851848</v>
      </c>
      <c r="BI7" s="550">
        <f>(21.5-1.5)/0.648</f>
        <v>30.864197530864196</v>
      </c>
      <c r="BJ7" s="550">
        <f>22/0.648</f>
        <v>33.950617283950614</v>
      </c>
      <c r="BK7" s="550">
        <f>24.5/0.648</f>
        <v>37.808641975308639</v>
      </c>
      <c r="BL7" s="550">
        <f>(23+1.5)/0.648</f>
        <v>37.808641975308639</v>
      </c>
      <c r="BM7" s="550">
        <f>26/0.648</f>
        <v>40.123456790123456</v>
      </c>
      <c r="BN7" s="551">
        <f>20.5/0.648</f>
        <v>31.6358024691358</v>
      </c>
      <c r="BO7" s="551">
        <f>24.5/0.648</f>
        <v>37.808641975308639</v>
      </c>
      <c r="BP7" s="551">
        <f>21.5/0.648</f>
        <v>33.179012345679013</v>
      </c>
      <c r="BQ7" s="551">
        <f>18/0.648</f>
        <v>27.777777777777779</v>
      </c>
      <c r="BR7" s="551">
        <f>22/0.648</f>
        <v>33.950617283950614</v>
      </c>
      <c r="BS7" s="551">
        <f>20/0.648</f>
        <v>30.864197530864196</v>
      </c>
      <c r="BT7" s="551">
        <f>17/0.648</f>
        <v>26.234567901234566</v>
      </c>
      <c r="BU7" s="551">
        <f>20/0.648</f>
        <v>30.864197530864196</v>
      </c>
      <c r="BV7" s="551">
        <f>22/0.648</f>
        <v>33.950617283950614</v>
      </c>
      <c r="BW7" s="551">
        <f>21/0.648</f>
        <v>32.407407407407405</v>
      </c>
      <c r="BX7" s="551">
        <f>21/0.648</f>
        <v>32.407407407407405</v>
      </c>
      <c r="BY7" s="536">
        <f>SUM(AM7:AX7)</f>
        <v>337.96296296296299</v>
      </c>
      <c r="BZ7" s="536">
        <f>BY7*0.648</f>
        <v>219.00000000000003</v>
      </c>
      <c r="CA7" s="518">
        <f>BY7/BY6</f>
        <v>4.6013283089349484</v>
      </c>
      <c r="CB7" s="538">
        <f>SUM(AY7:BJ7)</f>
        <v>292.43827160493828</v>
      </c>
      <c r="CC7" s="539">
        <f>CB7*0.648</f>
        <v>189.5</v>
      </c>
      <c r="CD7" s="538">
        <f>SUM(BK7:BV7)</f>
        <v>402.00617283950618</v>
      </c>
      <c r="CE7" s="539">
        <f>CD7*0.648</f>
        <v>260.5</v>
      </c>
      <c r="CF7" s="537">
        <f>CE7*0.9</f>
        <v>234.45000000000002</v>
      </c>
      <c r="CH7" s="537"/>
    </row>
    <row r="8" spans="1:86" s="518" customFormat="1" ht="15" thickBot="1">
      <c r="A8" s="552"/>
      <c r="B8" s="553" t="s">
        <v>191</v>
      </c>
      <c r="C8" s="554">
        <v>30.989631000000003</v>
      </c>
      <c r="D8" s="555">
        <v>29.898712</v>
      </c>
      <c r="E8" s="555">
        <v>32.193482000000003</v>
      </c>
      <c r="F8" s="555">
        <v>31.362504000000001</v>
      </c>
      <c r="G8" s="555">
        <v>31.123810000000002</v>
      </c>
      <c r="H8" s="555">
        <v>33.331128</v>
      </c>
      <c r="I8" s="556">
        <v>32</v>
      </c>
      <c r="J8" s="557">
        <v>33</v>
      </c>
      <c r="K8" s="556">
        <v>30</v>
      </c>
      <c r="L8" s="556">
        <v>30</v>
      </c>
      <c r="M8" s="558">
        <v>25</v>
      </c>
      <c r="N8" s="556">
        <v>29.111000000000001</v>
      </c>
      <c r="O8" s="556">
        <v>50</v>
      </c>
      <c r="P8" s="556">
        <v>53</v>
      </c>
      <c r="Q8" s="556">
        <f>53+0.8</f>
        <v>53.8</v>
      </c>
      <c r="R8" s="556">
        <v>53</v>
      </c>
      <c r="S8" s="556">
        <v>58</v>
      </c>
      <c r="T8" s="556">
        <v>56</v>
      </c>
      <c r="U8" s="556">
        <v>56</v>
      </c>
      <c r="V8" s="556">
        <v>55</v>
      </c>
      <c r="W8" s="556">
        <v>54</v>
      </c>
      <c r="X8" s="556">
        <v>58</v>
      </c>
      <c r="Y8" s="556">
        <v>56</v>
      </c>
      <c r="Z8" s="556">
        <v>55</v>
      </c>
      <c r="AA8" s="550">
        <f>48/0.648*AA4*24/1000</f>
        <v>55.111111111111114</v>
      </c>
      <c r="AB8" s="550">
        <f t="shared" ref="AB8:AG8" si="1">48/0.648*AB4*24/1000</f>
        <v>49.777777777777771</v>
      </c>
      <c r="AC8" s="550">
        <f t="shared" si="1"/>
        <v>55.111111111111114</v>
      </c>
      <c r="AD8" s="550">
        <f t="shared" si="1"/>
        <v>53.333333333333329</v>
      </c>
      <c r="AE8" s="550">
        <f t="shared" si="1"/>
        <v>55.111111111111114</v>
      </c>
      <c r="AF8" s="550">
        <f t="shared" si="1"/>
        <v>53.333333333333329</v>
      </c>
      <c r="AG8" s="550">
        <f t="shared" si="1"/>
        <v>55.111111111111114</v>
      </c>
      <c r="AH8" s="550">
        <f>48/0.648*AH4*24/1000</f>
        <v>55.111111111111114</v>
      </c>
      <c r="AI8" s="550">
        <v>46.9</v>
      </c>
      <c r="AJ8" s="550">
        <v>45</v>
      </c>
      <c r="AK8" s="550">
        <v>40</v>
      </c>
      <c r="AL8" s="550">
        <f>48/0.648*AL4*24/1000</f>
        <v>55.111111111111114</v>
      </c>
      <c r="AM8" s="550">
        <f>52-7</f>
        <v>45</v>
      </c>
      <c r="AN8" s="550">
        <v>48</v>
      </c>
      <c r="AO8" s="550">
        <v>55</v>
      </c>
      <c r="AP8" s="550">
        <v>53</v>
      </c>
      <c r="AQ8" s="550">
        <v>55</v>
      </c>
      <c r="AR8" s="550">
        <v>53</v>
      </c>
      <c r="AS8" s="550">
        <v>55</v>
      </c>
      <c r="AT8" s="550">
        <v>55</v>
      </c>
      <c r="AU8" s="550">
        <v>51.5</v>
      </c>
      <c r="AV8" s="550">
        <f>48*AV4/0.648/1000*24</f>
        <v>55.111111111111114</v>
      </c>
      <c r="AW8" s="550">
        <f>48*AW4/0.648/1000*24</f>
        <v>53.333333333333336</v>
      </c>
      <c r="AX8" s="550">
        <v>55</v>
      </c>
      <c r="AY8" s="550">
        <f>53+2</f>
        <v>55</v>
      </c>
      <c r="AZ8" s="550">
        <f>48/0.648*AZ4*24/1000</f>
        <v>51.555555555555564</v>
      </c>
      <c r="BA8" s="550">
        <v>43.6</v>
      </c>
      <c r="BB8" s="550">
        <v>42.2</v>
      </c>
      <c r="BC8" s="550">
        <v>42.2</v>
      </c>
      <c r="BD8" s="550">
        <f>48/0.648*BD4*24/1000</f>
        <v>53.333333333333329</v>
      </c>
      <c r="BE8" s="550">
        <v>58.857999999999997</v>
      </c>
      <c r="BF8" s="550">
        <f>48/0.648*BF4*24/1000</f>
        <v>55.111111111111114</v>
      </c>
      <c r="BG8" s="550">
        <f>38/0.648*BG4*24/1000</f>
        <v>42.222222222222221</v>
      </c>
      <c r="BH8" s="550">
        <f>38/0.648*BH4*24/1000</f>
        <v>43.629629629629626</v>
      </c>
      <c r="BI8" s="550">
        <f>(38/0.648*BI4*24/1000)-2.22</f>
        <v>40.002222222222223</v>
      </c>
      <c r="BJ8" s="550">
        <f>(38/0.648*BJ4*24/1000)-3.03+2</f>
        <v>42.599629629629625</v>
      </c>
      <c r="BK8" s="550">
        <v>45</v>
      </c>
      <c r="BL8" s="550">
        <v>39</v>
      </c>
      <c r="BM8" s="550">
        <f>38/0.648*BM4*24/1000</f>
        <v>43.629629629629626</v>
      </c>
      <c r="BN8" s="551">
        <f>38/0.648*BN4*24/1000</f>
        <v>42.222222222222221</v>
      </c>
      <c r="BO8" s="551">
        <f>38/0.648*BO4*24/1000</f>
        <v>43.629629629629626</v>
      </c>
      <c r="BP8" s="551">
        <v>42</v>
      </c>
      <c r="BQ8" s="551">
        <v>33</v>
      </c>
      <c r="BR8" s="551">
        <v>43</v>
      </c>
      <c r="BS8" s="551">
        <v>42</v>
      </c>
      <c r="BT8" s="559">
        <f>34/0.648*BT4*24/1000</f>
        <v>39.037037037037038</v>
      </c>
      <c r="BU8" s="551">
        <v>42</v>
      </c>
      <c r="BV8" s="551">
        <v>43</v>
      </c>
      <c r="BW8" s="551">
        <v>43</v>
      </c>
      <c r="BX8" s="551">
        <v>43</v>
      </c>
      <c r="BY8" s="536">
        <f>SUM(AM8:AX8)</f>
        <v>633.94444444444446</v>
      </c>
      <c r="BZ8" s="536">
        <f>BY8*0.648</f>
        <v>410.79600000000005</v>
      </c>
      <c r="CA8" s="518">
        <f>BY8/BY6</f>
        <v>8.631083397247675</v>
      </c>
      <c r="CB8" s="560">
        <f>SUM(AY8:BJ8)</f>
        <v>570.31170370370364</v>
      </c>
      <c r="CC8" s="561">
        <f>CB8*0.648</f>
        <v>369.561984</v>
      </c>
      <c r="CD8" s="560">
        <f>SUM(BK8:BV8)</f>
        <v>497.51851851851848</v>
      </c>
      <c r="CE8" s="561">
        <f>CD8*0.648</f>
        <v>322.392</v>
      </c>
      <c r="CF8" s="537">
        <f>CE8*0.9</f>
        <v>290.15280000000001</v>
      </c>
    </row>
    <row r="9" spans="1:86" s="518" customFormat="1">
      <c r="A9" s="552"/>
      <c r="B9" s="553" t="s">
        <v>192</v>
      </c>
      <c r="C9" s="554">
        <v>0.78237099999999993</v>
      </c>
      <c r="D9" s="555">
        <v>0.7522279999999999</v>
      </c>
      <c r="E9" s="555">
        <v>0.775474</v>
      </c>
      <c r="F9" s="555">
        <v>0.79658699999999993</v>
      </c>
      <c r="G9" s="555">
        <v>0.84058900000000003</v>
      </c>
      <c r="H9" s="555">
        <v>0.81647700000000001</v>
      </c>
      <c r="I9" s="556">
        <v>0.8</v>
      </c>
      <c r="J9" s="557">
        <v>0.8</v>
      </c>
      <c r="K9" s="556">
        <v>0.8</v>
      </c>
      <c r="L9" s="556">
        <v>0.8</v>
      </c>
      <c r="M9" s="562">
        <v>0.8</v>
      </c>
      <c r="N9" s="556">
        <v>0.8</v>
      </c>
      <c r="O9" s="556">
        <v>0.8</v>
      </c>
      <c r="P9" s="556">
        <v>0.8</v>
      </c>
      <c r="Q9" s="557">
        <v>0.8</v>
      </c>
      <c r="R9" s="557">
        <v>0</v>
      </c>
      <c r="S9" s="557">
        <v>0</v>
      </c>
      <c r="T9" s="557">
        <v>0</v>
      </c>
      <c r="U9" s="557">
        <v>0</v>
      </c>
      <c r="V9" s="557">
        <v>0</v>
      </c>
      <c r="W9" s="557">
        <v>0</v>
      </c>
      <c r="X9" s="557"/>
      <c r="Y9" s="557"/>
      <c r="Z9" s="557">
        <v>0</v>
      </c>
      <c r="AA9" s="550"/>
      <c r="AB9" s="563"/>
      <c r="AC9" s="563">
        <v>0</v>
      </c>
      <c r="AD9" s="564">
        <v>-2.5</v>
      </c>
      <c r="AE9" s="563">
        <v>0</v>
      </c>
      <c r="AF9" s="563">
        <v>0</v>
      </c>
      <c r="AG9" s="563">
        <v>0</v>
      </c>
      <c r="AH9" s="563">
        <v>0</v>
      </c>
      <c r="AI9" s="563">
        <v>0</v>
      </c>
      <c r="AJ9" s="563">
        <v>0</v>
      </c>
      <c r="AK9" s="565"/>
      <c r="AL9" s="563"/>
      <c r="AM9" s="563"/>
      <c r="AN9" s="563">
        <v>0</v>
      </c>
      <c r="AO9" s="563"/>
      <c r="AP9" s="563"/>
      <c r="AQ9" s="563"/>
      <c r="AR9" s="563">
        <v>0</v>
      </c>
      <c r="AS9" s="563">
        <v>0</v>
      </c>
      <c r="AT9" s="563">
        <v>0</v>
      </c>
      <c r="AU9" s="563">
        <v>0</v>
      </c>
      <c r="AV9" s="563">
        <v>0</v>
      </c>
      <c r="AW9" s="563">
        <v>0</v>
      </c>
      <c r="AX9" s="563">
        <v>0</v>
      </c>
      <c r="AY9" s="563">
        <v>0</v>
      </c>
      <c r="AZ9" s="563"/>
      <c r="BA9" s="563"/>
      <c r="BB9" s="563"/>
      <c r="BC9" s="563">
        <v>0</v>
      </c>
      <c r="BD9" s="563">
        <v>0</v>
      </c>
      <c r="BE9" s="563"/>
      <c r="BF9" s="563">
        <v>0</v>
      </c>
      <c r="BG9" s="563">
        <v>0</v>
      </c>
      <c r="BH9" s="563">
        <v>0</v>
      </c>
      <c r="BI9" s="563">
        <v>0</v>
      </c>
      <c r="BJ9" s="563">
        <v>0</v>
      </c>
      <c r="BK9" s="565"/>
      <c r="BL9" s="563"/>
      <c r="BM9" s="563">
        <v>0</v>
      </c>
      <c r="BN9" s="563">
        <v>0</v>
      </c>
      <c r="BO9" s="563">
        <v>0</v>
      </c>
      <c r="BP9" s="563">
        <v>0</v>
      </c>
      <c r="BQ9" s="563"/>
      <c r="BR9" s="563">
        <v>0</v>
      </c>
      <c r="BS9" s="563">
        <v>0</v>
      </c>
      <c r="BT9" s="563">
        <v>0</v>
      </c>
      <c r="BU9" s="563">
        <v>0</v>
      </c>
      <c r="BV9" s="563">
        <v>0</v>
      </c>
      <c r="BW9" s="563">
        <v>0</v>
      </c>
      <c r="BX9" s="563">
        <v>0</v>
      </c>
      <c r="BY9" s="536">
        <f>SUM(AM9:BI9)</f>
        <v>0</v>
      </c>
      <c r="BZ9" s="536">
        <f>BY9*0.648</f>
        <v>0</v>
      </c>
      <c r="CB9" s="537"/>
    </row>
    <row r="10" spans="1:86" s="518" customFormat="1" ht="15" thickBot="1">
      <c r="A10" s="552"/>
      <c r="B10" s="566" t="s">
        <v>193</v>
      </c>
      <c r="C10" s="567">
        <v>0</v>
      </c>
      <c r="D10" s="568">
        <v>4.7416499999999999</v>
      </c>
      <c r="E10" s="568">
        <v>0</v>
      </c>
      <c r="F10" s="568">
        <v>5.2014629999999995</v>
      </c>
      <c r="G10" s="568">
        <v>0</v>
      </c>
      <c r="H10" s="568">
        <v>0</v>
      </c>
      <c r="I10" s="569">
        <v>5</v>
      </c>
      <c r="J10" s="570">
        <v>0</v>
      </c>
      <c r="K10" s="569">
        <f>4.697+4.9</f>
        <v>9.5970000000000013</v>
      </c>
      <c r="L10" s="569">
        <v>4.524</v>
      </c>
      <c r="M10" s="571">
        <v>0</v>
      </c>
      <c r="N10" s="569">
        <f>3.85+4.8+3.7</f>
        <v>12.350000000000001</v>
      </c>
      <c r="O10" s="569">
        <v>0</v>
      </c>
      <c r="P10" s="572"/>
      <c r="Q10" s="570"/>
      <c r="R10" s="569">
        <v>5</v>
      </c>
      <c r="S10" s="573">
        <v>10</v>
      </c>
      <c r="T10" s="573">
        <f>15+2.4</f>
        <v>17.399999999999999</v>
      </c>
      <c r="U10" s="569">
        <v>0</v>
      </c>
      <c r="V10" s="569" t="s">
        <v>66</v>
      </c>
      <c r="W10" s="569">
        <v>0</v>
      </c>
      <c r="X10" s="569"/>
      <c r="Y10" s="569">
        <v>0</v>
      </c>
      <c r="Z10" s="569">
        <v>5</v>
      </c>
      <c r="AA10" s="574">
        <v>0</v>
      </c>
      <c r="AB10" s="574">
        <v>4.2</v>
      </c>
      <c r="AC10" s="574">
        <v>0</v>
      </c>
      <c r="AD10" s="574">
        <v>0</v>
      </c>
      <c r="AE10" s="575"/>
      <c r="AF10" s="574">
        <v>0</v>
      </c>
      <c r="AG10" s="576">
        <v>1.9</v>
      </c>
      <c r="AH10" s="576"/>
      <c r="AI10" s="576"/>
      <c r="AJ10" s="576">
        <v>1.9</v>
      </c>
      <c r="AK10" s="574">
        <v>1.9</v>
      </c>
      <c r="AL10" s="574">
        <v>0</v>
      </c>
      <c r="AM10" s="574"/>
      <c r="AN10" s="574"/>
      <c r="AO10" s="574"/>
      <c r="AP10" s="574"/>
      <c r="AQ10" s="574"/>
      <c r="AR10" s="574"/>
      <c r="AS10" s="574"/>
      <c r="AT10" s="574"/>
      <c r="AU10" s="574"/>
      <c r="AV10" s="574"/>
      <c r="AW10" s="574">
        <v>0</v>
      </c>
      <c r="AX10" s="574"/>
      <c r="AY10" s="574"/>
      <c r="AZ10" s="574">
        <f>0.5+0.6</f>
        <v>1.1000000000000001</v>
      </c>
      <c r="BA10" s="574">
        <f>1.9+1.2</f>
        <v>3.0999999999999996</v>
      </c>
      <c r="BB10" s="574"/>
      <c r="BC10" s="574"/>
      <c r="BD10" s="574"/>
      <c r="BE10" s="574"/>
      <c r="BF10" s="550"/>
      <c r="BG10" s="550"/>
      <c r="BH10" s="551"/>
      <c r="BI10" s="574"/>
      <c r="BJ10" s="574"/>
      <c r="BK10" s="574">
        <v>0.6</v>
      </c>
      <c r="BL10" s="574"/>
      <c r="BM10" s="574"/>
      <c r="BN10" s="574"/>
      <c r="BO10" s="574"/>
      <c r="BP10" s="574"/>
      <c r="BQ10" s="563">
        <v>1.8</v>
      </c>
      <c r="BR10" s="574"/>
      <c r="BS10" s="574"/>
      <c r="BT10" s="574"/>
      <c r="BU10" s="574"/>
      <c r="BV10" s="574"/>
      <c r="BW10" s="574"/>
      <c r="BX10" s="574"/>
      <c r="BY10" s="536">
        <f>SUM(AM10:BI10)</f>
        <v>4.1999999999999993</v>
      </c>
      <c r="BZ10" s="536">
        <f>BY10*0.648</f>
        <v>2.7215999999999996</v>
      </c>
    </row>
    <row r="11" spans="1:86">
      <c r="A11" s="577" t="s">
        <v>194</v>
      </c>
      <c r="B11" s="578" t="s">
        <v>195</v>
      </c>
      <c r="C11" s="579">
        <v>12801</v>
      </c>
      <c r="D11" s="580">
        <v>11978</v>
      </c>
      <c r="E11" s="580">
        <v>11819</v>
      </c>
      <c r="F11" s="580">
        <v>12516</v>
      </c>
      <c r="G11" s="580">
        <v>15372</v>
      </c>
      <c r="H11" s="580">
        <v>14218</v>
      </c>
      <c r="I11" s="580">
        <v>15829</v>
      </c>
      <c r="J11" s="580">
        <v>16938</v>
      </c>
      <c r="K11" s="580">
        <v>12542</v>
      </c>
      <c r="L11" s="580">
        <v>14998.005565862706</v>
      </c>
      <c r="M11" s="580">
        <v>17756</v>
      </c>
      <c r="N11" s="581">
        <v>10570</v>
      </c>
      <c r="O11" s="580">
        <v>14582</v>
      </c>
      <c r="P11" s="580">
        <v>10587</v>
      </c>
      <c r="Q11" s="580">
        <v>18260</v>
      </c>
      <c r="R11" s="580">
        <v>10952</v>
      </c>
      <c r="S11" s="580">
        <v>10878</v>
      </c>
      <c r="T11" s="580">
        <v>13661</v>
      </c>
      <c r="U11" s="580">
        <v>8620</v>
      </c>
      <c r="V11" s="580">
        <v>12250</v>
      </c>
      <c r="W11" s="580">
        <v>15873</v>
      </c>
      <c r="X11" s="580">
        <v>16544</v>
      </c>
      <c r="Y11" s="580">
        <v>17135.611999511748</v>
      </c>
      <c r="Z11" s="580">
        <v>12707</v>
      </c>
      <c r="AA11" s="580">
        <v>13801</v>
      </c>
      <c r="AB11" s="580">
        <v>6198</v>
      </c>
      <c r="AC11" s="580">
        <v>9407</v>
      </c>
      <c r="AD11" s="580">
        <v>6916</v>
      </c>
      <c r="AE11" s="580">
        <v>9122.472412109375</v>
      </c>
      <c r="AF11" s="580">
        <v>9923.3910827636719</v>
      </c>
      <c r="AG11" s="580">
        <f>AF11+((AG6-AG13)*1000)</f>
        <v>5715.2799716525633</v>
      </c>
      <c r="AH11" s="580">
        <v>2608</v>
      </c>
      <c r="AI11" s="580">
        <v>5452</v>
      </c>
      <c r="AJ11" s="580">
        <v>12416</v>
      </c>
      <c r="AK11" s="580">
        <v>13315</v>
      </c>
      <c r="AL11" s="580">
        <v>8617</v>
      </c>
      <c r="AM11" s="580">
        <v>15252.196105957031</v>
      </c>
      <c r="AN11" s="580">
        <v>15784</v>
      </c>
      <c r="AO11" s="580">
        <v>14297</v>
      </c>
      <c r="AP11" s="580">
        <v>11185.101745605469</v>
      </c>
      <c r="AQ11" s="580">
        <v>10090.282043457031</v>
      </c>
      <c r="AR11" s="580">
        <v>10986</v>
      </c>
      <c r="AS11" s="580">
        <v>12870</v>
      </c>
      <c r="AT11" s="580">
        <v>9734</v>
      </c>
      <c r="AU11" s="580">
        <v>8503.5310573577881</v>
      </c>
      <c r="AV11" s="580">
        <v>7993.1530246734619</v>
      </c>
      <c r="AW11" s="580">
        <v>11222.628784179688</v>
      </c>
      <c r="AX11" s="580">
        <v>10678.500749588013</v>
      </c>
      <c r="AY11" s="580">
        <v>6267.9736328125</v>
      </c>
      <c r="AZ11" s="580">
        <v>14970.42724609375</v>
      </c>
      <c r="BA11" s="580">
        <v>10564.156494140625</v>
      </c>
      <c r="BB11" s="580">
        <v>10702</v>
      </c>
      <c r="BC11" s="580">
        <v>13927</v>
      </c>
      <c r="BD11" s="580">
        <v>16225.431045145331</v>
      </c>
      <c r="BE11" s="580">
        <v>17232.923314780463</v>
      </c>
      <c r="BF11" s="580">
        <v>15020</v>
      </c>
      <c r="BG11" s="580">
        <v>13565</v>
      </c>
      <c r="BH11" s="580">
        <v>8818</v>
      </c>
      <c r="BI11" s="580">
        <v>11744</v>
      </c>
      <c r="BJ11" s="580">
        <v>14198.392</v>
      </c>
      <c r="BK11" s="580">
        <v>12896</v>
      </c>
      <c r="BL11" s="580">
        <f t="shared" ref="BL11:BV11" si="2">BK11+((BL6-BL13)*1000)</f>
        <v>9914.6720977979458</v>
      </c>
      <c r="BM11" s="580">
        <f t="shared" si="2"/>
        <v>9084.5326158841417</v>
      </c>
      <c r="BN11" s="580">
        <f t="shared" si="2"/>
        <v>9558.9269932622592</v>
      </c>
      <c r="BO11" s="580">
        <f t="shared" si="2"/>
        <v>9346.655388323994</v>
      </c>
      <c r="BP11" s="580">
        <f t="shared" si="2"/>
        <v>9527.6430426449806</v>
      </c>
      <c r="BQ11" s="580">
        <f t="shared" si="2"/>
        <v>8963.8652648672069</v>
      </c>
      <c r="BR11" s="580">
        <f t="shared" si="2"/>
        <v>9656.2479809166016</v>
      </c>
      <c r="BS11" s="580">
        <f t="shared" si="2"/>
        <v>9051.0504500523984</v>
      </c>
      <c r="BT11" s="580">
        <f t="shared" si="2"/>
        <v>9290.7628228222293</v>
      </c>
      <c r="BU11" s="580">
        <f t="shared" si="2"/>
        <v>10170.87595536246</v>
      </c>
      <c r="BV11" s="580">
        <f t="shared" si="2"/>
        <v>8918.4723897559325</v>
      </c>
      <c r="BW11" s="580">
        <f>BV11+((BW6-BW13)*1000)</f>
        <v>9209.2787006926064</v>
      </c>
      <c r="BX11" s="580">
        <f>BW11+((BX6-BX13)*1000)</f>
        <v>2174.4514259830639</v>
      </c>
    </row>
    <row r="12" spans="1:86" s="588" customFormat="1" ht="15" thickBot="1">
      <c r="A12" s="582"/>
      <c r="B12" s="583" t="s">
        <v>196</v>
      </c>
      <c r="C12" s="584">
        <f>C11/49624.4*100</f>
        <v>25.795777883460552</v>
      </c>
      <c r="D12" s="585">
        <f>D11/49624.4*100</f>
        <v>24.137319544417664</v>
      </c>
      <c r="E12" s="585">
        <f>E11/45790.8*100</f>
        <v>25.810861570446463</v>
      </c>
      <c r="F12" s="585">
        <f>F11/45790.8*100</f>
        <v>27.333001388925283</v>
      </c>
      <c r="G12" s="585">
        <f>G11/45790.8*100</f>
        <v>33.57006210854582</v>
      </c>
      <c r="H12" s="585">
        <f>H11/45790.8*100</f>
        <v>31.049905221136122</v>
      </c>
      <c r="I12" s="585">
        <f>I11/22600*100</f>
        <v>70.039823008849552</v>
      </c>
      <c r="J12" s="585">
        <f t="shared" ref="J12:AS12" si="3">J11/22600*100</f>
        <v>74.946902654867259</v>
      </c>
      <c r="K12" s="585">
        <f t="shared" si="3"/>
        <v>55.495575221238937</v>
      </c>
      <c r="L12" s="585">
        <f t="shared" si="3"/>
        <v>66.362856486118176</v>
      </c>
      <c r="M12" s="585">
        <f t="shared" si="3"/>
        <v>78.56637168141593</v>
      </c>
      <c r="N12" s="585">
        <f t="shared" si="3"/>
        <v>46.769911504424776</v>
      </c>
      <c r="O12" s="585">
        <f t="shared" si="3"/>
        <v>64.522123893805301</v>
      </c>
      <c r="P12" s="585">
        <f t="shared" si="3"/>
        <v>46.845132743362832</v>
      </c>
      <c r="Q12" s="585">
        <f t="shared" si="3"/>
        <v>80.796460176991147</v>
      </c>
      <c r="R12" s="585">
        <f t="shared" si="3"/>
        <v>48.460176991150448</v>
      </c>
      <c r="S12" s="585">
        <f t="shared" si="3"/>
        <v>48.13274336283186</v>
      </c>
      <c r="T12" s="585">
        <f t="shared" si="3"/>
        <v>60.446902654867252</v>
      </c>
      <c r="U12" s="585">
        <f t="shared" si="3"/>
        <v>38.141592920353986</v>
      </c>
      <c r="V12" s="585">
        <f t="shared" si="3"/>
        <v>54.203539823008853</v>
      </c>
      <c r="W12" s="585">
        <f t="shared" si="3"/>
        <v>70.23451327433628</v>
      </c>
      <c r="X12" s="585">
        <f t="shared" si="3"/>
        <v>73.203539823008839</v>
      </c>
      <c r="Y12" s="585">
        <f t="shared" si="3"/>
        <v>75.821292033237825</v>
      </c>
      <c r="Z12" s="585">
        <f t="shared" si="3"/>
        <v>56.225663716814154</v>
      </c>
      <c r="AA12" s="585">
        <f t="shared" si="3"/>
        <v>61.06637168141593</v>
      </c>
      <c r="AB12" s="585">
        <f t="shared" si="3"/>
        <v>27.424778761061948</v>
      </c>
      <c r="AC12" s="585">
        <f t="shared" si="3"/>
        <v>41.623893805309734</v>
      </c>
      <c r="AD12" s="585">
        <f t="shared" si="3"/>
        <v>30.601769911504423</v>
      </c>
      <c r="AE12" s="585">
        <f t="shared" si="3"/>
        <v>40.364922177475108</v>
      </c>
      <c r="AF12" s="585">
        <f t="shared" si="3"/>
        <v>43.90881010072421</v>
      </c>
      <c r="AG12" s="585">
        <f t="shared" si="3"/>
        <v>25.288849432090988</v>
      </c>
      <c r="AH12" s="585">
        <f t="shared" si="3"/>
        <v>11.539823008849558</v>
      </c>
      <c r="AI12" s="585">
        <f>AI11/22600*100</f>
        <v>24.123893805309734</v>
      </c>
      <c r="AJ12" s="585">
        <f t="shared" si="3"/>
        <v>54.938053097345133</v>
      </c>
      <c r="AK12" s="585">
        <f t="shared" si="3"/>
        <v>58.915929203539818</v>
      </c>
      <c r="AL12" s="585">
        <f t="shared" si="3"/>
        <v>38.128318584070797</v>
      </c>
      <c r="AM12" s="585">
        <f t="shared" si="3"/>
        <v>67.487593389190408</v>
      </c>
      <c r="AN12" s="585">
        <f t="shared" si="3"/>
        <v>69.840707964601762</v>
      </c>
      <c r="AO12" s="585">
        <f t="shared" si="3"/>
        <v>63.26106194690265</v>
      </c>
      <c r="AP12" s="585">
        <f t="shared" si="3"/>
        <v>49.49160064427199</v>
      </c>
      <c r="AQ12" s="585">
        <f t="shared" si="3"/>
        <v>44.647265679013415</v>
      </c>
      <c r="AR12" s="585">
        <f t="shared" si="3"/>
        <v>48.610619469026553</v>
      </c>
      <c r="AS12" s="585">
        <f t="shared" si="3"/>
        <v>56.946902654867259</v>
      </c>
      <c r="AT12" s="586">
        <f t="shared" ref="AT12:AY12" si="4">AT11/18350*100</f>
        <v>53.046321525885553</v>
      </c>
      <c r="AU12" s="586">
        <f t="shared" si="4"/>
        <v>46.340768704947074</v>
      </c>
      <c r="AV12" s="586">
        <f t="shared" si="4"/>
        <v>43.559417028193252</v>
      </c>
      <c r="AW12" s="586">
        <f t="shared" si="4"/>
        <v>61.158739968281672</v>
      </c>
      <c r="AX12" s="586">
        <f t="shared" si="4"/>
        <v>58.193464575411511</v>
      </c>
      <c r="AY12" s="585">
        <f t="shared" si="4"/>
        <v>34.157894456743868</v>
      </c>
      <c r="AZ12" s="587">
        <f>AZ11/22600</f>
        <v>0.66240828522538719</v>
      </c>
      <c r="BA12" s="587">
        <f t="shared" ref="BA12:BX12" si="5">BA11/22600</f>
        <v>0.46744055283808073</v>
      </c>
      <c r="BB12" s="587">
        <f t="shared" si="5"/>
        <v>0.47353982300884956</v>
      </c>
      <c r="BC12" s="587">
        <f t="shared" si="5"/>
        <v>0.61623893805309737</v>
      </c>
      <c r="BD12" s="587">
        <f t="shared" si="5"/>
        <v>0.71793942677634204</v>
      </c>
      <c r="BE12" s="587">
        <f t="shared" si="5"/>
        <v>0.76251873074249832</v>
      </c>
      <c r="BF12" s="587">
        <f t="shared" si="5"/>
        <v>0.66460176991150444</v>
      </c>
      <c r="BG12" s="587">
        <f t="shared" si="5"/>
        <v>0.60022123893805313</v>
      </c>
      <c r="BH12" s="587">
        <f t="shared" si="5"/>
        <v>0.39017699115044246</v>
      </c>
      <c r="BI12" s="587">
        <f t="shared" si="5"/>
        <v>0.519646017699115</v>
      </c>
      <c r="BJ12" s="587">
        <f t="shared" si="5"/>
        <v>0.62824743362831859</v>
      </c>
      <c r="BK12" s="587">
        <f t="shared" si="5"/>
        <v>0.5706194690265487</v>
      </c>
      <c r="BL12" s="587">
        <f t="shared" si="5"/>
        <v>0.43870230521229847</v>
      </c>
      <c r="BM12" s="587">
        <f t="shared" si="5"/>
        <v>0.40197046972938683</v>
      </c>
      <c r="BN12" s="587">
        <f t="shared" si="5"/>
        <v>0.42296137138328582</v>
      </c>
      <c r="BO12" s="587">
        <f t="shared" si="5"/>
        <v>0.41356882249221211</v>
      </c>
      <c r="BP12" s="587">
        <f t="shared" si="5"/>
        <v>0.42157712578075135</v>
      </c>
      <c r="BQ12" s="587">
        <f t="shared" si="5"/>
        <v>0.39663120641005339</v>
      </c>
      <c r="BR12" s="587">
        <f t="shared" si="5"/>
        <v>0.42726760977507089</v>
      </c>
      <c r="BS12" s="587">
        <f t="shared" si="5"/>
        <v>0.4004889579669203</v>
      </c>
      <c r="BT12" s="587">
        <f t="shared" si="5"/>
        <v>0.41109570012487739</v>
      </c>
      <c r="BU12" s="587">
        <f t="shared" si="5"/>
        <v>0.45003875908683455</v>
      </c>
      <c r="BV12" s="587">
        <f t="shared" si="5"/>
        <v>0.39462267211309437</v>
      </c>
      <c r="BW12" s="587">
        <f t="shared" si="5"/>
        <v>0.4074902079952481</v>
      </c>
      <c r="BX12" s="587">
        <f t="shared" si="5"/>
        <v>9.621466486650726E-2</v>
      </c>
    </row>
    <row r="13" spans="1:86" s="592" customFormat="1">
      <c r="A13" s="589"/>
      <c r="B13" s="589" t="s">
        <v>197</v>
      </c>
      <c r="C13" s="590">
        <f t="shared" ref="C13:T13" si="6">SUM(C7:C10)</f>
        <v>85.757612000000009</v>
      </c>
      <c r="D13" s="590">
        <f t="shared" si="6"/>
        <v>81.333900999999997</v>
      </c>
      <c r="E13" s="590">
        <f t="shared" si="6"/>
        <v>79.639566000000002</v>
      </c>
      <c r="F13" s="590">
        <f t="shared" si="6"/>
        <v>86.705891000000008</v>
      </c>
      <c r="G13" s="590">
        <f t="shared" si="6"/>
        <v>82.07502199999999</v>
      </c>
      <c r="H13" s="590">
        <f t="shared" si="6"/>
        <v>84.744775000000004</v>
      </c>
      <c r="I13" s="590">
        <f t="shared" si="6"/>
        <v>90.3</v>
      </c>
      <c r="J13" s="590">
        <f t="shared" si="6"/>
        <v>86.3</v>
      </c>
      <c r="K13" s="590">
        <f t="shared" si="6"/>
        <v>92.896999999999991</v>
      </c>
      <c r="L13" s="590">
        <f t="shared" si="6"/>
        <v>90.323999999999998</v>
      </c>
      <c r="M13" s="590">
        <f t="shared" si="6"/>
        <v>83.8</v>
      </c>
      <c r="N13" s="590">
        <f t="shared" si="6"/>
        <v>97.908999999999992</v>
      </c>
      <c r="O13" s="590">
        <f t="shared" si="6"/>
        <v>81.8</v>
      </c>
      <c r="P13" s="590">
        <f t="shared" si="6"/>
        <v>82.349000000000004</v>
      </c>
      <c r="Q13" s="590">
        <f t="shared" si="6"/>
        <v>84.6</v>
      </c>
      <c r="R13" s="590">
        <f t="shared" si="6"/>
        <v>84.234000000000009</v>
      </c>
      <c r="S13" s="590">
        <f t="shared" si="6"/>
        <v>89.6</v>
      </c>
      <c r="T13" s="590">
        <f t="shared" si="6"/>
        <v>78</v>
      </c>
      <c r="U13" s="590">
        <f>SUM(U7:U10)</f>
        <v>79</v>
      </c>
      <c r="V13" s="590">
        <f>SUM(V7:V10)</f>
        <v>80</v>
      </c>
      <c r="W13" s="590">
        <f>SUM(W7:W10)</f>
        <v>75.5</v>
      </c>
      <c r="X13" s="590">
        <f>SUM(X7:X10)</f>
        <v>89.2</v>
      </c>
      <c r="Y13" s="590">
        <f>SUM(Y7:Y10)</f>
        <v>90</v>
      </c>
      <c r="Z13" s="590">
        <f t="shared" ref="Z13:BX13" si="7">SUM(Z7:Z10)</f>
        <v>95.179000000000002</v>
      </c>
      <c r="AA13" s="590">
        <f t="shared" si="7"/>
        <v>86.111111111111114</v>
      </c>
      <c r="AB13" s="590">
        <f t="shared" si="7"/>
        <v>83.37777777777778</v>
      </c>
      <c r="AC13" s="590">
        <f t="shared" si="7"/>
        <v>78.711111111111109</v>
      </c>
      <c r="AD13" s="590">
        <f t="shared" si="7"/>
        <v>78.61333333333333</v>
      </c>
      <c r="AE13" s="590">
        <f t="shared" si="7"/>
        <v>78.111111111111114</v>
      </c>
      <c r="AF13" s="590">
        <f t="shared" si="7"/>
        <v>81.893333333333331</v>
      </c>
      <c r="AG13" s="590">
        <f t="shared" si="7"/>
        <v>84.331111111111113</v>
      </c>
      <c r="AH13" s="590">
        <f t="shared" si="7"/>
        <v>77.611111111111114</v>
      </c>
      <c r="AI13" s="590">
        <f t="shared" si="7"/>
        <v>61.9</v>
      </c>
      <c r="AJ13" s="590">
        <f t="shared" si="7"/>
        <v>70.7</v>
      </c>
      <c r="AK13" s="590">
        <f t="shared" si="7"/>
        <v>77.393827160493828</v>
      </c>
      <c r="AL13" s="590">
        <f t="shared" si="7"/>
        <v>85.203703703703709</v>
      </c>
      <c r="AM13" s="590">
        <f t="shared" si="7"/>
        <v>63.518518518518519</v>
      </c>
      <c r="AN13" s="590">
        <f t="shared" si="7"/>
        <v>71.148148148148152</v>
      </c>
      <c r="AO13" s="590">
        <f>SUM(AO7:AO10)</f>
        <v>87.407407407407405</v>
      </c>
      <c r="AP13" s="590">
        <f t="shared" si="7"/>
        <v>85.407407407407405</v>
      </c>
      <c r="AQ13" s="590">
        <f t="shared" si="7"/>
        <v>81.23456790123457</v>
      </c>
      <c r="AR13" s="590">
        <f t="shared" si="7"/>
        <v>82.320987654320987</v>
      </c>
      <c r="AS13" s="590">
        <f t="shared" si="7"/>
        <v>83.549382716049379</v>
      </c>
      <c r="AT13" s="590">
        <f t="shared" si="7"/>
        <v>85.864197530864203</v>
      </c>
      <c r="AU13" s="590">
        <f t="shared" si="7"/>
        <v>80.820987654320987</v>
      </c>
      <c r="AV13" s="590">
        <f t="shared" si="7"/>
        <v>82.888888888888886</v>
      </c>
      <c r="AW13" s="590">
        <f t="shared" si="7"/>
        <v>80.339506172839506</v>
      </c>
      <c r="AX13" s="590">
        <f t="shared" si="7"/>
        <v>87.407407407407391</v>
      </c>
      <c r="AY13" s="590">
        <f t="shared" si="7"/>
        <v>84.320987654320987</v>
      </c>
      <c r="AZ13" s="590">
        <f t="shared" si="7"/>
        <v>61.606172839506179</v>
      </c>
      <c r="BA13" s="590">
        <f t="shared" si="7"/>
        <v>85.588888888888874</v>
      </c>
      <c r="BB13" s="590">
        <f t="shared" si="7"/>
        <v>65.348148148148155</v>
      </c>
      <c r="BC13" s="590">
        <f t="shared" si="7"/>
        <v>56.088888888888889</v>
      </c>
      <c r="BD13" s="590">
        <f>SUM(BD7:BD10)</f>
        <v>61.049382716049379</v>
      </c>
      <c r="BE13" s="590">
        <f>SUM(BE7:BE10)</f>
        <v>66.574049382716041</v>
      </c>
      <c r="BF13" s="590">
        <f>SUM(BF7:BF10)</f>
        <v>78.259259259259267</v>
      </c>
      <c r="BG13" s="590">
        <f>SUM(BG7:BG10)</f>
        <v>77.716049382716051</v>
      </c>
      <c r="BH13" s="590">
        <f>SUM(BH7:BH10)</f>
        <v>82.981481481481467</v>
      </c>
      <c r="BI13" s="590">
        <f t="shared" si="7"/>
        <v>70.866419753086419</v>
      </c>
      <c r="BJ13" s="590">
        <f t="shared" si="7"/>
        <v>76.550246913580239</v>
      </c>
      <c r="BK13" s="590">
        <f t="shared" si="7"/>
        <v>83.408641975308626</v>
      </c>
      <c r="BL13" s="590">
        <f t="shared" si="7"/>
        <v>76.808641975308632</v>
      </c>
      <c r="BM13" s="590">
        <f t="shared" si="7"/>
        <v>83.753086419753089</v>
      </c>
      <c r="BN13" s="590">
        <f t="shared" si="7"/>
        <v>73.858024691358025</v>
      </c>
      <c r="BO13" s="590">
        <f t="shared" si="7"/>
        <v>81.438271604938265</v>
      </c>
      <c r="BP13" s="590">
        <f t="shared" si="7"/>
        <v>75.179012345679013</v>
      </c>
      <c r="BQ13" s="590">
        <f t="shared" si="7"/>
        <v>62.577777777777776</v>
      </c>
      <c r="BR13" s="590">
        <f t="shared" si="7"/>
        <v>76.950617283950606</v>
      </c>
      <c r="BS13" s="590">
        <f t="shared" si="7"/>
        <v>72.864197530864203</v>
      </c>
      <c r="BT13" s="590">
        <f t="shared" si="7"/>
        <v>65.271604938271608</v>
      </c>
      <c r="BU13" s="590">
        <f t="shared" si="7"/>
        <v>72.864197530864203</v>
      </c>
      <c r="BV13" s="590">
        <f t="shared" si="7"/>
        <v>76.950617283950606</v>
      </c>
      <c r="BW13" s="590">
        <f t="shared" si="7"/>
        <v>75.407407407407405</v>
      </c>
      <c r="BX13" s="590">
        <f t="shared" si="7"/>
        <v>75.407407407407405</v>
      </c>
      <c r="BY13" s="591" t="s">
        <v>198</v>
      </c>
      <c r="CE13" s="593"/>
    </row>
    <row r="14" spans="1:86" s="592" customFormat="1">
      <c r="A14" s="589"/>
      <c r="B14" s="589" t="s">
        <v>199</v>
      </c>
      <c r="C14" s="590">
        <f t="shared" ref="C14:BN14" si="8">C6-C13</f>
        <v>-85.757612000000009</v>
      </c>
      <c r="D14" s="590">
        <f t="shared" si="8"/>
        <v>6.9172829000009983E-2</v>
      </c>
      <c r="E14" s="590">
        <f t="shared" si="8"/>
        <v>3.2836695919999954</v>
      </c>
      <c r="F14" s="590">
        <f t="shared" si="8"/>
        <v>1.4400650609999843</v>
      </c>
      <c r="G14" s="590">
        <f t="shared" si="8"/>
        <v>4.7921075090000045</v>
      </c>
      <c r="H14" s="590">
        <f t="shared" si="8"/>
        <v>1.0508554790000062</v>
      </c>
      <c r="I14" s="590">
        <f t="shared" si="8"/>
        <v>-0.11999999999999034</v>
      </c>
      <c r="J14" s="590">
        <f t="shared" si="8"/>
        <v>-5.7999999999992724E-2</v>
      </c>
      <c r="K14" s="590">
        <f t="shared" si="8"/>
        <v>-5.5529999999999973</v>
      </c>
      <c r="L14" s="590">
        <f t="shared" si="8"/>
        <v>1.4759999999999991</v>
      </c>
      <c r="M14" s="590">
        <f t="shared" si="8"/>
        <v>3.375</v>
      </c>
      <c r="N14" s="590">
        <f t="shared" si="8"/>
        <v>-9.5089999999999861</v>
      </c>
      <c r="O14" s="590">
        <f t="shared" si="8"/>
        <v>5.2580000000000098</v>
      </c>
      <c r="P14" s="590">
        <f t="shared" si="8"/>
        <v>-1.3560000000000088</v>
      </c>
      <c r="Q14" s="590">
        <f t="shared" si="8"/>
        <v>6</v>
      </c>
      <c r="R14" s="590">
        <f t="shared" si="8"/>
        <v>-7.4340000000000117</v>
      </c>
      <c r="S14" s="590">
        <f t="shared" si="8"/>
        <v>-2.6699999999999875</v>
      </c>
      <c r="T14" s="590">
        <f t="shared" si="8"/>
        <v>1.8610000000000042</v>
      </c>
      <c r="U14" s="590">
        <f t="shared" si="8"/>
        <v>-2.6460000000000008</v>
      </c>
      <c r="V14" s="590">
        <f t="shared" si="8"/>
        <v>2.4159999999999968</v>
      </c>
      <c r="W14" s="590">
        <f t="shared" si="8"/>
        <v>1.5900000000000034</v>
      </c>
      <c r="X14" s="590">
        <f t="shared" si="8"/>
        <v>-1.1270000000000095</v>
      </c>
      <c r="Y14" s="590">
        <f t="shared" si="8"/>
        <v>0.5</v>
      </c>
      <c r="Z14" s="590">
        <f t="shared" si="8"/>
        <v>-5.9630000000000081</v>
      </c>
      <c r="AA14" s="590">
        <f t="shared" si="8"/>
        <v>0.38888888888888573</v>
      </c>
      <c r="AB14" s="590">
        <f t="shared" si="8"/>
        <v>-8.1097777777777793</v>
      </c>
      <c r="AC14" s="590">
        <f t="shared" si="8"/>
        <v>3.2888888888888914</v>
      </c>
      <c r="AD14" s="590">
        <f t="shared" si="8"/>
        <v>-1.318333333333328</v>
      </c>
      <c r="AE14" s="590">
        <f t="shared" si="8"/>
        <v>4.637888888888881</v>
      </c>
      <c r="AF14" s="590">
        <f t="shared" si="8"/>
        <v>-2.3333333333326323E-2</v>
      </c>
      <c r="AG14" s="590">
        <f t="shared" si="8"/>
        <v>-4.2081111111111085</v>
      </c>
      <c r="AH14" s="590">
        <f t="shared" si="8"/>
        <v>4.8888888888888857</v>
      </c>
      <c r="AI14" s="590">
        <f t="shared" si="8"/>
        <v>11.07109090909092</v>
      </c>
      <c r="AJ14" s="590">
        <f t="shared" si="8"/>
        <v>11.819000000000003</v>
      </c>
      <c r="AK14" s="590">
        <f t="shared" si="8"/>
        <v>0.80617283950617491</v>
      </c>
      <c r="AL14" s="590">
        <f t="shared" si="8"/>
        <v>-5.2537037037037067</v>
      </c>
      <c r="AM14" s="590">
        <f t="shared" si="8"/>
        <v>6.4114814814814878</v>
      </c>
      <c r="AN14" s="590">
        <f t="shared" si="8"/>
        <v>-0.80414814814815827</v>
      </c>
      <c r="AO14" s="590">
        <f t="shared" si="8"/>
        <v>-3.4074074074074048</v>
      </c>
      <c r="AP14" s="590">
        <f t="shared" si="8"/>
        <v>-4.4074074074074048</v>
      </c>
      <c r="AQ14" s="590">
        <f t="shared" si="8"/>
        <v>-0.59756790123456938</v>
      </c>
      <c r="AR14" s="590">
        <f t="shared" si="8"/>
        <v>-4.3209876543209873</v>
      </c>
      <c r="AS14" s="590">
        <f t="shared" si="8"/>
        <v>0.8506172839506263</v>
      </c>
      <c r="AT14" s="590">
        <f t="shared" si="8"/>
        <v>-1.9701975308641977</v>
      </c>
      <c r="AU14" s="590">
        <f t="shared" si="8"/>
        <v>-0.1369876543209898</v>
      </c>
      <c r="AV14" s="590">
        <f t="shared" si="8"/>
        <v>-1.5888888888888886</v>
      </c>
      <c r="AW14" s="590">
        <f t="shared" si="8"/>
        <v>2.6604938271604937</v>
      </c>
      <c r="AX14" s="590">
        <f t="shared" si="8"/>
        <v>-1.8074074074073962</v>
      </c>
      <c r="AY14" s="590">
        <f t="shared" si="8"/>
        <v>-3.8209876543209873</v>
      </c>
      <c r="AZ14" s="590">
        <f t="shared" si="8"/>
        <v>8.193827160493818</v>
      </c>
      <c r="BA14" s="590">
        <f t="shared" si="8"/>
        <v>-4.7888888888888772</v>
      </c>
      <c r="BB14" s="590">
        <f t="shared" si="8"/>
        <v>-0.8481481481481552</v>
      </c>
      <c r="BC14" s="590">
        <f t="shared" si="8"/>
        <v>1.0751111111111129</v>
      </c>
      <c r="BD14" s="590">
        <f>BD6-BD13</f>
        <v>0.15061728395062346</v>
      </c>
      <c r="BE14" s="590">
        <f>BE6-BE13</f>
        <v>-0.37404938271603783</v>
      </c>
      <c r="BF14" s="590">
        <f>BF6-BF13</f>
        <v>-3.8002592592592634</v>
      </c>
      <c r="BG14" s="590">
        <f>BG6-BG13</f>
        <v>-1.1160493827160565</v>
      </c>
      <c r="BH14" s="590">
        <f>BH6-BH13</f>
        <v>-4.9104814814814688</v>
      </c>
      <c r="BI14" s="590">
        <f t="shared" si="8"/>
        <v>1.2125802469135749</v>
      </c>
      <c r="BJ14" s="590">
        <f t="shared" si="8"/>
        <v>2.4497530864197614</v>
      </c>
      <c r="BK14" s="590">
        <f t="shared" si="8"/>
        <v>-1.5240584122132077</v>
      </c>
      <c r="BL14" s="590">
        <f t="shared" si="8"/>
        <v>-2.9813279022020538</v>
      </c>
      <c r="BM14" s="590">
        <f t="shared" si="8"/>
        <v>-0.83013948191380393</v>
      </c>
      <c r="BN14" s="590">
        <f t="shared" si="8"/>
        <v>0.47439437737811829</v>
      </c>
      <c r="BO14" s="590">
        <f t="shared" ref="BO14:BX14" si="9">BO6-BO13</f>
        <v>-0.21227160493826602</v>
      </c>
      <c r="BP14" s="590">
        <f t="shared" si="9"/>
        <v>0.18098765432098674</v>
      </c>
      <c r="BQ14" s="590">
        <f t="shared" si="9"/>
        <v>-0.56377777777777283</v>
      </c>
      <c r="BR14" s="590">
        <f t="shared" si="9"/>
        <v>0.69238271604939428</v>
      </c>
      <c r="BS14" s="590">
        <f t="shared" si="9"/>
        <v>-0.6051975308642028</v>
      </c>
      <c r="BT14" s="590">
        <f t="shared" si="9"/>
        <v>0.23971237276983004</v>
      </c>
      <c r="BU14" s="590">
        <f t="shared" si="9"/>
        <v>0.88011313254023094</v>
      </c>
      <c r="BV14" s="590">
        <f t="shared" si="9"/>
        <v>-1.252403565606528</v>
      </c>
      <c r="BW14" s="590">
        <f t="shared" si="9"/>
        <v>0.29080631093667364</v>
      </c>
      <c r="BX14" s="590">
        <f t="shared" si="9"/>
        <v>-7.0348272747095422</v>
      </c>
    </row>
    <row r="15" spans="1:86">
      <c r="B15" s="490" t="s">
        <v>200</v>
      </c>
      <c r="C15" s="493">
        <f t="shared" ref="C15:BN15" si="10">C16+C17</f>
        <v>85.757612000000009</v>
      </c>
      <c r="D15" s="493">
        <f t="shared" si="10"/>
        <v>81.333900999999997</v>
      </c>
      <c r="E15" s="493">
        <f t="shared" si="10"/>
        <v>79.639566000000002</v>
      </c>
      <c r="F15" s="493">
        <f t="shared" si="10"/>
        <v>86.705891000000008</v>
      </c>
      <c r="G15" s="493">
        <f t="shared" si="10"/>
        <v>82.075022000000004</v>
      </c>
      <c r="H15" s="493">
        <f t="shared" si="10"/>
        <v>84.744775000000004</v>
      </c>
      <c r="I15" s="493">
        <f t="shared" si="10"/>
        <v>85.3</v>
      </c>
      <c r="J15" s="493">
        <f t="shared" si="10"/>
        <v>86.3</v>
      </c>
      <c r="K15" s="493">
        <f t="shared" si="10"/>
        <v>92.897000000000006</v>
      </c>
      <c r="L15" s="493">
        <f t="shared" si="10"/>
        <v>90.323999999999998</v>
      </c>
      <c r="M15" s="493">
        <f t="shared" si="10"/>
        <v>83.8</v>
      </c>
      <c r="N15" s="493">
        <f t="shared" si="10"/>
        <v>97.909000000000006</v>
      </c>
      <c r="O15" s="493">
        <f>O16+O17</f>
        <v>81.8</v>
      </c>
      <c r="P15" s="493">
        <f t="shared" si="10"/>
        <v>82.34899999999999</v>
      </c>
      <c r="Q15" s="493">
        <f t="shared" si="10"/>
        <v>84.6</v>
      </c>
      <c r="R15" s="493">
        <f t="shared" si="10"/>
        <v>84.234000000000009</v>
      </c>
      <c r="S15" s="493">
        <f t="shared" si="10"/>
        <v>89.6</v>
      </c>
      <c r="T15" s="493">
        <f t="shared" si="10"/>
        <v>78</v>
      </c>
      <c r="U15" s="493">
        <f t="shared" si="10"/>
        <v>79</v>
      </c>
      <c r="V15" s="493" t="e">
        <f t="shared" si="10"/>
        <v>#VALUE!</v>
      </c>
      <c r="W15" s="493">
        <f t="shared" si="10"/>
        <v>75.5</v>
      </c>
      <c r="X15" s="493">
        <f t="shared" si="10"/>
        <v>89.2</v>
      </c>
      <c r="Y15" s="493">
        <f t="shared" si="10"/>
        <v>90</v>
      </c>
      <c r="Z15" s="493">
        <f t="shared" si="10"/>
        <v>95.179000000000002</v>
      </c>
      <c r="AA15" s="493">
        <f>AA16+AA17</f>
        <v>86.111111111111114</v>
      </c>
      <c r="AB15" s="493">
        <f t="shared" ref="AB15:AR15" si="11">AB16+AB17</f>
        <v>83.377777777777766</v>
      </c>
      <c r="AC15" s="493">
        <f t="shared" si="11"/>
        <v>78.711111111111109</v>
      </c>
      <c r="AD15" s="493">
        <f t="shared" si="11"/>
        <v>78.61333333333333</v>
      </c>
      <c r="AE15" s="493">
        <f t="shared" si="11"/>
        <v>78.111111111111114</v>
      </c>
      <c r="AF15" s="493">
        <f t="shared" si="11"/>
        <v>81.893333333333331</v>
      </c>
      <c r="AG15" s="493">
        <f t="shared" si="11"/>
        <v>82.431111111111107</v>
      </c>
      <c r="AH15" s="493">
        <f t="shared" si="11"/>
        <v>77.611111111111114</v>
      </c>
      <c r="AI15" s="493">
        <f t="shared" si="11"/>
        <v>61.9</v>
      </c>
      <c r="AJ15" s="493">
        <f t="shared" si="11"/>
        <v>68.8</v>
      </c>
      <c r="AK15" s="493">
        <f t="shared" si="11"/>
        <v>75.493827160493822</v>
      </c>
      <c r="AL15" s="493">
        <f t="shared" si="11"/>
        <v>85.203703703703709</v>
      </c>
      <c r="AM15" s="493">
        <f t="shared" si="11"/>
        <v>63.518518518518519</v>
      </c>
      <c r="AN15" s="493">
        <f t="shared" si="11"/>
        <v>71.148148148148152</v>
      </c>
      <c r="AO15" s="493">
        <f t="shared" si="11"/>
        <v>87.407407407407405</v>
      </c>
      <c r="AP15" s="493">
        <f t="shared" si="11"/>
        <v>85.407407407407405</v>
      </c>
      <c r="AQ15" s="493">
        <f t="shared" si="11"/>
        <v>81.23456790123457</v>
      </c>
      <c r="AR15" s="493">
        <f t="shared" si="11"/>
        <v>82.320987654320987</v>
      </c>
      <c r="AS15" s="493">
        <f t="shared" si="10"/>
        <v>83.549382716049379</v>
      </c>
      <c r="AT15" s="493">
        <f t="shared" si="10"/>
        <v>85.864197530864203</v>
      </c>
      <c r="AU15" s="493">
        <f t="shared" si="10"/>
        <v>80.820987654320987</v>
      </c>
      <c r="AV15" s="493">
        <f t="shared" si="10"/>
        <v>82.888888888888886</v>
      </c>
      <c r="AW15" s="493">
        <f t="shared" si="10"/>
        <v>80.339506172839506</v>
      </c>
      <c r="AX15" s="493">
        <f t="shared" si="10"/>
        <v>87.407407407407391</v>
      </c>
      <c r="AY15" s="493">
        <f t="shared" si="10"/>
        <v>84.320987654320987</v>
      </c>
      <c r="AZ15" s="493">
        <f t="shared" si="10"/>
        <v>60.506172839506178</v>
      </c>
      <c r="BA15" s="493">
        <f t="shared" si="10"/>
        <v>82.48888888888888</v>
      </c>
      <c r="BB15" s="493">
        <f t="shared" si="10"/>
        <v>65.348148148148155</v>
      </c>
      <c r="BC15" s="493">
        <f t="shared" si="10"/>
        <v>56.088888888888889</v>
      </c>
      <c r="BD15" s="493">
        <f>BD16+BD17</f>
        <v>61.049382716049379</v>
      </c>
      <c r="BE15" s="493">
        <f>BE16+BE17</f>
        <v>66.574049382716041</v>
      </c>
      <c r="BF15" s="493">
        <f>BF16+BF17</f>
        <v>78.259259259259267</v>
      </c>
      <c r="BG15" s="493">
        <f>BG16+BG17</f>
        <v>77.716049382716051</v>
      </c>
      <c r="BH15" s="493">
        <f>BH16+BH17</f>
        <v>82.981481481481467</v>
      </c>
      <c r="BI15" s="493">
        <f t="shared" si="10"/>
        <v>70.866419753086419</v>
      </c>
      <c r="BJ15" s="493">
        <f t="shared" si="10"/>
        <v>76.550246913580239</v>
      </c>
      <c r="BK15" s="493">
        <f t="shared" si="10"/>
        <v>82.808641975308632</v>
      </c>
      <c r="BL15" s="493">
        <f t="shared" si="10"/>
        <v>76.808641975308632</v>
      </c>
      <c r="BM15" s="493">
        <f t="shared" si="10"/>
        <v>83.753086419753089</v>
      </c>
      <c r="BN15" s="493">
        <f t="shared" si="10"/>
        <v>73.858024691358025</v>
      </c>
      <c r="BO15" s="493">
        <f t="shared" ref="BO15:BX15" si="12">BO16+BO17</f>
        <v>81.438271604938265</v>
      </c>
      <c r="BP15" s="493">
        <f t="shared" si="12"/>
        <v>75.179012345679013</v>
      </c>
      <c r="BQ15" s="493">
        <f t="shared" si="12"/>
        <v>60.777777777777779</v>
      </c>
      <c r="BR15" s="493">
        <f t="shared" si="12"/>
        <v>76.950617283950606</v>
      </c>
      <c r="BS15" s="493">
        <f t="shared" si="12"/>
        <v>72.864197530864203</v>
      </c>
      <c r="BT15" s="493">
        <f t="shared" si="12"/>
        <v>65.271604938271608</v>
      </c>
      <c r="BU15" s="493">
        <f t="shared" si="12"/>
        <v>72.864197530864203</v>
      </c>
      <c r="BV15" s="493">
        <f t="shared" si="12"/>
        <v>76.950617283950606</v>
      </c>
      <c r="BW15" s="493">
        <f t="shared" si="12"/>
        <v>75.407407407407405</v>
      </c>
      <c r="BX15" s="493">
        <f t="shared" si="12"/>
        <v>75.407407407407405</v>
      </c>
    </row>
    <row r="16" spans="1:86">
      <c r="B16" s="490" t="s">
        <v>138</v>
      </c>
      <c r="C16" s="493">
        <f t="shared" ref="C16:Z16" si="13">C7</f>
        <v>53.985610000000001</v>
      </c>
      <c r="D16" s="493">
        <f t="shared" si="13"/>
        <v>45.941310999999999</v>
      </c>
      <c r="E16" s="493">
        <f t="shared" si="13"/>
        <v>46.670610000000003</v>
      </c>
      <c r="F16" s="493">
        <f t="shared" si="13"/>
        <v>49.345337000000001</v>
      </c>
      <c r="G16" s="493">
        <f t="shared" si="13"/>
        <v>50.110622999999997</v>
      </c>
      <c r="H16" s="493">
        <f t="shared" si="13"/>
        <v>50.597169999999998</v>
      </c>
      <c r="I16" s="493">
        <f t="shared" si="13"/>
        <v>52.5</v>
      </c>
      <c r="J16" s="493">
        <f t="shared" si="13"/>
        <v>52.5</v>
      </c>
      <c r="K16" s="493">
        <f t="shared" si="13"/>
        <v>52.5</v>
      </c>
      <c r="L16" s="493">
        <f t="shared" si="13"/>
        <v>55</v>
      </c>
      <c r="M16" s="493">
        <f t="shared" si="13"/>
        <v>58</v>
      </c>
      <c r="N16" s="493">
        <f t="shared" si="13"/>
        <v>55.648000000000003</v>
      </c>
      <c r="O16" s="493">
        <f>O7</f>
        <v>31</v>
      </c>
      <c r="P16" s="493">
        <f t="shared" si="13"/>
        <v>28.548999999999999</v>
      </c>
      <c r="Q16" s="493">
        <f t="shared" si="13"/>
        <v>30</v>
      </c>
      <c r="R16" s="493">
        <f t="shared" si="13"/>
        <v>26.234000000000002</v>
      </c>
      <c r="S16" s="493">
        <f t="shared" si="13"/>
        <v>21.6</v>
      </c>
      <c r="T16" s="493">
        <f t="shared" si="13"/>
        <v>4.5999999999999996</v>
      </c>
      <c r="U16" s="493">
        <f t="shared" si="13"/>
        <v>23</v>
      </c>
      <c r="V16" s="493">
        <f t="shared" si="13"/>
        <v>25</v>
      </c>
      <c r="W16" s="493">
        <f t="shared" si="13"/>
        <v>21.5</v>
      </c>
      <c r="X16" s="493">
        <f t="shared" si="13"/>
        <v>31.2</v>
      </c>
      <c r="Y16" s="493">
        <f t="shared" si="13"/>
        <v>34</v>
      </c>
      <c r="Z16" s="493">
        <f t="shared" si="13"/>
        <v>35.179000000000002</v>
      </c>
      <c r="AA16" s="493">
        <f>AA7</f>
        <v>31</v>
      </c>
      <c r="AB16" s="493">
        <f>AB7</f>
        <v>29.4</v>
      </c>
      <c r="AC16" s="493">
        <f>AC7+AC8</f>
        <v>78.711111111111109</v>
      </c>
      <c r="AD16" s="493">
        <f t="shared" ref="AD16:BX16" si="14">AD7+AD8</f>
        <v>81.11333333333333</v>
      </c>
      <c r="AE16" s="493">
        <f t="shared" si="14"/>
        <v>78.111111111111114</v>
      </c>
      <c r="AF16" s="493">
        <f t="shared" si="14"/>
        <v>81.893333333333331</v>
      </c>
      <c r="AG16" s="493">
        <f t="shared" si="14"/>
        <v>82.431111111111107</v>
      </c>
      <c r="AH16" s="493">
        <f t="shared" si="14"/>
        <v>77.611111111111114</v>
      </c>
      <c r="AI16" s="493">
        <f t="shared" si="14"/>
        <v>61.9</v>
      </c>
      <c r="AJ16" s="493">
        <f t="shared" si="14"/>
        <v>68.8</v>
      </c>
      <c r="AK16" s="493">
        <f t="shared" si="14"/>
        <v>75.493827160493822</v>
      </c>
      <c r="AL16" s="493">
        <f t="shared" si="14"/>
        <v>85.203703703703709</v>
      </c>
      <c r="AM16" s="493">
        <f t="shared" si="14"/>
        <v>63.518518518518519</v>
      </c>
      <c r="AN16" s="493">
        <f t="shared" si="14"/>
        <v>71.148148148148152</v>
      </c>
      <c r="AO16" s="493">
        <f>AO7+AO8</f>
        <v>87.407407407407405</v>
      </c>
      <c r="AP16" s="493">
        <f>AP7+AP8</f>
        <v>85.407407407407405</v>
      </c>
      <c r="AQ16" s="493">
        <f>AQ7+AQ8</f>
        <v>81.23456790123457</v>
      </c>
      <c r="AR16" s="493">
        <f>AR7+AR8</f>
        <v>82.320987654320987</v>
      </c>
      <c r="AS16" s="493">
        <f t="shared" si="14"/>
        <v>83.549382716049379</v>
      </c>
      <c r="AT16" s="493">
        <f t="shared" si="14"/>
        <v>85.864197530864203</v>
      </c>
      <c r="AU16" s="493">
        <f t="shared" si="14"/>
        <v>80.820987654320987</v>
      </c>
      <c r="AV16" s="493">
        <f t="shared" si="14"/>
        <v>82.888888888888886</v>
      </c>
      <c r="AW16" s="493">
        <f t="shared" si="14"/>
        <v>80.339506172839506</v>
      </c>
      <c r="AX16" s="493">
        <f t="shared" si="14"/>
        <v>87.407407407407391</v>
      </c>
      <c r="AY16" s="493">
        <f t="shared" si="14"/>
        <v>84.320987654320987</v>
      </c>
      <c r="AZ16" s="493">
        <f t="shared" si="14"/>
        <v>60.506172839506178</v>
      </c>
      <c r="BA16" s="493">
        <f t="shared" si="14"/>
        <v>82.48888888888888</v>
      </c>
      <c r="BB16" s="493">
        <f t="shared" si="14"/>
        <v>65.348148148148155</v>
      </c>
      <c r="BC16" s="493">
        <f t="shared" si="14"/>
        <v>56.088888888888889</v>
      </c>
      <c r="BD16" s="493">
        <f>BD7+BD8</f>
        <v>61.049382716049379</v>
      </c>
      <c r="BE16" s="493">
        <f>BE7+BE8</f>
        <v>66.574049382716041</v>
      </c>
      <c r="BF16" s="493">
        <f>BF7+BF8</f>
        <v>78.259259259259267</v>
      </c>
      <c r="BG16" s="493">
        <f>BG7+BG8</f>
        <v>77.716049382716051</v>
      </c>
      <c r="BH16" s="493">
        <f>BH7+BH8</f>
        <v>82.981481481481467</v>
      </c>
      <c r="BI16" s="493">
        <f t="shared" si="14"/>
        <v>70.866419753086419</v>
      </c>
      <c r="BJ16" s="493">
        <f t="shared" si="14"/>
        <v>76.550246913580239</v>
      </c>
      <c r="BK16" s="493">
        <f t="shared" si="14"/>
        <v>82.808641975308632</v>
      </c>
      <c r="BL16" s="493">
        <f t="shared" si="14"/>
        <v>76.808641975308632</v>
      </c>
      <c r="BM16" s="493">
        <f t="shared" si="14"/>
        <v>83.753086419753089</v>
      </c>
      <c r="BN16" s="493">
        <f t="shared" si="14"/>
        <v>73.858024691358025</v>
      </c>
      <c r="BO16" s="493">
        <f t="shared" si="14"/>
        <v>81.438271604938265</v>
      </c>
      <c r="BP16" s="493">
        <f t="shared" si="14"/>
        <v>75.179012345679013</v>
      </c>
      <c r="BQ16" s="493">
        <f t="shared" si="14"/>
        <v>60.777777777777779</v>
      </c>
      <c r="BR16" s="493">
        <f t="shared" si="14"/>
        <v>76.950617283950606</v>
      </c>
      <c r="BS16" s="493">
        <f t="shared" si="14"/>
        <v>72.864197530864203</v>
      </c>
      <c r="BT16" s="493">
        <f t="shared" si="14"/>
        <v>65.271604938271608</v>
      </c>
      <c r="BU16" s="493">
        <f t="shared" si="14"/>
        <v>72.864197530864203</v>
      </c>
      <c r="BV16" s="493">
        <f t="shared" si="14"/>
        <v>76.950617283950606</v>
      </c>
      <c r="BW16" s="493">
        <f t="shared" si="14"/>
        <v>75.407407407407405</v>
      </c>
      <c r="BX16" s="493">
        <f t="shared" si="14"/>
        <v>75.407407407407405</v>
      </c>
    </row>
    <row r="17" spans="1:77" ht="15" thickBot="1">
      <c r="B17" s="490" t="s">
        <v>201</v>
      </c>
      <c r="C17" s="493">
        <f t="shared" ref="C17:Z17" si="15">C8+C9+C10</f>
        <v>31.772002000000004</v>
      </c>
      <c r="D17" s="493">
        <f t="shared" si="15"/>
        <v>35.392589999999998</v>
      </c>
      <c r="E17" s="493">
        <f t="shared" si="15"/>
        <v>32.968956000000006</v>
      </c>
      <c r="F17" s="493">
        <f t="shared" si="15"/>
        <v>37.360554</v>
      </c>
      <c r="G17" s="493">
        <f t="shared" si="15"/>
        <v>31.964399000000004</v>
      </c>
      <c r="H17" s="493">
        <f t="shared" si="15"/>
        <v>34.147604999999999</v>
      </c>
      <c r="I17" s="493">
        <f>I8+I9</f>
        <v>32.799999999999997</v>
      </c>
      <c r="J17" s="493">
        <f t="shared" si="15"/>
        <v>33.799999999999997</v>
      </c>
      <c r="K17" s="493">
        <f t="shared" si="15"/>
        <v>40.397000000000006</v>
      </c>
      <c r="L17" s="493">
        <f t="shared" si="15"/>
        <v>35.323999999999998</v>
      </c>
      <c r="M17" s="493">
        <f t="shared" si="15"/>
        <v>25.8</v>
      </c>
      <c r="N17" s="493">
        <f t="shared" si="15"/>
        <v>42.261000000000003</v>
      </c>
      <c r="O17" s="493">
        <f>O8+O9+O10</f>
        <v>50.8</v>
      </c>
      <c r="P17" s="493">
        <f t="shared" si="15"/>
        <v>53.8</v>
      </c>
      <c r="Q17" s="493">
        <f t="shared" si="15"/>
        <v>54.599999999999994</v>
      </c>
      <c r="R17" s="493">
        <f t="shared" si="15"/>
        <v>58</v>
      </c>
      <c r="S17" s="493">
        <f t="shared" si="15"/>
        <v>68</v>
      </c>
      <c r="T17" s="493">
        <f t="shared" si="15"/>
        <v>73.400000000000006</v>
      </c>
      <c r="U17" s="493">
        <f t="shared" si="15"/>
        <v>56</v>
      </c>
      <c r="V17" s="493" t="e">
        <f t="shared" si="15"/>
        <v>#VALUE!</v>
      </c>
      <c r="W17" s="493">
        <f t="shared" si="15"/>
        <v>54</v>
      </c>
      <c r="X17" s="493">
        <f t="shared" si="15"/>
        <v>58</v>
      </c>
      <c r="Y17" s="493">
        <f t="shared" si="15"/>
        <v>56</v>
      </c>
      <c r="Z17" s="493">
        <f t="shared" si="15"/>
        <v>60</v>
      </c>
      <c r="AA17" s="493">
        <f>AA8+AA9+AA10</f>
        <v>55.111111111111114</v>
      </c>
      <c r="AB17" s="493">
        <f>AB8+AB9+AB10</f>
        <v>53.977777777777774</v>
      </c>
      <c r="AC17" s="493">
        <f>AC9</f>
        <v>0</v>
      </c>
      <c r="AD17" s="493">
        <f t="shared" ref="AD17:BX17" si="16">AD9</f>
        <v>-2.5</v>
      </c>
      <c r="AE17" s="493">
        <f t="shared" si="16"/>
        <v>0</v>
      </c>
      <c r="AF17" s="493">
        <f t="shared" si="16"/>
        <v>0</v>
      </c>
      <c r="AG17" s="493">
        <f t="shared" si="16"/>
        <v>0</v>
      </c>
      <c r="AH17" s="493">
        <f t="shared" si="16"/>
        <v>0</v>
      </c>
      <c r="AI17" s="493">
        <f t="shared" si="16"/>
        <v>0</v>
      </c>
      <c r="AJ17" s="493">
        <f t="shared" si="16"/>
        <v>0</v>
      </c>
      <c r="AK17" s="493">
        <f t="shared" si="16"/>
        <v>0</v>
      </c>
      <c r="AL17" s="493">
        <f t="shared" si="16"/>
        <v>0</v>
      </c>
      <c r="AM17" s="493">
        <f t="shared" si="16"/>
        <v>0</v>
      </c>
      <c r="AN17" s="493">
        <f t="shared" si="16"/>
        <v>0</v>
      </c>
      <c r="AO17" s="493">
        <f>AO9</f>
        <v>0</v>
      </c>
      <c r="AP17" s="493">
        <f>AP9</f>
        <v>0</v>
      </c>
      <c r="AQ17" s="493">
        <f>AQ9</f>
        <v>0</v>
      </c>
      <c r="AR17" s="493">
        <f>AR9</f>
        <v>0</v>
      </c>
      <c r="AS17" s="493">
        <f t="shared" si="16"/>
        <v>0</v>
      </c>
      <c r="AT17" s="493">
        <f t="shared" si="16"/>
        <v>0</v>
      </c>
      <c r="AU17" s="493">
        <f t="shared" si="16"/>
        <v>0</v>
      </c>
      <c r="AV17" s="493">
        <f t="shared" si="16"/>
        <v>0</v>
      </c>
      <c r="AW17" s="493">
        <f t="shared" si="16"/>
        <v>0</v>
      </c>
      <c r="AX17" s="493">
        <f t="shared" si="16"/>
        <v>0</v>
      </c>
      <c r="AY17" s="493">
        <f t="shared" si="16"/>
        <v>0</v>
      </c>
      <c r="AZ17" s="493">
        <f t="shared" si="16"/>
        <v>0</v>
      </c>
      <c r="BA17" s="493">
        <f t="shared" si="16"/>
        <v>0</v>
      </c>
      <c r="BB17" s="493">
        <f t="shared" si="16"/>
        <v>0</v>
      </c>
      <c r="BC17" s="493">
        <f t="shared" si="16"/>
        <v>0</v>
      </c>
      <c r="BD17" s="493">
        <f>BD9</f>
        <v>0</v>
      </c>
      <c r="BE17" s="493">
        <f>BE9</f>
        <v>0</v>
      </c>
      <c r="BF17" s="493">
        <f>BF9</f>
        <v>0</v>
      </c>
      <c r="BG17" s="493">
        <f>BG9</f>
        <v>0</v>
      </c>
      <c r="BH17" s="493">
        <f>BH9</f>
        <v>0</v>
      </c>
      <c r="BI17" s="493">
        <f t="shared" si="16"/>
        <v>0</v>
      </c>
      <c r="BJ17" s="493">
        <f t="shared" si="16"/>
        <v>0</v>
      </c>
      <c r="BK17" s="493">
        <f>BK9</f>
        <v>0</v>
      </c>
      <c r="BL17" s="493">
        <f t="shared" si="16"/>
        <v>0</v>
      </c>
      <c r="BM17" s="493">
        <f t="shared" si="16"/>
        <v>0</v>
      </c>
      <c r="BN17" s="493">
        <f t="shared" si="16"/>
        <v>0</v>
      </c>
      <c r="BO17" s="493">
        <f t="shared" si="16"/>
        <v>0</v>
      </c>
      <c r="BP17" s="493">
        <f t="shared" si="16"/>
        <v>0</v>
      </c>
      <c r="BQ17" s="493">
        <f t="shared" si="16"/>
        <v>0</v>
      </c>
      <c r="BR17" s="493">
        <f t="shared" si="16"/>
        <v>0</v>
      </c>
      <c r="BS17" s="493">
        <f t="shared" si="16"/>
        <v>0</v>
      </c>
      <c r="BT17" s="493">
        <f t="shared" si="16"/>
        <v>0</v>
      </c>
      <c r="BU17" s="493">
        <f t="shared" si="16"/>
        <v>0</v>
      </c>
      <c r="BV17" s="493">
        <f t="shared" si="16"/>
        <v>0</v>
      </c>
      <c r="BW17" s="493">
        <f t="shared" si="16"/>
        <v>0</v>
      </c>
      <c r="BX17" s="493">
        <f t="shared" si="16"/>
        <v>0</v>
      </c>
    </row>
    <row r="18" spans="1:77" ht="15" thickBot="1">
      <c r="C18" s="493"/>
      <c r="D18" s="493"/>
      <c r="E18" s="493"/>
      <c r="F18" s="493"/>
      <c r="G18" s="493"/>
      <c r="H18" s="493"/>
      <c r="I18" s="493"/>
      <c r="J18" s="493"/>
      <c r="K18" s="493"/>
      <c r="L18" s="493"/>
      <c r="M18" s="493"/>
      <c r="N18" s="493"/>
      <c r="O18" s="493"/>
      <c r="P18" s="493"/>
      <c r="Q18" s="493"/>
      <c r="R18" s="493"/>
      <c r="S18" s="493"/>
      <c r="T18" s="493"/>
      <c r="U18" s="493"/>
      <c r="V18" s="493"/>
      <c r="W18" s="493"/>
      <c r="X18" s="493"/>
      <c r="Y18" s="493"/>
      <c r="Z18" s="493"/>
      <c r="AA18" s="493"/>
      <c r="AB18" s="493"/>
      <c r="AC18" s="493"/>
      <c r="AD18" s="493"/>
      <c r="AE18" s="493"/>
      <c r="AF18" s="493"/>
      <c r="AG18" s="493"/>
      <c r="AH18" s="493"/>
      <c r="AI18" s="493"/>
      <c r="AJ18" s="493"/>
      <c r="AK18" s="493"/>
      <c r="AL18" s="493"/>
      <c r="AM18" s="493"/>
      <c r="AN18" s="493"/>
      <c r="AO18" s="493"/>
      <c r="AP18" s="493"/>
      <c r="AQ18" s="493"/>
      <c r="AR18" s="493"/>
      <c r="AS18" s="493"/>
      <c r="AT18" s="493"/>
      <c r="AU18" s="493"/>
      <c r="AV18" s="493"/>
      <c r="AW18" s="493"/>
      <c r="AX18" s="493"/>
      <c r="AY18" s="493"/>
      <c r="AZ18" s="493"/>
      <c r="BA18" s="493"/>
      <c r="BB18" s="493"/>
      <c r="BC18" s="594">
        <f>BC6*0.648</f>
        <v>37.042272000000004</v>
      </c>
      <c r="BD18" s="594">
        <f>BD6*0.648</f>
        <v>39.657600000000002</v>
      </c>
      <c r="BE18" s="493"/>
      <c r="BF18" s="493"/>
      <c r="BG18" s="493"/>
      <c r="BH18" s="493"/>
      <c r="BI18" s="493"/>
      <c r="BJ18" s="493"/>
      <c r="BK18" s="493"/>
      <c r="BL18" s="493"/>
      <c r="BM18" s="493"/>
      <c r="BN18" s="493"/>
      <c r="BO18" s="493"/>
      <c r="BP18" s="493"/>
      <c r="BQ18" s="493"/>
      <c r="BR18" s="493"/>
      <c r="BS18" s="493"/>
      <c r="BT18" s="493"/>
      <c r="BU18" s="493"/>
      <c r="BV18" s="493"/>
      <c r="BW18" s="493"/>
      <c r="BX18" s="493"/>
    </row>
    <row r="19" spans="1:77" ht="15" thickBot="1">
      <c r="A19" s="595" t="s">
        <v>189</v>
      </c>
      <c r="B19" s="595" t="s">
        <v>202</v>
      </c>
      <c r="C19" s="596">
        <f t="shared" ref="C19:BN20" si="17">C7*0.648</f>
        <v>34.982675280000002</v>
      </c>
      <c r="D19" s="596">
        <f t="shared" si="17"/>
        <v>29.769969528000001</v>
      </c>
      <c r="E19" s="596">
        <f t="shared" si="17"/>
        <v>30.242555280000005</v>
      </c>
      <c r="F19" s="596">
        <f t="shared" si="17"/>
        <v>31.975778376000001</v>
      </c>
      <c r="G19" s="596">
        <f t="shared" si="17"/>
        <v>32.471683704</v>
      </c>
      <c r="H19" s="596">
        <f t="shared" si="17"/>
        <v>32.786966159999999</v>
      </c>
      <c r="I19" s="594">
        <f t="shared" si="17"/>
        <v>34.020000000000003</v>
      </c>
      <c r="J19" s="594">
        <f t="shared" si="17"/>
        <v>34.020000000000003</v>
      </c>
      <c r="K19" s="594">
        <f t="shared" si="17"/>
        <v>34.020000000000003</v>
      </c>
      <c r="L19" s="594">
        <f t="shared" si="17"/>
        <v>35.64</v>
      </c>
      <c r="M19" s="594">
        <f t="shared" si="17"/>
        <v>37.584000000000003</v>
      </c>
      <c r="N19" s="594">
        <f t="shared" si="17"/>
        <v>36.059904000000003</v>
      </c>
      <c r="O19" s="594">
        <f t="shared" si="17"/>
        <v>20.088000000000001</v>
      </c>
      <c r="P19" s="594">
        <f t="shared" si="17"/>
        <v>18.499752000000001</v>
      </c>
      <c r="Q19" s="594">
        <f t="shared" si="17"/>
        <v>19.440000000000001</v>
      </c>
      <c r="R19" s="594">
        <f t="shared" si="17"/>
        <v>16.999632000000002</v>
      </c>
      <c r="S19" s="594">
        <f t="shared" si="17"/>
        <v>13.996800000000002</v>
      </c>
      <c r="T19" s="594">
        <f t="shared" si="17"/>
        <v>2.9807999999999999</v>
      </c>
      <c r="U19" s="594">
        <f t="shared" si="17"/>
        <v>14.904</v>
      </c>
      <c r="V19" s="594">
        <f t="shared" si="17"/>
        <v>16.2</v>
      </c>
      <c r="W19" s="594">
        <f t="shared" si="17"/>
        <v>13.932</v>
      </c>
      <c r="X19" s="594">
        <f t="shared" si="17"/>
        <v>20.217600000000001</v>
      </c>
      <c r="Y19" s="594">
        <f t="shared" si="17"/>
        <v>22.032</v>
      </c>
      <c r="Z19" s="594">
        <f t="shared" si="17"/>
        <v>22.795992000000002</v>
      </c>
      <c r="AA19" s="594">
        <f t="shared" si="17"/>
        <v>20.088000000000001</v>
      </c>
      <c r="AB19" s="594">
        <f t="shared" si="17"/>
        <v>19.051199999999998</v>
      </c>
      <c r="AC19" s="594">
        <f t="shared" si="17"/>
        <v>15.292800000000002</v>
      </c>
      <c r="AD19" s="594">
        <f t="shared" si="17"/>
        <v>18.001440000000002</v>
      </c>
      <c r="AE19" s="594">
        <f t="shared" si="17"/>
        <v>14.904</v>
      </c>
      <c r="AF19" s="594">
        <f t="shared" si="17"/>
        <v>18.506879999999999</v>
      </c>
      <c r="AG19" s="594">
        <f t="shared" si="17"/>
        <v>17.70336</v>
      </c>
      <c r="AH19" s="594">
        <f t="shared" si="17"/>
        <v>14.58</v>
      </c>
      <c r="AI19" s="594">
        <f t="shared" si="17"/>
        <v>9.7200000000000006</v>
      </c>
      <c r="AJ19" s="594">
        <f t="shared" si="17"/>
        <v>15.422400000000001</v>
      </c>
      <c r="AK19" s="594">
        <f t="shared" si="17"/>
        <v>23.000000000000004</v>
      </c>
      <c r="AL19" s="594">
        <f t="shared" si="17"/>
        <v>19.5</v>
      </c>
      <c r="AM19" s="594">
        <f t="shared" si="17"/>
        <v>12</v>
      </c>
      <c r="AN19" s="594">
        <f t="shared" si="17"/>
        <v>15.000000000000002</v>
      </c>
      <c r="AO19" s="594">
        <f t="shared" si="17"/>
        <v>21</v>
      </c>
      <c r="AP19" s="594">
        <f t="shared" si="17"/>
        <v>21</v>
      </c>
      <c r="AQ19" s="594">
        <f t="shared" si="17"/>
        <v>17</v>
      </c>
      <c r="AR19" s="594">
        <f t="shared" si="17"/>
        <v>19</v>
      </c>
      <c r="AS19" s="594">
        <f t="shared" si="17"/>
        <v>18.5</v>
      </c>
      <c r="AT19" s="594">
        <f t="shared" si="17"/>
        <v>20</v>
      </c>
      <c r="AU19" s="594">
        <f t="shared" si="17"/>
        <v>19</v>
      </c>
      <c r="AV19" s="594">
        <f t="shared" si="17"/>
        <v>18</v>
      </c>
      <c r="AW19" s="594">
        <f t="shared" si="17"/>
        <v>17.5</v>
      </c>
      <c r="AX19" s="594">
        <f t="shared" si="17"/>
        <v>20.999999999999993</v>
      </c>
      <c r="AY19" s="597">
        <f t="shared" si="17"/>
        <v>19</v>
      </c>
      <c r="AZ19" s="597">
        <f t="shared" si="17"/>
        <v>5.8</v>
      </c>
      <c r="BA19" s="594">
        <f t="shared" si="17"/>
        <v>25.2</v>
      </c>
      <c r="BB19" s="594">
        <f t="shared" si="17"/>
        <v>15.000000000000002</v>
      </c>
      <c r="BC19" s="594">
        <f t="shared" si="17"/>
        <v>9</v>
      </c>
      <c r="BD19" s="594">
        <f t="shared" si="17"/>
        <v>5</v>
      </c>
      <c r="BE19" s="594">
        <f t="shared" si="17"/>
        <v>5</v>
      </c>
      <c r="BF19" s="594">
        <f t="shared" si="17"/>
        <v>15.000000000000002</v>
      </c>
      <c r="BG19" s="594">
        <f t="shared" si="17"/>
        <v>23.000000000000004</v>
      </c>
      <c r="BH19" s="594">
        <f t="shared" si="17"/>
        <v>25.499999999999996</v>
      </c>
      <c r="BI19" s="594">
        <f t="shared" si="17"/>
        <v>20</v>
      </c>
      <c r="BJ19" s="594">
        <f t="shared" si="17"/>
        <v>22</v>
      </c>
      <c r="BK19" s="594">
        <f t="shared" si="17"/>
        <v>24.5</v>
      </c>
      <c r="BL19" s="594">
        <f t="shared" si="17"/>
        <v>24.5</v>
      </c>
      <c r="BM19" s="594">
        <f t="shared" si="17"/>
        <v>26</v>
      </c>
      <c r="BN19" s="594">
        <f t="shared" si="17"/>
        <v>20.5</v>
      </c>
      <c r="BO19" s="594">
        <f t="shared" ref="BO19:BX20" si="18">BO7*0.648</f>
        <v>24.5</v>
      </c>
      <c r="BP19" s="594">
        <f t="shared" si="18"/>
        <v>21.5</v>
      </c>
      <c r="BQ19" s="594">
        <f t="shared" si="18"/>
        <v>18</v>
      </c>
      <c r="BR19" s="594">
        <f t="shared" si="18"/>
        <v>22</v>
      </c>
      <c r="BS19" s="594">
        <f t="shared" si="18"/>
        <v>20</v>
      </c>
      <c r="BT19" s="594">
        <f t="shared" si="18"/>
        <v>17</v>
      </c>
      <c r="BU19" s="594">
        <f t="shared" si="18"/>
        <v>20</v>
      </c>
      <c r="BV19" s="594">
        <f t="shared" si="18"/>
        <v>22</v>
      </c>
      <c r="BW19" s="594">
        <f t="shared" si="18"/>
        <v>21</v>
      </c>
      <c r="BX19" s="594">
        <f t="shared" si="18"/>
        <v>21</v>
      </c>
    </row>
    <row r="20" spans="1:77" ht="15" thickBot="1">
      <c r="H20" s="493"/>
      <c r="I20" s="493"/>
      <c r="J20" s="493"/>
      <c r="K20" s="493"/>
      <c r="L20" s="493"/>
      <c r="M20" s="493"/>
      <c r="N20" s="493"/>
      <c r="O20" s="493"/>
      <c r="P20" s="493">
        <v>2500</v>
      </c>
      <c r="Q20" s="493">
        <v>1500</v>
      </c>
      <c r="R20" s="493"/>
      <c r="S20" s="493"/>
      <c r="T20" s="493"/>
      <c r="U20" s="493"/>
      <c r="V20" s="493"/>
      <c r="W20" s="493"/>
      <c r="X20" s="493"/>
      <c r="Y20" s="493"/>
      <c r="Z20" s="493"/>
      <c r="AA20" s="493"/>
      <c r="AB20" s="493"/>
      <c r="AC20" s="493"/>
      <c r="AD20" s="493"/>
      <c r="AE20" s="493"/>
      <c r="AF20" s="493"/>
      <c r="AG20" s="493"/>
      <c r="AH20" s="493"/>
      <c r="AI20" s="493"/>
      <c r="AJ20" s="493"/>
      <c r="AK20" s="493"/>
      <c r="AL20" s="493"/>
      <c r="AM20" s="493"/>
      <c r="AN20" s="493"/>
      <c r="AO20" s="493"/>
      <c r="AP20" s="493"/>
      <c r="AQ20" s="493"/>
      <c r="AR20" s="493"/>
      <c r="AS20" s="493"/>
      <c r="AT20" s="493"/>
      <c r="AU20" s="493"/>
      <c r="AV20" s="493"/>
      <c r="AW20" s="493"/>
      <c r="AX20" s="493"/>
      <c r="AY20" s="598" t="s">
        <v>203</v>
      </c>
      <c r="AZ20" s="598" t="s">
        <v>204</v>
      </c>
      <c r="BA20" s="493"/>
      <c r="BB20" s="493"/>
      <c r="BC20" s="594">
        <f t="shared" si="17"/>
        <v>27.345600000000001</v>
      </c>
      <c r="BD20" s="594">
        <f t="shared" si="17"/>
        <v>34.559999999999995</v>
      </c>
      <c r="BE20" s="594">
        <f t="shared" si="17"/>
        <v>38.139983999999998</v>
      </c>
      <c r="BF20" s="594">
        <f t="shared" si="17"/>
        <v>35.712000000000003</v>
      </c>
      <c r="BG20" s="594">
        <f t="shared" si="17"/>
        <v>27.36</v>
      </c>
      <c r="BH20" s="594">
        <f t="shared" si="17"/>
        <v>28.271999999999998</v>
      </c>
      <c r="BI20" s="594">
        <f t="shared" si="17"/>
        <v>25.92144</v>
      </c>
      <c r="BJ20" s="594">
        <f t="shared" si="17"/>
        <v>27.604559999999999</v>
      </c>
      <c r="BK20" s="594">
        <f t="shared" si="17"/>
        <v>29.16</v>
      </c>
      <c r="BL20" s="594">
        <f t="shared" si="17"/>
        <v>25.272000000000002</v>
      </c>
      <c r="BM20" s="594">
        <f t="shared" si="17"/>
        <v>28.271999999999998</v>
      </c>
      <c r="BN20" s="594">
        <f t="shared" si="17"/>
        <v>27.36</v>
      </c>
      <c r="BO20" s="594">
        <f t="shared" si="18"/>
        <v>28.271999999999998</v>
      </c>
      <c r="BP20" s="594">
        <f t="shared" si="18"/>
        <v>27.216000000000001</v>
      </c>
      <c r="BQ20" s="594">
        <f t="shared" si="18"/>
        <v>21.384</v>
      </c>
      <c r="BR20" s="594">
        <f t="shared" si="18"/>
        <v>27.864000000000001</v>
      </c>
      <c r="BS20" s="594">
        <f t="shared" si="18"/>
        <v>27.216000000000001</v>
      </c>
      <c r="BT20" s="594">
        <f t="shared" si="18"/>
        <v>25.296000000000003</v>
      </c>
      <c r="BU20" s="594">
        <f t="shared" si="18"/>
        <v>27.216000000000001</v>
      </c>
      <c r="BV20" s="594">
        <f t="shared" si="18"/>
        <v>27.864000000000001</v>
      </c>
      <c r="BW20" s="594">
        <f>BW8*0.648</f>
        <v>27.864000000000001</v>
      </c>
      <c r="BX20" s="594">
        <f>BX8*0.648</f>
        <v>27.864000000000001</v>
      </c>
    </row>
    <row r="21" spans="1:77">
      <c r="AI21" s="490">
        <v>8.8000000000000007</v>
      </c>
      <c r="AN21" s="490" t="s">
        <v>10</v>
      </c>
      <c r="AQ21" s="490" t="s">
        <v>1</v>
      </c>
      <c r="BL21" s="493"/>
      <c r="BM21" s="493"/>
      <c r="BN21" s="493"/>
      <c r="BO21" s="493"/>
      <c r="BP21" s="493"/>
      <c r="BQ21" s="493"/>
      <c r="BR21" s="493"/>
      <c r="BS21" s="493"/>
      <c r="BT21" s="493"/>
      <c r="BU21" s="493"/>
      <c r="BV21" s="493"/>
    </row>
    <row r="22" spans="1:77">
      <c r="AM22" s="490">
        <v>79.371857142857138</v>
      </c>
      <c r="AN22" s="490" t="s">
        <v>205</v>
      </c>
      <c r="AO22" s="490">
        <v>1</v>
      </c>
      <c r="AP22" s="490">
        <v>4</v>
      </c>
      <c r="AQ22" s="490" t="s">
        <v>187</v>
      </c>
    </row>
    <row r="23" spans="1:77">
      <c r="AI23" s="490">
        <f>5000/0.648</f>
        <v>7716.049382716049</v>
      </c>
      <c r="AM23" s="493">
        <v>77.8</v>
      </c>
      <c r="AO23" s="493"/>
      <c r="AP23" s="493"/>
      <c r="AQ23" s="493"/>
      <c r="AY23" s="493">
        <f t="shared" ref="AY23:BH23" si="19">AY8+AY7</f>
        <v>84.320987654320987</v>
      </c>
      <c r="AZ23" s="493">
        <f t="shared" si="19"/>
        <v>60.506172839506178</v>
      </c>
      <c r="BA23" s="493">
        <f t="shared" si="19"/>
        <v>82.48888888888888</v>
      </c>
      <c r="BB23" s="493">
        <f t="shared" si="19"/>
        <v>65.348148148148155</v>
      </c>
      <c r="BC23" s="493">
        <f t="shared" si="19"/>
        <v>56.088888888888889</v>
      </c>
      <c r="BD23" s="493">
        <f t="shared" si="19"/>
        <v>61.049382716049379</v>
      </c>
      <c r="BE23" s="493">
        <f t="shared" si="19"/>
        <v>66.574049382716041</v>
      </c>
      <c r="BF23" s="493">
        <f t="shared" si="19"/>
        <v>78.259259259259267</v>
      </c>
      <c r="BG23" s="493">
        <f t="shared" si="19"/>
        <v>77.716049382716051</v>
      </c>
      <c r="BH23" s="493">
        <f t="shared" si="19"/>
        <v>82.981481481481467</v>
      </c>
      <c r="BI23" s="493">
        <v>37.037037037037038</v>
      </c>
      <c r="BJ23" s="493">
        <f>4/$BI$25*BI23</f>
        <v>1.8365472910927461</v>
      </c>
      <c r="BK23" s="493">
        <f>BI23-BJ23</f>
        <v>35.200489745944289</v>
      </c>
      <c r="BL23" s="493">
        <f>BK23*0.648</f>
        <v>22.809917355371901</v>
      </c>
      <c r="BP23" s="490">
        <v>37.037037037037038</v>
      </c>
      <c r="BQ23" s="490">
        <f>BP23*-20/$BP$25</f>
        <v>-9.1827364554637292</v>
      </c>
      <c r="BR23" s="490">
        <f>BP23+BQ23</f>
        <v>27.854300581573309</v>
      </c>
      <c r="BS23" s="490">
        <f>BR23*0.648</f>
        <v>18.049586776859506</v>
      </c>
    </row>
    <row r="24" spans="1:77">
      <c r="BF24" s="493">
        <f>BF6*0.648</f>
        <v>48.249432000000006</v>
      </c>
      <c r="BI24" s="490">
        <v>43.629629629629626</v>
      </c>
      <c r="BJ24" s="493">
        <f>4/$BI$25*BI24</f>
        <v>2.1634527089072546</v>
      </c>
      <c r="BK24" s="493">
        <f>BI24-BJ24</f>
        <v>41.466176920722368</v>
      </c>
      <c r="BL24" s="493"/>
      <c r="BN24" s="490">
        <f>38.1*0.648</f>
        <v>24.688800000000001</v>
      </c>
      <c r="BP24" s="490">
        <v>43.629629629629626</v>
      </c>
      <c r="BQ24" s="490">
        <f>BP24*-20/$BP$25</f>
        <v>-10.817263544536273</v>
      </c>
      <c r="BR24" s="490">
        <f>BP24+BQ24</f>
        <v>32.812366085093352</v>
      </c>
    </row>
    <row r="25" spans="1:77">
      <c r="Z25" s="490">
        <v>31</v>
      </c>
      <c r="AA25" s="490">
        <v>30</v>
      </c>
      <c r="AB25" s="490">
        <v>31</v>
      </c>
      <c r="AC25" s="490">
        <v>31</v>
      </c>
      <c r="AD25" s="490">
        <v>28</v>
      </c>
      <c r="AE25" s="490">
        <v>31</v>
      </c>
      <c r="AW25" s="588" t="s">
        <v>206</v>
      </c>
      <c r="AX25" s="588"/>
      <c r="AY25" s="588"/>
      <c r="AZ25" s="588"/>
      <c r="BB25" s="588" t="s">
        <v>207</v>
      </c>
      <c r="BF25" s="493">
        <f>BF19+BF20</f>
        <v>50.712000000000003</v>
      </c>
      <c r="BG25" s="493">
        <f>BG19+BG20</f>
        <v>50.36</v>
      </c>
      <c r="BH25" s="493">
        <f>BH19+BH20</f>
        <v>53.771999999999991</v>
      </c>
      <c r="BI25" s="493">
        <f>SUM(BI23:BI24)</f>
        <v>80.666666666666657</v>
      </c>
      <c r="BJ25" s="493"/>
      <c r="BL25" s="490">
        <f>2*0.648</f>
        <v>1.296</v>
      </c>
      <c r="BP25" s="490">
        <f>SUM(BP23:BP24)</f>
        <v>80.666666666666657</v>
      </c>
    </row>
    <row r="26" spans="1:77">
      <c r="Z26" s="490">
        <v>80</v>
      </c>
      <c r="AA26" s="490">
        <v>68</v>
      </c>
      <c r="AB26" s="490">
        <v>72</v>
      </c>
      <c r="AC26" s="490">
        <v>72</v>
      </c>
      <c r="AD26" s="490">
        <v>65</v>
      </c>
      <c r="AE26" s="490">
        <v>73</v>
      </c>
      <c r="AW26" s="588" t="s">
        <v>10</v>
      </c>
      <c r="AX26" s="599">
        <v>200</v>
      </c>
      <c r="AY26" s="599" t="s">
        <v>1</v>
      </c>
      <c r="AZ26" s="600" t="s">
        <v>208</v>
      </c>
      <c r="BB26" s="588" t="s">
        <v>10</v>
      </c>
      <c r="BC26" s="599">
        <v>250</v>
      </c>
      <c r="BD26" s="599" t="s">
        <v>1</v>
      </c>
      <c r="BE26" s="600" t="s">
        <v>209</v>
      </c>
      <c r="BK26" s="601"/>
      <c r="BL26" s="601"/>
      <c r="BM26" s="601"/>
      <c r="BN26" s="601"/>
      <c r="BO26" s="601"/>
      <c r="BP26" s="601"/>
      <c r="BQ26" s="601"/>
      <c r="BR26" s="601"/>
      <c r="BS26" s="601"/>
      <c r="BT26" s="601"/>
      <c r="BU26" s="601"/>
      <c r="BV26" s="601"/>
      <c r="BW26" s="601"/>
      <c r="BX26" s="601"/>
    </row>
    <row r="27" spans="1:77">
      <c r="B27" s="602" t="s">
        <v>10</v>
      </c>
      <c r="Z27" s="490">
        <f t="shared" ref="Z27:AE27" si="20">Z26*1000</f>
        <v>80000</v>
      </c>
      <c r="AA27" s="490">
        <f t="shared" si="20"/>
        <v>68000</v>
      </c>
      <c r="AB27" s="490">
        <f t="shared" si="20"/>
        <v>72000</v>
      </c>
      <c r="AC27" s="490">
        <f t="shared" si="20"/>
        <v>72000</v>
      </c>
      <c r="AD27" s="490">
        <f t="shared" si="20"/>
        <v>65000</v>
      </c>
      <c r="AE27" s="490">
        <f t="shared" si="20"/>
        <v>73000</v>
      </c>
      <c r="AW27" s="588" t="s">
        <v>205</v>
      </c>
      <c r="AX27" s="599">
        <v>640</v>
      </c>
      <c r="AY27" s="599" t="s">
        <v>187</v>
      </c>
      <c r="AZ27" s="600" t="s">
        <v>210</v>
      </c>
      <c r="BB27" s="588" t="s">
        <v>205</v>
      </c>
      <c r="BC27" s="603">
        <f>380/0.648</f>
        <v>586.41975308641975</v>
      </c>
      <c r="BD27" s="599" t="s">
        <v>187</v>
      </c>
      <c r="BE27" s="600" t="s">
        <v>210</v>
      </c>
      <c r="BG27" s="603">
        <f>38*24*366/0.648/1000</f>
        <v>515.11111111111109</v>
      </c>
      <c r="BH27" s="599" t="s">
        <v>187</v>
      </c>
      <c r="BI27" s="604">
        <v>20</v>
      </c>
      <c r="BJ27" s="604">
        <v>18.5</v>
      </c>
      <c r="BK27" s="604">
        <v>22.5</v>
      </c>
    </row>
    <row r="28" spans="1:77">
      <c r="B28" s="602" t="s">
        <v>11</v>
      </c>
      <c r="Z28" s="601">
        <f t="shared" ref="Z28:AE28" si="21">Z25*720</f>
        <v>22320</v>
      </c>
      <c r="AA28" s="601">
        <f t="shared" si="21"/>
        <v>21600</v>
      </c>
      <c r="AB28" s="601">
        <f t="shared" si="21"/>
        <v>22320</v>
      </c>
      <c r="AC28" s="601">
        <f t="shared" si="21"/>
        <v>22320</v>
      </c>
      <c r="AD28" s="601">
        <f t="shared" si="21"/>
        <v>20160</v>
      </c>
      <c r="AE28" s="601">
        <f t="shared" si="21"/>
        <v>22320</v>
      </c>
      <c r="AS28" s="605"/>
      <c r="BI28" s="604">
        <v>40.002222222222223</v>
      </c>
      <c r="BJ28" s="604">
        <v>40.599629629629625</v>
      </c>
      <c r="BK28" s="604">
        <v>42</v>
      </c>
    </row>
    <row r="29" spans="1:77">
      <c r="B29" s="490" t="s">
        <v>211</v>
      </c>
      <c r="Z29" s="601">
        <f t="shared" ref="Z29:AE29" si="22">Z27-Z28</f>
        <v>57680</v>
      </c>
      <c r="AA29" s="601">
        <f t="shared" si="22"/>
        <v>46400</v>
      </c>
      <c r="AB29" s="601">
        <f t="shared" si="22"/>
        <v>49680</v>
      </c>
      <c r="AC29" s="601">
        <f t="shared" si="22"/>
        <v>49680</v>
      </c>
      <c r="AD29" s="601">
        <f t="shared" si="22"/>
        <v>44840</v>
      </c>
      <c r="AE29" s="601">
        <f t="shared" si="22"/>
        <v>50680</v>
      </c>
      <c r="AM29" s="493">
        <v>16</v>
      </c>
      <c r="AN29" s="493"/>
      <c r="AO29" s="493"/>
      <c r="AP29" s="493"/>
      <c r="AQ29" s="493"/>
      <c r="AR29" s="493"/>
      <c r="AS29" s="493"/>
      <c r="AT29" s="493"/>
      <c r="AU29" s="493"/>
      <c r="AV29" s="493"/>
      <c r="AW29" s="493"/>
      <c r="AX29" s="493"/>
      <c r="AY29" s="493"/>
      <c r="AZ29" s="493"/>
      <c r="BA29" s="493"/>
      <c r="BB29" s="493"/>
      <c r="BC29" s="493"/>
      <c r="BD29" s="493"/>
      <c r="BE29" s="493"/>
      <c r="BF29" s="493"/>
      <c r="BG29" s="493"/>
      <c r="BH29" s="493"/>
      <c r="BI29" s="493"/>
      <c r="BJ29" s="493"/>
      <c r="BK29" s="493"/>
      <c r="BL29" s="493"/>
      <c r="BM29" s="493"/>
      <c r="BW29" s="493"/>
      <c r="BX29" s="493"/>
    </row>
    <row r="30" spans="1:77">
      <c r="Z30" s="601">
        <v>80000</v>
      </c>
      <c r="AA30" s="601">
        <v>68000</v>
      </c>
      <c r="AB30" s="601">
        <v>72000</v>
      </c>
      <c r="AC30" s="601">
        <v>72000</v>
      </c>
      <c r="AD30" s="601">
        <v>65000</v>
      </c>
      <c r="AE30" s="601">
        <v>73000</v>
      </c>
      <c r="AX30" s="606" t="s">
        <v>212</v>
      </c>
      <c r="AY30" s="492">
        <v>77.541738095238088</v>
      </c>
      <c r="AZ30" s="492">
        <v>72.94177463254114</v>
      </c>
      <c r="BA30" s="492">
        <v>82.342019420294847</v>
      </c>
      <c r="BB30" s="492">
        <v>82.342019420294847</v>
      </c>
      <c r="BC30" s="492">
        <v>73.662688686701856</v>
      </c>
      <c r="BD30" s="492">
        <v>82.342019420294847</v>
      </c>
      <c r="BE30" s="492">
        <v>82.342019420294847</v>
      </c>
      <c r="BF30" s="492">
        <v>81.632019420294853</v>
      </c>
      <c r="BG30" s="492">
        <v>81.602019420294852</v>
      </c>
      <c r="BH30" s="492">
        <v>81.632019420294853</v>
      </c>
      <c r="BI30" s="492">
        <v>81.602019420294852</v>
      </c>
      <c r="BJ30" s="492">
        <v>81.632019420294853</v>
      </c>
      <c r="BK30" s="492">
        <v>81.632019420294853</v>
      </c>
      <c r="BL30" s="492">
        <v>81.632019420294853</v>
      </c>
      <c r="BM30" s="492">
        <v>81.632019420294853</v>
      </c>
      <c r="BN30" s="492">
        <v>81.632019420294853</v>
      </c>
      <c r="BO30" s="492">
        <v>81.632019420294853</v>
      </c>
      <c r="BP30" s="492">
        <v>81.632019420294853</v>
      </c>
      <c r="BQ30" s="492">
        <v>81.632019420294853</v>
      </c>
      <c r="BR30" s="492">
        <v>81.632019420294853</v>
      </c>
      <c r="BS30" s="492">
        <v>81.632019420294853</v>
      </c>
      <c r="BT30" s="492">
        <v>81.632019420294853</v>
      </c>
      <c r="BU30" s="492">
        <v>81.632019420294853</v>
      </c>
      <c r="BV30" s="492">
        <v>81.632019420294853</v>
      </c>
      <c r="BW30" s="492">
        <v>81.632019420294853</v>
      </c>
      <c r="BX30" s="492">
        <v>81.632019420294853</v>
      </c>
    </row>
    <row r="31" spans="1:77">
      <c r="AM31" s="601"/>
      <c r="AN31" s="601"/>
      <c r="AO31" s="601"/>
      <c r="AP31" s="601"/>
      <c r="AQ31" s="601"/>
      <c r="AR31" s="601"/>
      <c r="AS31" s="601"/>
      <c r="AT31" s="601"/>
      <c r="AU31" s="601"/>
      <c r="AV31" s="601"/>
      <c r="AW31" s="601"/>
      <c r="AX31" s="606" t="s">
        <v>213</v>
      </c>
      <c r="AY31" s="492">
        <f t="shared" ref="AY31:BX31" si="23">AY30-(50*AY4/1000)</f>
        <v>75.991738095238091</v>
      </c>
      <c r="AZ31" s="492">
        <f t="shared" si="23"/>
        <v>71.491774632541137</v>
      </c>
      <c r="BA31" s="492">
        <f t="shared" si="23"/>
        <v>80.792019420294849</v>
      </c>
      <c r="BB31" s="492">
        <f t="shared" si="23"/>
        <v>80.842019420294847</v>
      </c>
      <c r="BC31" s="492">
        <f t="shared" si="23"/>
        <v>72.112688686701858</v>
      </c>
      <c r="BD31" s="492">
        <f t="shared" si="23"/>
        <v>80.842019420294847</v>
      </c>
      <c r="BE31" s="492">
        <f t="shared" si="23"/>
        <v>80.792019420294849</v>
      </c>
      <c r="BF31" s="492">
        <f t="shared" si="23"/>
        <v>80.082019420294856</v>
      </c>
      <c r="BG31" s="492">
        <f t="shared" si="23"/>
        <v>80.102019420294852</v>
      </c>
      <c r="BH31" s="492">
        <f t="shared" si="23"/>
        <v>80.082019420294856</v>
      </c>
      <c r="BI31" s="492">
        <f t="shared" si="23"/>
        <v>80.102019420294852</v>
      </c>
      <c r="BJ31" s="492">
        <f t="shared" si="23"/>
        <v>80.082019420294856</v>
      </c>
      <c r="BK31" s="492">
        <f t="shared" si="23"/>
        <v>80.082019420294856</v>
      </c>
      <c r="BL31" s="492">
        <f t="shared" si="23"/>
        <v>80.232019420294847</v>
      </c>
      <c r="BM31" s="492">
        <f t="shared" si="23"/>
        <v>80.082019420294856</v>
      </c>
      <c r="BN31" s="492">
        <f t="shared" si="23"/>
        <v>80.132019420294853</v>
      </c>
      <c r="BO31" s="492">
        <f t="shared" si="23"/>
        <v>80.082019420294856</v>
      </c>
      <c r="BP31" s="492">
        <f t="shared" si="23"/>
        <v>80.132019420294853</v>
      </c>
      <c r="BQ31" s="492">
        <f t="shared" si="23"/>
        <v>80.082019420294856</v>
      </c>
      <c r="BR31" s="492">
        <f t="shared" si="23"/>
        <v>80.082019420294856</v>
      </c>
      <c r="BS31" s="492">
        <f t="shared" si="23"/>
        <v>80.132019420294853</v>
      </c>
      <c r="BT31" s="492">
        <f t="shared" si="23"/>
        <v>80.082019420294856</v>
      </c>
      <c r="BU31" s="492">
        <f t="shared" si="23"/>
        <v>80.132019420294853</v>
      </c>
      <c r="BV31" s="492">
        <f t="shared" si="23"/>
        <v>80.082019420294856</v>
      </c>
      <c r="BW31" s="492">
        <f t="shared" si="23"/>
        <v>80.082019420294856</v>
      </c>
      <c r="BX31" s="492">
        <f t="shared" si="23"/>
        <v>80.082019420294856</v>
      </c>
      <c r="BY31" s="607"/>
    </row>
    <row r="32" spans="1:77">
      <c r="AM32" s="601"/>
      <c r="AN32" s="601"/>
      <c r="AO32" s="601"/>
      <c r="AP32" s="601"/>
      <c r="AQ32" s="601"/>
      <c r="AR32" s="601"/>
      <c r="AS32" s="601"/>
      <c r="AT32" s="601"/>
      <c r="AU32" s="601"/>
      <c r="AV32" s="601"/>
      <c r="AW32" s="601"/>
      <c r="AX32" s="601"/>
      <c r="AY32" s="601"/>
      <c r="AZ32" s="601"/>
      <c r="BA32" s="601"/>
      <c r="BB32" s="601"/>
      <c r="BC32" s="601"/>
      <c r="BD32" s="601"/>
      <c r="BE32" s="601"/>
      <c r="BF32" s="601"/>
      <c r="BG32" s="601"/>
      <c r="BH32" s="601"/>
      <c r="BI32" s="601"/>
      <c r="BJ32" s="601"/>
      <c r="BK32" s="601"/>
      <c r="BL32" s="601"/>
      <c r="BM32" s="601"/>
      <c r="BN32" s="601"/>
      <c r="BO32" s="601"/>
      <c r="BP32" s="601"/>
      <c r="BQ32" s="601"/>
      <c r="BR32" s="601"/>
      <c r="BS32" s="601"/>
      <c r="BT32" s="601"/>
      <c r="BU32" s="601"/>
      <c r="BV32" s="601"/>
      <c r="BW32" s="601"/>
      <c r="BX32" s="601"/>
      <c r="BY32" s="607"/>
    </row>
    <row r="33" spans="39:77">
      <c r="AT33" s="601"/>
      <c r="AU33" s="601"/>
      <c r="AV33" s="601"/>
      <c r="AW33" s="601"/>
      <c r="AX33" s="601"/>
      <c r="AY33" s="601"/>
      <c r="BK33" s="608"/>
      <c r="BL33" s="608"/>
      <c r="BM33" s="608"/>
      <c r="BN33" s="608"/>
      <c r="BO33" s="608"/>
      <c r="BP33" s="608"/>
    </row>
    <row r="34" spans="39:77">
      <c r="AM34" s="601"/>
      <c r="AN34" s="601"/>
      <c r="AO34" s="601"/>
      <c r="AP34" s="601"/>
      <c r="AQ34" s="601"/>
      <c r="AR34" s="601"/>
      <c r="AS34" s="601"/>
      <c r="AT34" s="601"/>
      <c r="AU34" s="601"/>
      <c r="AV34" s="601"/>
      <c r="AW34" s="601"/>
      <c r="AX34" s="601"/>
      <c r="AY34" s="492">
        <f>15/0.648</f>
        <v>23.148148148148149</v>
      </c>
      <c r="AZ34" s="601"/>
      <c r="BA34" s="601"/>
      <c r="BB34" s="601"/>
      <c r="BC34" s="601"/>
      <c r="BD34" s="601"/>
      <c r="BE34" s="601"/>
      <c r="BF34" s="601"/>
      <c r="BG34" s="601"/>
      <c r="BH34" s="601"/>
      <c r="BI34" s="601"/>
      <c r="BJ34" s="601"/>
      <c r="BK34" s="601"/>
      <c r="BL34" s="601"/>
      <c r="BM34" s="601"/>
      <c r="BN34" s="601"/>
      <c r="BO34" s="601"/>
      <c r="BP34" s="601"/>
      <c r="BQ34" s="601"/>
      <c r="BR34" s="601"/>
      <c r="BS34" s="601"/>
      <c r="BT34" s="601"/>
      <c r="BU34" s="601"/>
      <c r="BV34" s="601"/>
      <c r="BW34" s="601"/>
      <c r="BX34" s="601"/>
    </row>
    <row r="35" spans="39:77">
      <c r="AY35" s="493">
        <f>AY7-AY34</f>
        <v>6.1728395061728385</v>
      </c>
      <c r="BK35" s="609"/>
      <c r="BL35" s="609"/>
      <c r="BM35" s="609"/>
      <c r="BN35" s="609"/>
      <c r="BO35" s="609"/>
      <c r="BP35" s="609"/>
      <c r="BQ35" s="493"/>
      <c r="BR35" s="493"/>
      <c r="BS35" s="493"/>
      <c r="BT35" s="493"/>
      <c r="BU35" s="493"/>
      <c r="BV35" s="493"/>
      <c r="BW35" s="493"/>
      <c r="BX35" s="493"/>
    </row>
    <row r="36" spans="39:77">
      <c r="BK36" s="493"/>
      <c r="BL36" s="493"/>
      <c r="BM36" s="493"/>
      <c r="BN36" s="493"/>
      <c r="BO36" s="493"/>
      <c r="BP36" s="493"/>
      <c r="BQ36" s="493"/>
      <c r="BR36" s="493"/>
      <c r="BS36" s="493"/>
      <c r="BT36" s="493"/>
      <c r="BU36" s="493"/>
      <c r="BV36" s="493"/>
      <c r="BW36" s="493"/>
      <c r="BX36" s="493"/>
    </row>
    <row r="37" spans="39:77">
      <c r="AM37" s="601"/>
      <c r="AN37" s="601"/>
      <c r="AO37" s="601"/>
      <c r="AP37" s="601"/>
      <c r="AQ37" s="601"/>
      <c r="AR37" s="601"/>
      <c r="AS37" s="601"/>
      <c r="AT37" s="601"/>
      <c r="AU37" s="601"/>
      <c r="AV37" s="601"/>
      <c r="AW37" s="601"/>
      <c r="AX37" s="601"/>
      <c r="AY37" s="601"/>
      <c r="AZ37" s="601"/>
      <c r="BA37" s="601"/>
      <c r="BB37" s="601"/>
      <c r="BC37" s="601"/>
      <c r="BD37" s="601"/>
      <c r="BE37" s="601"/>
      <c r="BF37" s="601"/>
      <c r="BG37" s="601"/>
      <c r="BH37" s="601"/>
      <c r="BI37" s="601"/>
      <c r="BJ37" s="601"/>
      <c r="BK37" s="601"/>
      <c r="BL37" s="601"/>
      <c r="BM37" s="601"/>
      <c r="BN37" s="601"/>
      <c r="BO37" s="601"/>
      <c r="BP37" s="601"/>
      <c r="BQ37" s="601"/>
      <c r="BR37" s="601"/>
      <c r="BS37" s="601"/>
      <c r="BT37" s="601"/>
      <c r="BU37" s="601"/>
      <c r="BV37" s="601"/>
      <c r="BW37" s="601"/>
      <c r="BX37" s="601"/>
      <c r="BY37" s="607"/>
    </row>
  </sheetData>
  <mergeCells count="3">
    <mergeCell ref="A3:B3"/>
    <mergeCell ref="A7:A10"/>
    <mergeCell ref="A11:A1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C2 (r2)</vt:lpstr>
      <vt:lpstr>LR monthly</vt:lpstr>
      <vt:lpstr>C3LPG</vt:lpstr>
      <vt:lpstr>NGL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2021-02-15T08:57:15Z</dcterms:created>
  <dcterms:modified xsi:type="dcterms:W3CDTF">2021-02-15T08:57:40Z</dcterms:modified>
</cp:coreProperties>
</file>